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codeName="ЭтаКнига"/>
  <xr:revisionPtr revIDLastSave="0" documentId="13_ncr:1_{163F9AEA-CD9A-4B5A-883A-BAC685A54318}" xr6:coauthVersionLast="47" xr6:coauthVersionMax="47" xr10:uidLastSave="{00000000-0000-0000-0000-000000000000}"/>
  <bookViews>
    <workbookView xWindow="-120" yWindow="-120" windowWidth="29040" windowHeight="15840" tabRatio="935" activeTab="2" xr2:uid="{00000000-000D-0000-FFFF-FFFF00000000}"/>
  </bookViews>
  <sheets>
    <sheet name="01" sheetId="54" r:id="rId1"/>
    <sheet name="02" sheetId="55" r:id="rId2"/>
    <sheet name="03" sheetId="56" r:id="rId3"/>
    <sheet name="04" sheetId="57" state="hidden" r:id="rId4"/>
    <sheet name="05" sheetId="58" state="hidden" r:id="rId5"/>
    <sheet name="06" sheetId="59" state="hidden" r:id="rId6"/>
    <sheet name="07" sheetId="60" state="hidden" r:id="rId7"/>
    <sheet name="08" sheetId="61" state="hidden" r:id="rId8"/>
    <sheet name="09" sheetId="62" state="hidden" r:id="rId9"/>
    <sheet name="10" sheetId="63" state="hidden" r:id="rId10"/>
    <sheet name="11" sheetId="64" state="hidden" r:id="rId11"/>
    <sheet name="12" sheetId="65" state="hidden" r:id="rId12"/>
    <sheet name="13" sheetId="66" state="hidden" r:id="rId13"/>
    <sheet name="14" sheetId="67" state="hidden" r:id="rId14"/>
    <sheet name="15" sheetId="68" state="hidden" r:id="rId15"/>
    <sheet name="16" sheetId="69" state="hidden" r:id="rId16"/>
    <sheet name="17" sheetId="70" state="hidden" r:id="rId17"/>
    <sheet name="18" sheetId="71" state="hidden" r:id="rId18"/>
    <sheet name="19" sheetId="72" state="hidden" r:id="rId19"/>
    <sheet name="20" sheetId="73" state="hidden" r:id="rId20"/>
    <sheet name="21" sheetId="74" state="hidden" r:id="rId21"/>
    <sheet name="22" sheetId="43" state="hidden" r:id="rId22"/>
    <sheet name="23" sheetId="44" state="hidden" r:id="rId23"/>
    <sheet name="24" sheetId="45" state="hidden" r:id="rId24"/>
    <sheet name="25" sheetId="46" state="hidden" r:id="rId25"/>
    <sheet name="26" sheetId="47" state="hidden" r:id="rId26"/>
    <sheet name="27" sheetId="48" state="hidden" r:id="rId27"/>
    <sheet name="28" sheetId="49" state="hidden" r:id="rId28"/>
    <sheet name="29" sheetId="50" state="hidden" r:id="rId29"/>
    <sheet name="30" sheetId="52" state="hidden" r:id="rId30"/>
    <sheet name="31" sheetId="78" state="hidden" r:id="rId31"/>
    <sheet name="свод приход" sheetId="76" state="hidden" r:id="rId32"/>
    <sheet name="график" sheetId="77" state="hidden" r:id="rId33"/>
    <sheet name="ввод добавок" sheetId="79" state="hidden" r:id="rId34"/>
    <sheet name="ЦЕМ I 42.5Н" sheetId="80" state="hidden" r:id="rId35"/>
    <sheet name="ЦЕМ I 52.5Н" sheetId="83" state="hidden" r:id="rId36"/>
    <sheet name="ЦEМ II B-K(З-И) 32,5H" sheetId="81" state="hidden" r:id="rId37"/>
    <sheet name="ЦЕМ II А-К 42,5Н" sheetId="82" state="hidden" r:id="rId38"/>
  </sheets>
  <definedNames>
    <definedName name="_xlnm._FilterDatabase" localSheetId="0" hidden="1">'01'!$U$3:$U$158</definedName>
    <definedName name="_xlnm._FilterDatabase" localSheetId="1" hidden="1">'02'!$U$3:$U$136</definedName>
    <definedName name="_xlnm._FilterDatabase" localSheetId="2" hidden="1">'03'!$U$3:$U$136</definedName>
    <definedName name="_xlnm._FilterDatabase" localSheetId="3" hidden="1">'04'!$U$3:$U$136</definedName>
    <definedName name="_xlnm._FilterDatabase" localSheetId="4" hidden="1">'05'!$U$3:$U$136</definedName>
    <definedName name="_xlnm._FilterDatabase" localSheetId="5" hidden="1">'06'!$U$3:$U$136</definedName>
    <definedName name="_xlnm._FilterDatabase" localSheetId="6" hidden="1">'07'!$U$3:$U$136</definedName>
    <definedName name="_xlnm._FilterDatabase" localSheetId="7" hidden="1">'08'!$U$3:$U$136</definedName>
    <definedName name="_xlnm._FilterDatabase" localSheetId="8" hidden="1">'09'!$U$3:$U$136</definedName>
    <definedName name="_xlnm._FilterDatabase" localSheetId="9" hidden="1">'10'!$U$3:$U$136</definedName>
    <definedName name="_xlnm._FilterDatabase" localSheetId="10" hidden="1">'11'!$U$3:$U$136</definedName>
    <definedName name="_xlnm._FilterDatabase" localSheetId="11" hidden="1">'12'!$U$3:$U$136</definedName>
    <definedName name="_xlnm._FilterDatabase" localSheetId="12" hidden="1">'13'!$U$3:$U$136</definedName>
    <definedName name="_xlnm._FilterDatabase" localSheetId="13" hidden="1">'14'!$U$3:$U$136</definedName>
    <definedName name="_xlnm._FilterDatabase" localSheetId="14" hidden="1">'15'!$U$3:$U$136</definedName>
    <definedName name="_xlnm._FilterDatabase" localSheetId="15" hidden="1">'16'!$U$3:$U$136</definedName>
    <definedName name="_xlnm._FilterDatabase" localSheetId="16" hidden="1">'17'!$U$3:$U$136</definedName>
    <definedName name="_xlnm._FilterDatabase" localSheetId="17" hidden="1">'18'!$U$3:$U$136</definedName>
    <definedName name="_xlnm._FilterDatabase" localSheetId="18" hidden="1">'19'!$U$3:$U$136</definedName>
    <definedName name="_xlnm._FilterDatabase" localSheetId="19" hidden="1">'20'!$U$3:$U$136</definedName>
    <definedName name="_xlnm._FilterDatabase" localSheetId="20" hidden="1">'21'!$U$3:$U$136</definedName>
    <definedName name="_xlnm._FilterDatabase" localSheetId="21" hidden="1">'22'!$U$3:$U$136</definedName>
    <definedName name="_xlnm._FilterDatabase" localSheetId="22" hidden="1">'23'!$U$3:$U$136</definedName>
    <definedName name="_xlnm._FilterDatabase" localSheetId="23" hidden="1">'24'!$U$3:$U$136</definedName>
    <definedName name="_xlnm._FilterDatabase" localSheetId="24" hidden="1">'25'!$U$3:$U$136</definedName>
    <definedName name="_xlnm._FilterDatabase" localSheetId="25" hidden="1">'26'!$U$3:$U$136</definedName>
    <definedName name="_xlnm._FilterDatabase" localSheetId="26" hidden="1">'27'!$U$3:$U$136</definedName>
    <definedName name="_xlnm._FilterDatabase" localSheetId="27" hidden="1">'28'!$U$3:$U$136</definedName>
    <definedName name="_xlnm._FilterDatabase" localSheetId="28" hidden="1">'29'!$U$3:$U$136</definedName>
    <definedName name="_xlnm._FilterDatabase" localSheetId="29" hidden="1">'30'!$U$3:$U$136</definedName>
    <definedName name="_xlnm._FilterDatabase" localSheetId="30" hidden="1">'31'!$U$3:$U$136</definedName>
    <definedName name="_xlnm._FilterDatabase" localSheetId="33" hidden="1">'ввод добавок'!$E$116:$E$147</definedName>
    <definedName name="_xlnm._FilterDatabase" localSheetId="36" hidden="1">'ЦEМ II B-K(З-И) 32,5H'!$B$4:$J$35</definedName>
    <definedName name="_xlnm._FilterDatabase" localSheetId="34" hidden="1">'ЦЕМ I 42.5Н'!$B$4:$H$35</definedName>
    <definedName name="_xlnm._FilterDatabase" localSheetId="35" hidden="1">'ЦЕМ I 52.5Н'!$B$4:$H$35</definedName>
    <definedName name="_xlnm._FilterDatabase" localSheetId="37" hidden="1">'ЦЕМ II А-К 42,5Н'!$B$4:$J$35</definedName>
    <definedName name="_xlnm.Print_Area" localSheetId="0">'01'!$A$1:$P$152</definedName>
    <definedName name="_xlnm.Print_Area" localSheetId="1">'02'!$A$1:$R$150</definedName>
    <definedName name="_xlnm.Print_Area" localSheetId="2">'03'!$A$1:$Q$150</definedName>
    <definedName name="_xlnm.Print_Area" localSheetId="3">'04'!$A$1:$Q$152</definedName>
    <definedName name="_xlnm.Print_Area" localSheetId="4">'05'!$A$1:$P$152</definedName>
    <definedName name="_xlnm.Print_Area" localSheetId="5">'06'!$A$1:$Q$152</definedName>
    <definedName name="_xlnm.Print_Area" localSheetId="6">'07'!$A$1:$P$151</definedName>
    <definedName name="_xlnm.Print_Area" localSheetId="7">'08'!$A$1:$P$152</definedName>
    <definedName name="_xlnm.Print_Area" localSheetId="8">'09'!$A$1:$Q$152</definedName>
    <definedName name="_xlnm.Print_Area" localSheetId="9">'10'!$A$1:$R$152</definedName>
    <definedName name="_xlnm.Print_Area" localSheetId="10">'11'!$A$1:$P$152</definedName>
    <definedName name="_xlnm.Print_Area" localSheetId="11">'12'!$A$1:$R$152</definedName>
    <definedName name="_xlnm.Print_Area" localSheetId="12">'13'!$A$1:$P$152</definedName>
    <definedName name="_xlnm.Print_Area" localSheetId="13">'14'!$A$1:$R$152</definedName>
    <definedName name="_xlnm.Print_Area" localSheetId="14">'15'!$A$1:$R$152</definedName>
    <definedName name="_xlnm.Print_Area" localSheetId="15">'16'!$A$1:$P$152</definedName>
    <definedName name="_xlnm.Print_Area" localSheetId="16">'17'!$A$1:$Q$152</definedName>
    <definedName name="_xlnm.Print_Area" localSheetId="17">'18'!$A$1:$P$152</definedName>
    <definedName name="_xlnm.Print_Area" localSheetId="18">'19'!$A$1:$P$152</definedName>
    <definedName name="_xlnm.Print_Area" localSheetId="19">'20'!$A$1:$P$152</definedName>
    <definedName name="_xlnm.Print_Area" localSheetId="20">'21'!$A$1:$Q$152</definedName>
    <definedName name="_xlnm.Print_Area" localSheetId="21">'22'!$A$1:$R$150</definedName>
    <definedName name="_xlnm.Print_Area" localSheetId="22">'23'!$A$1:$P$152</definedName>
    <definedName name="_xlnm.Print_Area" localSheetId="23">'24'!$A$1:$P$150</definedName>
    <definedName name="_xlnm.Print_Area" localSheetId="24">'25'!$A$1:$P$152</definedName>
    <definedName name="_xlnm.Print_Area" localSheetId="25">'26'!$A$1:$Q$152</definedName>
    <definedName name="_xlnm.Print_Area" localSheetId="26">'27'!$A$1:$P$152</definedName>
    <definedName name="_xlnm.Print_Area" localSheetId="27">'28'!$A$1:$P$152</definedName>
    <definedName name="_xlnm.Print_Area" localSheetId="28">'29'!$A$1:$P$150</definedName>
    <definedName name="_xlnm.Print_Area" localSheetId="29">'30'!$A$1:$R$152</definedName>
    <definedName name="_xlnm.Print_Area" localSheetId="30">'31'!$A$1:$R$152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1" i="47" l="1"/>
  <c r="K63" i="54" l="1"/>
  <c r="H63" i="54"/>
  <c r="H63" i="55" l="1"/>
  <c r="H63" i="56" s="1"/>
  <c r="H63" i="57" s="1"/>
  <c r="G35" i="82"/>
  <c r="C35" i="82"/>
  <c r="B35" i="82"/>
  <c r="G34" i="82"/>
  <c r="E34" i="82"/>
  <c r="C34" i="82"/>
  <c r="B34" i="82"/>
  <c r="G33" i="82"/>
  <c r="C33" i="82"/>
  <c r="B33" i="82"/>
  <c r="G32" i="82"/>
  <c r="C32" i="82"/>
  <c r="B32" i="82"/>
  <c r="E31" i="82"/>
  <c r="C31" i="82"/>
  <c r="B31" i="82"/>
  <c r="C30" i="82"/>
  <c r="B30" i="82"/>
  <c r="G29" i="82"/>
  <c r="E29" i="82"/>
  <c r="C29" i="82"/>
  <c r="B29" i="82"/>
  <c r="G28" i="82"/>
  <c r="C28" i="82"/>
  <c r="B28" i="82"/>
  <c r="G27" i="82"/>
  <c r="E27" i="82"/>
  <c r="C27" i="82"/>
  <c r="B27" i="82"/>
  <c r="G26" i="82"/>
  <c r="C26" i="82"/>
  <c r="B26" i="82"/>
  <c r="G25" i="82"/>
  <c r="E25" i="82"/>
  <c r="C25" i="82"/>
  <c r="B25" i="82"/>
  <c r="C24" i="82"/>
  <c r="B24" i="82"/>
  <c r="I23" i="82"/>
  <c r="G23" i="82"/>
  <c r="C23" i="82"/>
  <c r="B23" i="82"/>
  <c r="E22" i="82"/>
  <c r="C22" i="82"/>
  <c r="B22" i="82"/>
  <c r="I21" i="82"/>
  <c r="C21" i="82"/>
  <c r="B21" i="82"/>
  <c r="G20" i="82"/>
  <c r="E20" i="82"/>
  <c r="C20" i="82"/>
  <c r="B20" i="82"/>
  <c r="G19" i="82"/>
  <c r="C19" i="82"/>
  <c r="B19" i="82"/>
  <c r="G18" i="82"/>
  <c r="E18" i="82"/>
  <c r="C18" i="82"/>
  <c r="B18" i="82"/>
  <c r="G17" i="82"/>
  <c r="C17" i="82"/>
  <c r="B17" i="82"/>
  <c r="I16" i="82"/>
  <c r="G16" i="82"/>
  <c r="C16" i="82"/>
  <c r="B16" i="82"/>
  <c r="E15" i="82"/>
  <c r="C15" i="82"/>
  <c r="B15" i="82"/>
  <c r="C14" i="82"/>
  <c r="B14" i="82"/>
  <c r="G13" i="82"/>
  <c r="E13" i="82"/>
  <c r="C13" i="82"/>
  <c r="B13" i="82"/>
  <c r="G12" i="82"/>
  <c r="C12" i="82"/>
  <c r="B12" i="82"/>
  <c r="I11" i="82"/>
  <c r="G11" i="82"/>
  <c r="E11" i="82"/>
  <c r="C11" i="82"/>
  <c r="B11" i="82"/>
  <c r="G10" i="82"/>
  <c r="C10" i="82"/>
  <c r="B10" i="82"/>
  <c r="G9" i="82"/>
  <c r="E9" i="82"/>
  <c r="C9" i="82"/>
  <c r="B9" i="82"/>
  <c r="C8" i="82"/>
  <c r="B8" i="82"/>
  <c r="I7" i="82"/>
  <c r="G7" i="82"/>
  <c r="C7" i="82"/>
  <c r="B7" i="82"/>
  <c r="E6" i="82"/>
  <c r="C6" i="82"/>
  <c r="B6" i="82"/>
  <c r="G30" i="82"/>
  <c r="E32" i="82"/>
  <c r="G35" i="81"/>
  <c r="C35" i="81"/>
  <c r="B35" i="81"/>
  <c r="G34" i="81"/>
  <c r="C34" i="81"/>
  <c r="B34" i="81"/>
  <c r="I33" i="81"/>
  <c r="G33" i="81"/>
  <c r="E33" i="81"/>
  <c r="C33" i="81"/>
  <c r="B33" i="81"/>
  <c r="G32" i="81"/>
  <c r="C32" i="81"/>
  <c r="B32" i="81"/>
  <c r="I31" i="81"/>
  <c r="G31" i="81"/>
  <c r="E31" i="81"/>
  <c r="C31" i="81"/>
  <c r="B31" i="81"/>
  <c r="C30" i="81"/>
  <c r="B30" i="81"/>
  <c r="I29" i="81"/>
  <c r="G29" i="81"/>
  <c r="C29" i="81"/>
  <c r="B29" i="81"/>
  <c r="C28" i="81"/>
  <c r="B28" i="81"/>
  <c r="I27" i="81"/>
  <c r="G27" i="81"/>
  <c r="C27" i="81"/>
  <c r="B27" i="81"/>
  <c r="G26" i="81"/>
  <c r="C26" i="81"/>
  <c r="B26" i="81"/>
  <c r="G25" i="81"/>
  <c r="C25" i="81"/>
  <c r="B25" i="81"/>
  <c r="I24" i="81"/>
  <c r="G24" i="81"/>
  <c r="C24" i="81"/>
  <c r="B24" i="81"/>
  <c r="G23" i="81"/>
  <c r="C23" i="81"/>
  <c r="B23" i="81"/>
  <c r="I22" i="81"/>
  <c r="G22" i="81"/>
  <c r="C22" i="81"/>
  <c r="B22" i="81"/>
  <c r="E21" i="81"/>
  <c r="C21" i="81"/>
  <c r="B21" i="81"/>
  <c r="I20" i="81"/>
  <c r="C20" i="81"/>
  <c r="B20" i="81"/>
  <c r="G19" i="81"/>
  <c r="C19" i="81"/>
  <c r="B19" i="81"/>
  <c r="G18" i="81"/>
  <c r="C18" i="81"/>
  <c r="B18" i="81"/>
  <c r="I17" i="81"/>
  <c r="G17" i="81"/>
  <c r="E17" i="81"/>
  <c r="C17" i="81"/>
  <c r="B17" i="81"/>
  <c r="G16" i="81"/>
  <c r="C16" i="81"/>
  <c r="B16" i="81"/>
  <c r="I15" i="81"/>
  <c r="G15" i="81"/>
  <c r="E15" i="81"/>
  <c r="C15" i="81"/>
  <c r="B15" i="81"/>
  <c r="C14" i="81"/>
  <c r="B14" i="81"/>
  <c r="I13" i="81"/>
  <c r="G13" i="81"/>
  <c r="C13" i="81"/>
  <c r="B13" i="81"/>
  <c r="C12" i="81"/>
  <c r="B12" i="81"/>
  <c r="I11" i="81"/>
  <c r="G11" i="81"/>
  <c r="C11" i="81"/>
  <c r="B11" i="81"/>
  <c r="G10" i="81"/>
  <c r="E10" i="81"/>
  <c r="C10" i="81"/>
  <c r="B10" i="81"/>
  <c r="G9" i="81"/>
  <c r="C9" i="81"/>
  <c r="B9" i="81"/>
  <c r="I8" i="81"/>
  <c r="G8" i="81"/>
  <c r="E8" i="81"/>
  <c r="C8" i="81"/>
  <c r="B8" i="81"/>
  <c r="G7" i="81"/>
  <c r="C7" i="81"/>
  <c r="B7" i="81"/>
  <c r="I6" i="81"/>
  <c r="G6" i="81"/>
  <c r="C6" i="81"/>
  <c r="B6" i="81"/>
  <c r="I34" i="81"/>
  <c r="G20" i="81"/>
  <c r="E35" i="83"/>
  <c r="C35" i="83"/>
  <c r="B35" i="83"/>
  <c r="C34" i="83"/>
  <c r="B34" i="83"/>
  <c r="E33" i="83"/>
  <c r="C33" i="83"/>
  <c r="B33" i="83"/>
  <c r="E32" i="83"/>
  <c r="C32" i="83"/>
  <c r="B32" i="83"/>
  <c r="G31" i="83"/>
  <c r="E31" i="83"/>
  <c r="C31" i="83"/>
  <c r="B31" i="83"/>
  <c r="E30" i="83"/>
  <c r="C30" i="83"/>
  <c r="B30" i="83"/>
  <c r="E29" i="83"/>
  <c r="C29" i="83"/>
  <c r="B29" i="83"/>
  <c r="G28" i="83"/>
  <c r="C28" i="83"/>
  <c r="B28" i="83"/>
  <c r="C27" i="83"/>
  <c r="B27" i="83"/>
  <c r="E26" i="83"/>
  <c r="C26" i="83"/>
  <c r="B26" i="83"/>
  <c r="E25" i="83"/>
  <c r="C25" i="83"/>
  <c r="B25" i="83"/>
  <c r="E24" i="83"/>
  <c r="C24" i="83"/>
  <c r="B24" i="83"/>
  <c r="E23" i="83"/>
  <c r="C23" i="83"/>
  <c r="B23" i="83"/>
  <c r="E22" i="83"/>
  <c r="C22" i="83"/>
  <c r="B22" i="83"/>
  <c r="C21" i="83"/>
  <c r="B21" i="83"/>
  <c r="C20" i="83"/>
  <c r="B20" i="83"/>
  <c r="E19" i="83"/>
  <c r="C19" i="83"/>
  <c r="B19" i="83"/>
  <c r="C18" i="83"/>
  <c r="B18" i="83"/>
  <c r="E17" i="83"/>
  <c r="C17" i="83"/>
  <c r="B17" i="83"/>
  <c r="E16" i="83"/>
  <c r="C16" i="83"/>
  <c r="B16" i="83"/>
  <c r="E15" i="83"/>
  <c r="C15" i="83"/>
  <c r="B15" i="83"/>
  <c r="E14" i="83"/>
  <c r="C14" i="83"/>
  <c r="B14" i="83"/>
  <c r="E13" i="83"/>
  <c r="C13" i="83"/>
  <c r="B13" i="83"/>
  <c r="C12" i="83"/>
  <c r="B12" i="83"/>
  <c r="C11" i="83"/>
  <c r="B11" i="83"/>
  <c r="G10" i="83"/>
  <c r="E10" i="83"/>
  <c r="C10" i="83"/>
  <c r="B10" i="83"/>
  <c r="E9" i="83"/>
  <c r="C9" i="83"/>
  <c r="B9" i="83"/>
  <c r="E8" i="83"/>
  <c r="C8" i="83"/>
  <c r="B8" i="83"/>
  <c r="E7" i="83"/>
  <c r="C7" i="83"/>
  <c r="B7" i="83"/>
  <c r="E6" i="83"/>
  <c r="C6" i="83"/>
  <c r="B6" i="83"/>
  <c r="E28" i="83"/>
  <c r="G35" i="80"/>
  <c r="C35" i="80"/>
  <c r="B35" i="80"/>
  <c r="G34" i="80"/>
  <c r="E34" i="80"/>
  <c r="C34" i="80"/>
  <c r="B34" i="80"/>
  <c r="G33" i="80"/>
  <c r="C33" i="80"/>
  <c r="B33" i="80"/>
  <c r="G32" i="80"/>
  <c r="E32" i="80"/>
  <c r="C32" i="80"/>
  <c r="B32" i="80"/>
  <c r="G31" i="80"/>
  <c r="C31" i="80"/>
  <c r="B31" i="80"/>
  <c r="C30" i="80"/>
  <c r="B30" i="80"/>
  <c r="G29" i="80"/>
  <c r="C29" i="80"/>
  <c r="B29" i="80"/>
  <c r="G28" i="80"/>
  <c r="C28" i="80"/>
  <c r="B28" i="80"/>
  <c r="G27" i="80"/>
  <c r="C27" i="80"/>
  <c r="B27" i="80"/>
  <c r="G26" i="80"/>
  <c r="C26" i="80"/>
  <c r="B26" i="80"/>
  <c r="G25" i="80"/>
  <c r="C25" i="80"/>
  <c r="B25" i="80"/>
  <c r="G24" i="80"/>
  <c r="C24" i="80"/>
  <c r="B24" i="80"/>
  <c r="G23" i="80"/>
  <c r="C23" i="80"/>
  <c r="B23" i="80"/>
  <c r="C22" i="80"/>
  <c r="B22" i="80"/>
  <c r="E21" i="80"/>
  <c r="C21" i="80"/>
  <c r="B21" i="80"/>
  <c r="G20" i="80"/>
  <c r="C20" i="80"/>
  <c r="B20" i="80"/>
  <c r="G19" i="80"/>
  <c r="C19" i="80"/>
  <c r="B19" i="80"/>
  <c r="G18" i="80"/>
  <c r="C18" i="80"/>
  <c r="B18" i="80"/>
  <c r="G17" i="80"/>
  <c r="C17" i="80"/>
  <c r="B17" i="80"/>
  <c r="G16" i="80"/>
  <c r="E16" i="80"/>
  <c r="C16" i="80"/>
  <c r="B16" i="80"/>
  <c r="G15" i="80"/>
  <c r="C15" i="80"/>
  <c r="B15" i="80"/>
  <c r="C14" i="80"/>
  <c r="B14" i="80"/>
  <c r="G13" i="80"/>
  <c r="C13" i="80"/>
  <c r="B13" i="80"/>
  <c r="G12" i="80"/>
  <c r="C12" i="80"/>
  <c r="B12" i="80"/>
  <c r="G11" i="80"/>
  <c r="E11" i="80"/>
  <c r="C11" i="80"/>
  <c r="B11" i="80"/>
  <c r="G10" i="80"/>
  <c r="C10" i="80"/>
  <c r="B10" i="80"/>
  <c r="G9" i="80"/>
  <c r="C9" i="80"/>
  <c r="B9" i="80"/>
  <c r="G8" i="80"/>
  <c r="C8" i="80"/>
  <c r="B8" i="80"/>
  <c r="G7" i="80"/>
  <c r="C7" i="80"/>
  <c r="B7" i="80"/>
  <c r="C6" i="80"/>
  <c r="B6" i="80"/>
  <c r="G22" i="80"/>
  <c r="E23" i="80"/>
  <c r="Z147" i="79"/>
  <c r="X147" i="79"/>
  <c r="V147" i="79"/>
  <c r="T147" i="79"/>
  <c r="R147" i="79"/>
  <c r="P147" i="79"/>
  <c r="N147" i="79"/>
  <c r="L147" i="79"/>
  <c r="J147" i="79"/>
  <c r="H147" i="79"/>
  <c r="F147" i="79"/>
  <c r="D147" i="79"/>
  <c r="Z146" i="79"/>
  <c r="X146" i="79"/>
  <c r="V146" i="79"/>
  <c r="T146" i="79"/>
  <c r="R146" i="79"/>
  <c r="P146" i="79"/>
  <c r="N146" i="79"/>
  <c r="L146" i="79"/>
  <c r="J146" i="79"/>
  <c r="H146" i="79"/>
  <c r="F146" i="79"/>
  <c r="D146" i="79"/>
  <c r="Z145" i="79"/>
  <c r="X145" i="79"/>
  <c r="V145" i="79"/>
  <c r="T145" i="79"/>
  <c r="R145" i="79"/>
  <c r="P145" i="79"/>
  <c r="N145" i="79"/>
  <c r="L145" i="79"/>
  <c r="J145" i="79"/>
  <c r="H145" i="79"/>
  <c r="F145" i="79"/>
  <c r="D145" i="79"/>
  <c r="Z144" i="79"/>
  <c r="X144" i="79"/>
  <c r="V144" i="79"/>
  <c r="T144" i="79"/>
  <c r="R144" i="79"/>
  <c r="P144" i="79"/>
  <c r="N144" i="79"/>
  <c r="L144" i="79"/>
  <c r="J144" i="79"/>
  <c r="H144" i="79"/>
  <c r="F144" i="79"/>
  <c r="D144" i="79"/>
  <c r="Z143" i="79"/>
  <c r="X143" i="79"/>
  <c r="V143" i="79"/>
  <c r="T143" i="79"/>
  <c r="R143" i="79"/>
  <c r="P143" i="79"/>
  <c r="N143" i="79"/>
  <c r="L143" i="79"/>
  <c r="J143" i="79"/>
  <c r="H143" i="79"/>
  <c r="F143" i="79"/>
  <c r="D143" i="79"/>
  <c r="Z142" i="79"/>
  <c r="X142" i="79"/>
  <c r="V142" i="79"/>
  <c r="T142" i="79"/>
  <c r="R142" i="79"/>
  <c r="P142" i="79"/>
  <c r="N142" i="79"/>
  <c r="L142" i="79"/>
  <c r="J142" i="79"/>
  <c r="H142" i="79"/>
  <c r="F142" i="79"/>
  <c r="D142" i="79"/>
  <c r="Z141" i="79"/>
  <c r="X141" i="79"/>
  <c r="V141" i="79"/>
  <c r="T141" i="79"/>
  <c r="R141" i="79"/>
  <c r="P141" i="79"/>
  <c r="N141" i="79"/>
  <c r="L141" i="79"/>
  <c r="J141" i="79"/>
  <c r="H141" i="79"/>
  <c r="F141" i="79"/>
  <c r="D141" i="79"/>
  <c r="Z140" i="79"/>
  <c r="X140" i="79"/>
  <c r="V140" i="79"/>
  <c r="T140" i="79"/>
  <c r="R140" i="79"/>
  <c r="P140" i="79"/>
  <c r="N140" i="79"/>
  <c r="L140" i="79"/>
  <c r="J140" i="79"/>
  <c r="H140" i="79"/>
  <c r="F140" i="79"/>
  <c r="D140" i="79"/>
  <c r="Z139" i="79"/>
  <c r="X139" i="79"/>
  <c r="V139" i="79"/>
  <c r="T139" i="79"/>
  <c r="R139" i="79"/>
  <c r="P139" i="79"/>
  <c r="N139" i="79"/>
  <c r="L139" i="79"/>
  <c r="J139" i="79"/>
  <c r="H139" i="79"/>
  <c r="F139" i="79"/>
  <c r="D139" i="79"/>
  <c r="Z138" i="79"/>
  <c r="X138" i="79"/>
  <c r="V138" i="79"/>
  <c r="T138" i="79"/>
  <c r="R138" i="79"/>
  <c r="P138" i="79"/>
  <c r="N138" i="79"/>
  <c r="L138" i="79"/>
  <c r="J138" i="79"/>
  <c r="H138" i="79"/>
  <c r="F138" i="79"/>
  <c r="D138" i="79"/>
  <c r="Z137" i="79"/>
  <c r="X137" i="79"/>
  <c r="V137" i="79"/>
  <c r="T137" i="79"/>
  <c r="R137" i="79"/>
  <c r="P137" i="79"/>
  <c r="N137" i="79"/>
  <c r="L137" i="79"/>
  <c r="J137" i="79"/>
  <c r="H137" i="79"/>
  <c r="F137" i="79"/>
  <c r="D137" i="79"/>
  <c r="Z136" i="79"/>
  <c r="X136" i="79"/>
  <c r="V136" i="79"/>
  <c r="T136" i="79"/>
  <c r="R136" i="79"/>
  <c r="P136" i="79"/>
  <c r="N136" i="79"/>
  <c r="L136" i="79"/>
  <c r="J136" i="79"/>
  <c r="H136" i="79"/>
  <c r="F136" i="79"/>
  <c r="D136" i="79"/>
  <c r="Z135" i="79"/>
  <c r="X135" i="79"/>
  <c r="V135" i="79"/>
  <c r="T135" i="79"/>
  <c r="R135" i="79"/>
  <c r="P135" i="79"/>
  <c r="N135" i="79"/>
  <c r="L135" i="79"/>
  <c r="J135" i="79"/>
  <c r="H135" i="79"/>
  <c r="F135" i="79"/>
  <c r="D135" i="79"/>
  <c r="Z134" i="79"/>
  <c r="X134" i="79"/>
  <c r="V134" i="79"/>
  <c r="T134" i="79"/>
  <c r="R134" i="79"/>
  <c r="P134" i="79"/>
  <c r="N134" i="79"/>
  <c r="L134" i="79"/>
  <c r="J134" i="79"/>
  <c r="H134" i="79"/>
  <c r="F134" i="79"/>
  <c r="D134" i="79"/>
  <c r="Z133" i="79"/>
  <c r="X133" i="79"/>
  <c r="V133" i="79"/>
  <c r="T133" i="79"/>
  <c r="R133" i="79"/>
  <c r="P133" i="79"/>
  <c r="N133" i="79"/>
  <c r="L133" i="79"/>
  <c r="J133" i="79"/>
  <c r="H133" i="79"/>
  <c r="F133" i="79"/>
  <c r="D133" i="79"/>
  <c r="Z132" i="79"/>
  <c r="X132" i="79"/>
  <c r="V132" i="79"/>
  <c r="T132" i="79"/>
  <c r="R132" i="79"/>
  <c r="P132" i="79"/>
  <c r="N132" i="79"/>
  <c r="L132" i="79"/>
  <c r="J132" i="79"/>
  <c r="H132" i="79"/>
  <c r="F132" i="79"/>
  <c r="D132" i="79"/>
  <c r="Z131" i="79"/>
  <c r="X131" i="79"/>
  <c r="V131" i="79"/>
  <c r="T131" i="79"/>
  <c r="R131" i="79"/>
  <c r="P131" i="79"/>
  <c r="N131" i="79"/>
  <c r="L131" i="79"/>
  <c r="J131" i="79"/>
  <c r="H131" i="79"/>
  <c r="F131" i="79"/>
  <c r="D131" i="79"/>
  <c r="Z130" i="79"/>
  <c r="X130" i="79"/>
  <c r="V130" i="79"/>
  <c r="T130" i="79"/>
  <c r="R130" i="79"/>
  <c r="P130" i="79"/>
  <c r="N130" i="79"/>
  <c r="L130" i="79"/>
  <c r="J130" i="79"/>
  <c r="H130" i="79"/>
  <c r="F130" i="79"/>
  <c r="D130" i="79"/>
  <c r="Z129" i="79"/>
  <c r="X129" i="79"/>
  <c r="V129" i="79"/>
  <c r="T129" i="79"/>
  <c r="R129" i="79"/>
  <c r="P129" i="79"/>
  <c r="N129" i="79"/>
  <c r="L129" i="79"/>
  <c r="J129" i="79"/>
  <c r="H129" i="79"/>
  <c r="F129" i="79"/>
  <c r="D129" i="79"/>
  <c r="Z128" i="79"/>
  <c r="X128" i="79"/>
  <c r="V128" i="79"/>
  <c r="T128" i="79"/>
  <c r="R128" i="79"/>
  <c r="P128" i="79"/>
  <c r="N128" i="79"/>
  <c r="L128" i="79"/>
  <c r="J128" i="79"/>
  <c r="H128" i="79"/>
  <c r="F128" i="79"/>
  <c r="D128" i="79"/>
  <c r="Z127" i="79"/>
  <c r="X127" i="79"/>
  <c r="V127" i="79"/>
  <c r="T127" i="79"/>
  <c r="R127" i="79"/>
  <c r="P127" i="79"/>
  <c r="N127" i="79"/>
  <c r="L127" i="79"/>
  <c r="J127" i="79"/>
  <c r="H127" i="79"/>
  <c r="F127" i="79"/>
  <c r="D127" i="79"/>
  <c r="Z126" i="79"/>
  <c r="X126" i="79"/>
  <c r="V126" i="79"/>
  <c r="T126" i="79"/>
  <c r="R126" i="79"/>
  <c r="P126" i="79"/>
  <c r="N126" i="79"/>
  <c r="L126" i="79"/>
  <c r="J126" i="79"/>
  <c r="H126" i="79"/>
  <c r="F126" i="79"/>
  <c r="D126" i="79"/>
  <c r="Z125" i="79"/>
  <c r="X125" i="79"/>
  <c r="V125" i="79"/>
  <c r="T125" i="79"/>
  <c r="R125" i="79"/>
  <c r="P125" i="79"/>
  <c r="N125" i="79"/>
  <c r="L125" i="79"/>
  <c r="J125" i="79"/>
  <c r="H125" i="79"/>
  <c r="F125" i="79"/>
  <c r="D125" i="79"/>
  <c r="Z124" i="79"/>
  <c r="X124" i="79"/>
  <c r="V124" i="79"/>
  <c r="T124" i="79"/>
  <c r="R124" i="79"/>
  <c r="P124" i="79"/>
  <c r="N124" i="79"/>
  <c r="L124" i="79"/>
  <c r="J124" i="79"/>
  <c r="H124" i="79"/>
  <c r="F124" i="79"/>
  <c r="D124" i="79"/>
  <c r="Z123" i="79"/>
  <c r="X123" i="79"/>
  <c r="V123" i="79"/>
  <c r="T123" i="79"/>
  <c r="R123" i="79"/>
  <c r="P123" i="79"/>
  <c r="N123" i="79"/>
  <c r="L123" i="79"/>
  <c r="J123" i="79"/>
  <c r="H123" i="79"/>
  <c r="F123" i="79"/>
  <c r="D123" i="79"/>
  <c r="Z122" i="79"/>
  <c r="X122" i="79"/>
  <c r="V122" i="79"/>
  <c r="T122" i="79"/>
  <c r="R122" i="79"/>
  <c r="P122" i="79"/>
  <c r="N122" i="79"/>
  <c r="L122" i="79"/>
  <c r="J122" i="79"/>
  <c r="H122" i="79"/>
  <c r="F122" i="79"/>
  <c r="D122" i="79"/>
  <c r="Z121" i="79"/>
  <c r="X121" i="79"/>
  <c r="V121" i="79"/>
  <c r="T121" i="79"/>
  <c r="R121" i="79"/>
  <c r="P121" i="79"/>
  <c r="N121" i="79"/>
  <c r="L121" i="79"/>
  <c r="J121" i="79"/>
  <c r="H121" i="79"/>
  <c r="F121" i="79"/>
  <c r="D121" i="79"/>
  <c r="Z120" i="79"/>
  <c r="X120" i="79"/>
  <c r="V120" i="79"/>
  <c r="T120" i="79"/>
  <c r="R120" i="79"/>
  <c r="P120" i="79"/>
  <c r="N120" i="79"/>
  <c r="L120" i="79"/>
  <c r="J120" i="79"/>
  <c r="H120" i="79"/>
  <c r="F120" i="79"/>
  <c r="D120" i="79"/>
  <c r="Z119" i="79"/>
  <c r="X119" i="79"/>
  <c r="V119" i="79"/>
  <c r="T119" i="79"/>
  <c r="R119" i="79"/>
  <c r="P119" i="79"/>
  <c r="N119" i="79"/>
  <c r="L119" i="79"/>
  <c r="J119" i="79"/>
  <c r="H119" i="79"/>
  <c r="F119" i="79"/>
  <c r="D119" i="79"/>
  <c r="Z118" i="79"/>
  <c r="X118" i="79"/>
  <c r="V118" i="79"/>
  <c r="T118" i="79"/>
  <c r="R118" i="79"/>
  <c r="P118" i="79"/>
  <c r="N118" i="79"/>
  <c r="L118" i="79"/>
  <c r="J118" i="79"/>
  <c r="H118" i="79"/>
  <c r="F118" i="79"/>
  <c r="D118" i="79"/>
  <c r="Z117" i="79"/>
  <c r="X117" i="79"/>
  <c r="V117" i="79"/>
  <c r="T117" i="79"/>
  <c r="R117" i="79"/>
  <c r="P117" i="79"/>
  <c r="N117" i="79"/>
  <c r="L117" i="79"/>
  <c r="J117" i="79"/>
  <c r="H117" i="79"/>
  <c r="F117" i="79"/>
  <c r="D117" i="79"/>
  <c r="H84" i="79"/>
  <c r="H83" i="79"/>
  <c r="H82" i="79"/>
  <c r="R78" i="79"/>
  <c r="M78" i="79"/>
  <c r="H78" i="79"/>
  <c r="C78" i="79"/>
  <c r="R77" i="79"/>
  <c r="M77" i="79"/>
  <c r="H77" i="79"/>
  <c r="C77" i="79"/>
  <c r="R76" i="79"/>
  <c r="M76" i="79"/>
  <c r="H76" i="79"/>
  <c r="C76" i="79"/>
  <c r="H62" i="79"/>
  <c r="H61" i="79"/>
  <c r="H60" i="79"/>
  <c r="H59" i="79"/>
  <c r="H58" i="79"/>
  <c r="H57" i="79"/>
  <c r="H56" i="79"/>
  <c r="H55" i="79"/>
  <c r="H54" i="79"/>
  <c r="H53" i="79"/>
  <c r="V48" i="79"/>
  <c r="M48" i="79"/>
  <c r="H48" i="79"/>
  <c r="C48" i="79"/>
  <c r="V47" i="79"/>
  <c r="M47" i="79"/>
  <c r="H47" i="79"/>
  <c r="C47" i="79"/>
  <c r="V46" i="79"/>
  <c r="M46" i="79"/>
  <c r="H46" i="79"/>
  <c r="C46" i="79"/>
  <c r="V45" i="79"/>
  <c r="M45" i="79"/>
  <c r="H45" i="79"/>
  <c r="C45" i="79"/>
  <c r="V44" i="79"/>
  <c r="M44" i="79"/>
  <c r="H44" i="79"/>
  <c r="C44" i="79"/>
  <c r="V43" i="79"/>
  <c r="M43" i="79"/>
  <c r="H43" i="79"/>
  <c r="C43" i="79"/>
  <c r="V42" i="79"/>
  <c r="M42" i="79"/>
  <c r="H42" i="79"/>
  <c r="C42" i="79"/>
  <c r="V41" i="79"/>
  <c r="M41" i="79"/>
  <c r="H41" i="79"/>
  <c r="C41" i="79"/>
  <c r="V40" i="79"/>
  <c r="M40" i="79"/>
  <c r="H40" i="79"/>
  <c r="C40" i="79"/>
  <c r="V39" i="79"/>
  <c r="M39" i="79"/>
  <c r="H39" i="79"/>
  <c r="C39" i="79"/>
  <c r="BQ34" i="79"/>
  <c r="BO34" i="79"/>
  <c r="BJ34" i="79"/>
  <c r="BH34" i="79"/>
  <c r="BC34" i="79"/>
  <c r="BA34" i="79"/>
  <c r="AV34" i="79"/>
  <c r="AT34" i="79"/>
  <c r="AO34" i="79"/>
  <c r="AM34" i="79"/>
  <c r="AH34" i="79"/>
  <c r="AF34" i="79"/>
  <c r="AA34" i="79"/>
  <c r="Y34" i="79"/>
  <c r="T34" i="79"/>
  <c r="R34" i="79"/>
  <c r="M34" i="79"/>
  <c r="K34" i="79"/>
  <c r="F34" i="79"/>
  <c r="D34" i="79"/>
  <c r="A4" i="79"/>
  <c r="AD33" i="76"/>
  <c r="AC33" i="76"/>
  <c r="AB33" i="76"/>
  <c r="AA33" i="76"/>
  <c r="Z33" i="76"/>
  <c r="Y33" i="76"/>
  <c r="X33" i="76"/>
  <c r="W33" i="76"/>
  <c r="V33" i="76"/>
  <c r="U33" i="76"/>
  <c r="T33" i="76"/>
  <c r="K33" i="76"/>
  <c r="AD32" i="76"/>
  <c r="AC32" i="76"/>
  <c r="AB32" i="76"/>
  <c r="AA32" i="76"/>
  <c r="Z32" i="76"/>
  <c r="Y32" i="76"/>
  <c r="X32" i="76"/>
  <c r="W32" i="76"/>
  <c r="V32" i="76"/>
  <c r="U32" i="76"/>
  <c r="K32" i="76"/>
  <c r="AD31" i="76"/>
  <c r="AC31" i="76"/>
  <c r="AB31" i="76"/>
  <c r="AA31" i="76"/>
  <c r="Z31" i="76"/>
  <c r="Y31" i="76"/>
  <c r="X31" i="76"/>
  <c r="W31" i="76"/>
  <c r="V31" i="76"/>
  <c r="U31" i="76"/>
  <c r="K31" i="76"/>
  <c r="AD30" i="76"/>
  <c r="AC30" i="76"/>
  <c r="AB30" i="76"/>
  <c r="AA30" i="76"/>
  <c r="Z30" i="76"/>
  <c r="Y30" i="76"/>
  <c r="W30" i="76"/>
  <c r="V30" i="76"/>
  <c r="U30" i="76"/>
  <c r="K30" i="76"/>
  <c r="Z29" i="76"/>
  <c r="Y29" i="76"/>
  <c r="W29" i="76"/>
  <c r="V29" i="76"/>
  <c r="U29" i="76"/>
  <c r="T29" i="76"/>
  <c r="K29" i="76"/>
  <c r="Z28" i="76"/>
  <c r="Y28" i="76"/>
  <c r="W28" i="76"/>
  <c r="V28" i="76"/>
  <c r="U28" i="76"/>
  <c r="T28" i="76"/>
  <c r="K28" i="76"/>
  <c r="AD27" i="76"/>
  <c r="AC27" i="76"/>
  <c r="AB27" i="76"/>
  <c r="AA27" i="76"/>
  <c r="Z27" i="76"/>
  <c r="Y27" i="76"/>
  <c r="X27" i="76"/>
  <c r="W27" i="76"/>
  <c r="V27" i="76"/>
  <c r="U27" i="76"/>
  <c r="K27" i="76"/>
  <c r="AD26" i="76"/>
  <c r="AC26" i="76"/>
  <c r="AB26" i="76"/>
  <c r="AA26" i="76"/>
  <c r="Z26" i="76"/>
  <c r="Y26" i="76"/>
  <c r="W26" i="76"/>
  <c r="V26" i="76"/>
  <c r="U26" i="76"/>
  <c r="T26" i="76"/>
  <c r="K26" i="76"/>
  <c r="AD25" i="76"/>
  <c r="AC25" i="76"/>
  <c r="AB25" i="76"/>
  <c r="AA25" i="76"/>
  <c r="Z25" i="76"/>
  <c r="Y25" i="76"/>
  <c r="X25" i="76"/>
  <c r="W25" i="76"/>
  <c r="V25" i="76"/>
  <c r="U25" i="76"/>
  <c r="K25" i="76"/>
  <c r="AD24" i="76"/>
  <c r="AC24" i="76"/>
  <c r="AB24" i="76"/>
  <c r="AA24" i="76"/>
  <c r="Z24" i="76"/>
  <c r="Y24" i="76"/>
  <c r="W24" i="76"/>
  <c r="V24" i="76"/>
  <c r="U24" i="76"/>
  <c r="T24" i="76"/>
  <c r="K24" i="76"/>
  <c r="AD23" i="76"/>
  <c r="AC23" i="76"/>
  <c r="AB23" i="76"/>
  <c r="AA23" i="76"/>
  <c r="Z23" i="76"/>
  <c r="Y23" i="76"/>
  <c r="W23" i="76"/>
  <c r="V23" i="76"/>
  <c r="U23" i="76"/>
  <c r="T23" i="76"/>
  <c r="K23" i="76"/>
  <c r="AD22" i="76"/>
  <c r="AC22" i="76"/>
  <c r="AB22" i="76"/>
  <c r="AA22" i="76"/>
  <c r="Z22" i="76"/>
  <c r="Y22" i="76"/>
  <c r="W22" i="76"/>
  <c r="V22" i="76"/>
  <c r="U22" i="76"/>
  <c r="T22" i="76"/>
  <c r="K22" i="76"/>
  <c r="AD21" i="76"/>
  <c r="AC21" i="76"/>
  <c r="AB21" i="76"/>
  <c r="AA21" i="76"/>
  <c r="Z21" i="76"/>
  <c r="Y21" i="76"/>
  <c r="W21" i="76"/>
  <c r="V21" i="76"/>
  <c r="U21" i="76"/>
  <c r="T21" i="76"/>
  <c r="K21" i="76"/>
  <c r="AD20" i="76"/>
  <c r="AC20" i="76"/>
  <c r="AB20" i="76"/>
  <c r="AA20" i="76"/>
  <c r="Z20" i="76"/>
  <c r="Y20" i="76"/>
  <c r="X20" i="76"/>
  <c r="W20" i="76"/>
  <c r="V20" i="76"/>
  <c r="U20" i="76"/>
  <c r="T20" i="76"/>
  <c r="K20" i="76"/>
  <c r="AD19" i="76"/>
  <c r="AC19" i="76"/>
  <c r="AB19" i="76"/>
  <c r="AA19" i="76"/>
  <c r="Z19" i="76"/>
  <c r="Y19" i="76"/>
  <c r="W19" i="76"/>
  <c r="V19" i="76"/>
  <c r="U19" i="76"/>
  <c r="T19" i="76"/>
  <c r="K19" i="76"/>
  <c r="AD18" i="76"/>
  <c r="AC18" i="76"/>
  <c r="AB18" i="76"/>
  <c r="AA18" i="76"/>
  <c r="Z18" i="76"/>
  <c r="Y18" i="76"/>
  <c r="W18" i="76"/>
  <c r="V18" i="76"/>
  <c r="U18" i="76"/>
  <c r="T18" i="76"/>
  <c r="K18" i="76"/>
  <c r="AD17" i="76"/>
  <c r="AC17" i="76"/>
  <c r="AB17" i="76"/>
  <c r="AA17" i="76"/>
  <c r="Z17" i="76"/>
  <c r="Y17" i="76"/>
  <c r="X17" i="76"/>
  <c r="W17" i="76"/>
  <c r="V17" i="76"/>
  <c r="U17" i="76"/>
  <c r="T17" i="76"/>
  <c r="K17" i="76"/>
  <c r="AD16" i="76"/>
  <c r="AC16" i="76"/>
  <c r="AB16" i="76"/>
  <c r="AA16" i="76"/>
  <c r="Z16" i="76"/>
  <c r="Y16" i="76"/>
  <c r="W16" i="76"/>
  <c r="V16" i="76"/>
  <c r="U16" i="76"/>
  <c r="T16" i="76"/>
  <c r="K16" i="76"/>
  <c r="AD15" i="76"/>
  <c r="AC15" i="76"/>
  <c r="AB15" i="76"/>
  <c r="AA15" i="76"/>
  <c r="Z15" i="76"/>
  <c r="Y15" i="76"/>
  <c r="W15" i="76"/>
  <c r="V15" i="76"/>
  <c r="U15" i="76"/>
  <c r="T15" i="76"/>
  <c r="K15" i="76"/>
  <c r="AD14" i="76"/>
  <c r="AC14" i="76"/>
  <c r="AB14" i="76"/>
  <c r="AA14" i="76"/>
  <c r="Z14" i="76"/>
  <c r="Y14" i="76"/>
  <c r="W14" i="76"/>
  <c r="V14" i="76"/>
  <c r="U14" i="76"/>
  <c r="T14" i="76"/>
  <c r="K14" i="76"/>
  <c r="AD13" i="76"/>
  <c r="AC13" i="76"/>
  <c r="AB13" i="76"/>
  <c r="AA13" i="76"/>
  <c r="Z13" i="76"/>
  <c r="Y13" i="76"/>
  <c r="W13" i="76"/>
  <c r="V13" i="76"/>
  <c r="U13" i="76"/>
  <c r="T13" i="76"/>
  <c r="K13" i="76"/>
  <c r="AD12" i="76"/>
  <c r="AC12" i="76"/>
  <c r="AB12" i="76"/>
  <c r="AA12" i="76"/>
  <c r="Z12" i="76"/>
  <c r="Y12" i="76"/>
  <c r="W12" i="76"/>
  <c r="V12" i="76"/>
  <c r="U12" i="76"/>
  <c r="T12" i="76"/>
  <c r="K12" i="76"/>
  <c r="AD11" i="76"/>
  <c r="AC11" i="76"/>
  <c r="AB11" i="76"/>
  <c r="AA11" i="76"/>
  <c r="Z11" i="76"/>
  <c r="Y11" i="76"/>
  <c r="X11" i="76"/>
  <c r="W11" i="76"/>
  <c r="V11" i="76"/>
  <c r="U11" i="76"/>
  <c r="T11" i="76"/>
  <c r="K11" i="76"/>
  <c r="AD10" i="76"/>
  <c r="AC10" i="76"/>
  <c r="AB10" i="76"/>
  <c r="AA10" i="76"/>
  <c r="Z10" i="76"/>
  <c r="Y10" i="76"/>
  <c r="X10" i="76"/>
  <c r="W10" i="76"/>
  <c r="V10" i="76"/>
  <c r="U10" i="76"/>
  <c r="K10" i="76"/>
  <c r="AD9" i="76"/>
  <c r="AC9" i="76"/>
  <c r="AB9" i="76"/>
  <c r="AA9" i="76"/>
  <c r="Z9" i="76"/>
  <c r="Y9" i="76"/>
  <c r="X9" i="76"/>
  <c r="W9" i="76"/>
  <c r="V9" i="76"/>
  <c r="U9" i="76"/>
  <c r="K9" i="76"/>
  <c r="AD8" i="76"/>
  <c r="AC8" i="76"/>
  <c r="AB8" i="76"/>
  <c r="AA8" i="76"/>
  <c r="Z8" i="76"/>
  <c r="Y8" i="76"/>
  <c r="W8" i="76"/>
  <c r="V8" i="76"/>
  <c r="U8" i="76"/>
  <c r="T8" i="76"/>
  <c r="K8" i="76"/>
  <c r="AD7" i="76"/>
  <c r="AC7" i="76"/>
  <c r="AB7" i="76"/>
  <c r="AA7" i="76"/>
  <c r="Z7" i="76"/>
  <c r="Y7" i="76"/>
  <c r="W7" i="76"/>
  <c r="V7" i="76"/>
  <c r="U7" i="76"/>
  <c r="T7" i="76"/>
  <c r="K7" i="76"/>
  <c r="AD6" i="76"/>
  <c r="AC6" i="76"/>
  <c r="AB6" i="76"/>
  <c r="AA6" i="76"/>
  <c r="Z6" i="76"/>
  <c r="Y6" i="76"/>
  <c r="X6" i="76"/>
  <c r="W6" i="76"/>
  <c r="V6" i="76"/>
  <c r="U6" i="76"/>
  <c r="K6" i="76"/>
  <c r="AD5" i="76"/>
  <c r="AC5" i="76"/>
  <c r="AB5" i="76"/>
  <c r="AA5" i="76"/>
  <c r="Z5" i="76"/>
  <c r="Y5" i="76"/>
  <c r="X5" i="76"/>
  <c r="W5" i="76"/>
  <c r="V5" i="76"/>
  <c r="U5" i="76"/>
  <c r="Z4" i="76"/>
  <c r="Y4" i="76"/>
  <c r="X4" i="76"/>
  <c r="W4" i="76"/>
  <c r="V4" i="76"/>
  <c r="U4" i="76"/>
  <c r="K4" i="76"/>
  <c r="AD3" i="76"/>
  <c r="AC3" i="76"/>
  <c r="AB3" i="76"/>
  <c r="AA3" i="76"/>
  <c r="Z3" i="76"/>
  <c r="Y3" i="76"/>
  <c r="X3" i="76"/>
  <c r="W3" i="76"/>
  <c r="V3" i="76"/>
  <c r="U3" i="76"/>
  <c r="U34" i="76" s="1"/>
  <c r="K3" i="76"/>
  <c r="E149" i="78"/>
  <c r="E142" i="78"/>
  <c r="B141" i="78"/>
  <c r="O131" i="78"/>
  <c r="AG33" i="76" s="1"/>
  <c r="C122" i="78"/>
  <c r="C121" i="78"/>
  <c r="C120" i="78"/>
  <c r="C119" i="78"/>
  <c r="C118" i="78"/>
  <c r="C117" i="78"/>
  <c r="C116" i="78"/>
  <c r="C115" i="78"/>
  <c r="C114" i="78"/>
  <c r="C113" i="78"/>
  <c r="C112" i="78"/>
  <c r="C111" i="78"/>
  <c r="D110" i="78"/>
  <c r="C109" i="78"/>
  <c r="C108" i="78"/>
  <c r="C107" i="78"/>
  <c r="C106" i="78"/>
  <c r="C105" i="78"/>
  <c r="C104" i="78"/>
  <c r="C103" i="78"/>
  <c r="F102" i="78"/>
  <c r="C102" i="78"/>
  <c r="D101" i="78"/>
  <c r="D100" i="78" s="1"/>
  <c r="H95" i="78"/>
  <c r="G95" i="78"/>
  <c r="H94" i="78"/>
  <c r="G94" i="78"/>
  <c r="C94" i="78"/>
  <c r="C93" i="78"/>
  <c r="C92" i="78"/>
  <c r="H91" i="78"/>
  <c r="G91" i="78"/>
  <c r="D91" i="78"/>
  <c r="C91" i="78"/>
  <c r="E91" i="78" s="1"/>
  <c r="C90" i="78"/>
  <c r="C89" i="78"/>
  <c r="H88" i="78"/>
  <c r="G88" i="78"/>
  <c r="E88" i="78"/>
  <c r="D88" i="78"/>
  <c r="H87" i="78"/>
  <c r="G87" i="78"/>
  <c r="E87" i="78"/>
  <c r="D87" i="78"/>
  <c r="H86" i="78"/>
  <c r="G86" i="78"/>
  <c r="D86" i="78"/>
  <c r="C86" i="78"/>
  <c r="E86" i="78" s="1"/>
  <c r="H85" i="78"/>
  <c r="G85" i="78"/>
  <c r="E85" i="78"/>
  <c r="D85" i="78"/>
  <c r="C85" i="78"/>
  <c r="C84" i="78"/>
  <c r="C83" i="78"/>
  <c r="C82" i="78"/>
  <c r="M81" i="78"/>
  <c r="L81" i="78"/>
  <c r="J81" i="78"/>
  <c r="H81" i="78"/>
  <c r="G81" i="78"/>
  <c r="C81" i="78"/>
  <c r="E81" i="78" s="1"/>
  <c r="M80" i="78"/>
  <c r="L80" i="78"/>
  <c r="H80" i="78"/>
  <c r="G80" i="78"/>
  <c r="E80" i="78"/>
  <c r="C80" i="78"/>
  <c r="J80" i="78" s="1"/>
  <c r="C63" i="78"/>
  <c r="D61" i="78"/>
  <c r="D60" i="78"/>
  <c r="C58" i="78"/>
  <c r="E58" i="78" s="1"/>
  <c r="E57" i="78"/>
  <c r="C57" i="78"/>
  <c r="E56" i="78"/>
  <c r="C56" i="78"/>
  <c r="C55" i="78"/>
  <c r="E55" i="78" s="1"/>
  <c r="C54" i="78"/>
  <c r="E54" i="78" s="1"/>
  <c r="C53" i="78"/>
  <c r="E53" i="78" s="1"/>
  <c r="C51" i="78"/>
  <c r="D50" i="78"/>
  <c r="C50" i="78"/>
  <c r="E49" i="78"/>
  <c r="C48" i="78"/>
  <c r="E48" i="78" s="1"/>
  <c r="D47" i="78"/>
  <c r="C47" i="78"/>
  <c r="E47" i="78" s="1"/>
  <c r="G47" i="78" s="1"/>
  <c r="C44" i="78"/>
  <c r="E44" i="78" s="1"/>
  <c r="C43" i="78"/>
  <c r="E43" i="78" s="1"/>
  <c r="C33" i="76"/>
  <c r="C38" i="78"/>
  <c r="E38" i="78" s="1"/>
  <c r="C37" i="78"/>
  <c r="C36" i="78"/>
  <c r="F35" i="78"/>
  <c r="A33" i="78"/>
  <c r="F29" i="78"/>
  <c r="F28" i="78"/>
  <c r="A26" i="78"/>
  <c r="C23" i="78"/>
  <c r="C22" i="78"/>
  <c r="C21" i="78"/>
  <c r="C20" i="78"/>
  <c r="C19" i="78"/>
  <c r="A19" i="78"/>
  <c r="C18" i="78"/>
  <c r="C17" i="78"/>
  <c r="C16" i="78"/>
  <c r="D15" i="78"/>
  <c r="C15" i="78"/>
  <c r="E14" i="78"/>
  <c r="E12" i="78"/>
  <c r="C11" i="78"/>
  <c r="C10" i="78"/>
  <c r="N9" i="78"/>
  <c r="C9" i="78"/>
  <c r="C5" i="78" s="1"/>
  <c r="D8" i="78"/>
  <c r="D7" i="78"/>
  <c r="N6" i="78"/>
  <c r="C6" i="78"/>
  <c r="E5" i="78"/>
  <c r="A1" i="78"/>
  <c r="E149" i="52"/>
  <c r="E142" i="52"/>
  <c r="B141" i="52"/>
  <c r="J72" i="52"/>
  <c r="C122" i="52"/>
  <c r="C121" i="52"/>
  <c r="C120" i="52"/>
  <c r="C119" i="52"/>
  <c r="C118" i="52"/>
  <c r="C117" i="52"/>
  <c r="C116" i="52"/>
  <c r="C115" i="52"/>
  <c r="C114" i="52"/>
  <c r="C113" i="52"/>
  <c r="C112" i="52"/>
  <c r="C111" i="52"/>
  <c r="D110" i="52"/>
  <c r="C109" i="52"/>
  <c r="C108" i="52"/>
  <c r="C107" i="52"/>
  <c r="C106" i="52"/>
  <c r="C105" i="52"/>
  <c r="C104" i="52"/>
  <c r="C103" i="52"/>
  <c r="F102" i="52"/>
  <c r="C102" i="52"/>
  <c r="D101" i="52"/>
  <c r="D100" i="52"/>
  <c r="H95" i="52"/>
  <c r="G95" i="52"/>
  <c r="H94" i="52"/>
  <c r="G94" i="52"/>
  <c r="C94" i="52"/>
  <c r="C93" i="52"/>
  <c r="C92" i="52"/>
  <c r="H91" i="52"/>
  <c r="G91" i="52"/>
  <c r="D91" i="52"/>
  <c r="C91" i="52"/>
  <c r="E91" i="52" s="1"/>
  <c r="C90" i="52"/>
  <c r="C89" i="52"/>
  <c r="H88" i="52"/>
  <c r="G88" i="52"/>
  <c r="E88" i="52"/>
  <c r="D88" i="52"/>
  <c r="H87" i="52"/>
  <c r="G87" i="52"/>
  <c r="E87" i="52"/>
  <c r="D87" i="52"/>
  <c r="H86" i="52"/>
  <c r="G86" i="52"/>
  <c r="D86" i="52"/>
  <c r="C86" i="52"/>
  <c r="E86" i="52" s="1"/>
  <c r="H85" i="52"/>
  <c r="G85" i="52"/>
  <c r="E85" i="52"/>
  <c r="D85" i="52"/>
  <c r="C85" i="52"/>
  <c r="C84" i="52"/>
  <c r="C83" i="52"/>
  <c r="C82" i="52"/>
  <c r="M81" i="52"/>
  <c r="L81" i="52"/>
  <c r="J81" i="52"/>
  <c r="H81" i="52"/>
  <c r="G81" i="52"/>
  <c r="E81" i="52"/>
  <c r="C81" i="52"/>
  <c r="M80" i="52"/>
  <c r="L80" i="52"/>
  <c r="H80" i="52"/>
  <c r="G80" i="52"/>
  <c r="C80" i="52"/>
  <c r="J80" i="52" s="1"/>
  <c r="D73" i="52"/>
  <c r="C63" i="52"/>
  <c r="D61" i="52"/>
  <c r="D60" i="52"/>
  <c r="C58" i="52"/>
  <c r="E58" i="52" s="1"/>
  <c r="C57" i="52"/>
  <c r="E57" i="52" s="1"/>
  <c r="E56" i="52"/>
  <c r="C56" i="52"/>
  <c r="C55" i="52"/>
  <c r="E55" i="52" s="1"/>
  <c r="C54" i="52"/>
  <c r="E54" i="52" s="1"/>
  <c r="C53" i="52"/>
  <c r="E53" i="52" s="1"/>
  <c r="C51" i="52"/>
  <c r="D50" i="52"/>
  <c r="C50" i="52"/>
  <c r="E49" i="52"/>
  <c r="E48" i="52"/>
  <c r="C48" i="52"/>
  <c r="G47" i="52"/>
  <c r="D47" i="52"/>
  <c r="C47" i="52"/>
  <c r="E47" i="52" s="1"/>
  <c r="C44" i="52"/>
  <c r="E44" i="52" s="1"/>
  <c r="C43" i="52"/>
  <c r="E43" i="52" s="1"/>
  <c r="C32" i="76"/>
  <c r="C38" i="52"/>
  <c r="E38" i="52" s="1"/>
  <c r="C37" i="52"/>
  <c r="C36" i="52"/>
  <c r="F35" i="52"/>
  <c r="A33" i="52"/>
  <c r="F29" i="52"/>
  <c r="F28" i="52"/>
  <c r="A26" i="52"/>
  <c r="C23" i="52"/>
  <c r="C22" i="52"/>
  <c r="C21" i="52"/>
  <c r="C20" i="52"/>
  <c r="C19" i="52"/>
  <c r="A19" i="52"/>
  <c r="C18" i="52"/>
  <c r="C17" i="52"/>
  <c r="C16" i="52"/>
  <c r="D15" i="52"/>
  <c r="C15" i="52"/>
  <c r="E14" i="52"/>
  <c r="E12" i="52"/>
  <c r="C11" i="52"/>
  <c r="C10" i="52"/>
  <c r="N9" i="52"/>
  <c r="C9" i="52"/>
  <c r="D8" i="52"/>
  <c r="D7" i="52"/>
  <c r="N6" i="52"/>
  <c r="C6" i="52"/>
  <c r="E5" i="52"/>
  <c r="C5" i="52"/>
  <c r="A1" i="52"/>
  <c r="E149" i="50"/>
  <c r="E142" i="50"/>
  <c r="B141" i="50"/>
  <c r="O131" i="50"/>
  <c r="C122" i="50"/>
  <c r="C121" i="50"/>
  <c r="C120" i="50"/>
  <c r="C119" i="50"/>
  <c r="C118" i="50"/>
  <c r="C117" i="50"/>
  <c r="C116" i="50"/>
  <c r="C115" i="50"/>
  <c r="C114" i="50"/>
  <c r="C113" i="50"/>
  <c r="C112" i="50"/>
  <c r="C111" i="50"/>
  <c r="D110" i="50"/>
  <c r="C109" i="50"/>
  <c r="C108" i="50"/>
  <c r="C107" i="50"/>
  <c r="C106" i="50"/>
  <c r="C105" i="50"/>
  <c r="C104" i="50"/>
  <c r="C103" i="50"/>
  <c r="F102" i="50"/>
  <c r="C102" i="50"/>
  <c r="D101" i="50"/>
  <c r="D100" i="50" s="1"/>
  <c r="H95" i="50"/>
  <c r="G95" i="50"/>
  <c r="H94" i="50"/>
  <c r="G94" i="50"/>
  <c r="C94" i="50"/>
  <c r="C93" i="50"/>
  <c r="C92" i="50"/>
  <c r="H91" i="50"/>
  <c r="G91" i="50"/>
  <c r="D91" i="50"/>
  <c r="C91" i="50"/>
  <c r="E91" i="50" s="1"/>
  <c r="C90" i="50"/>
  <c r="C89" i="50"/>
  <c r="H88" i="50"/>
  <c r="G88" i="50"/>
  <c r="E88" i="50"/>
  <c r="D88" i="50"/>
  <c r="C88" i="50"/>
  <c r="H87" i="50"/>
  <c r="G87" i="50"/>
  <c r="D87" i="50"/>
  <c r="C87" i="50"/>
  <c r="E87" i="50" s="1"/>
  <c r="H86" i="50"/>
  <c r="G86" i="50"/>
  <c r="E86" i="50"/>
  <c r="D86" i="50"/>
  <c r="C86" i="50"/>
  <c r="H85" i="50"/>
  <c r="G85" i="50"/>
  <c r="D85" i="50"/>
  <c r="C85" i="50"/>
  <c r="E85" i="50" s="1"/>
  <c r="C84" i="50"/>
  <c r="C83" i="50"/>
  <c r="C82" i="50"/>
  <c r="M81" i="50"/>
  <c r="L81" i="50"/>
  <c r="J81" i="50"/>
  <c r="H81" i="50"/>
  <c r="G81" i="50"/>
  <c r="C81" i="50"/>
  <c r="E81" i="50" s="1"/>
  <c r="M80" i="50"/>
  <c r="L80" i="50"/>
  <c r="J80" i="50"/>
  <c r="H80" i="50"/>
  <c r="G80" i="50"/>
  <c r="E80" i="50"/>
  <c r="C80" i="50"/>
  <c r="D73" i="50"/>
  <c r="C63" i="50"/>
  <c r="D61" i="50"/>
  <c r="D60" i="50"/>
  <c r="C58" i="50"/>
  <c r="E58" i="50" s="1"/>
  <c r="E57" i="50"/>
  <c r="C57" i="50"/>
  <c r="C56" i="50"/>
  <c r="E56" i="50" s="1"/>
  <c r="C55" i="50"/>
  <c r="E55" i="50" s="1"/>
  <c r="C54" i="50"/>
  <c r="E54" i="50" s="1"/>
  <c r="C53" i="50"/>
  <c r="E53" i="50" s="1"/>
  <c r="D52" i="50"/>
  <c r="C52" i="50"/>
  <c r="C51" i="50"/>
  <c r="D50" i="50"/>
  <c r="C50" i="50"/>
  <c r="E49" i="50"/>
  <c r="C48" i="50"/>
  <c r="E48" i="50" s="1"/>
  <c r="C44" i="50"/>
  <c r="E44" i="50" s="1"/>
  <c r="C43" i="50"/>
  <c r="E43" i="50" s="1"/>
  <c r="C31" i="76"/>
  <c r="C38" i="50"/>
  <c r="E38" i="50" s="1"/>
  <c r="C37" i="50"/>
  <c r="C36" i="50"/>
  <c r="F35" i="50"/>
  <c r="A33" i="50"/>
  <c r="F29" i="50"/>
  <c r="F28" i="50"/>
  <c r="A26" i="50"/>
  <c r="C23" i="50"/>
  <c r="C22" i="50"/>
  <c r="C21" i="50"/>
  <c r="C20" i="50"/>
  <c r="C19" i="50"/>
  <c r="A19" i="50"/>
  <c r="C18" i="50"/>
  <c r="C17" i="50"/>
  <c r="C16" i="50"/>
  <c r="D15" i="50"/>
  <c r="C15" i="50"/>
  <c r="E14" i="50"/>
  <c r="E12" i="50"/>
  <c r="C11" i="50"/>
  <c r="C10" i="50"/>
  <c r="N9" i="50"/>
  <c r="C9" i="50"/>
  <c r="D8" i="50"/>
  <c r="D7" i="50"/>
  <c r="N6" i="50"/>
  <c r="C6" i="50"/>
  <c r="E5" i="50"/>
  <c r="A1" i="50"/>
  <c r="E149" i="49"/>
  <c r="E142" i="49"/>
  <c r="D142" i="49"/>
  <c r="B141" i="49"/>
  <c r="C122" i="49"/>
  <c r="C121" i="49"/>
  <c r="C120" i="49"/>
  <c r="C119" i="49"/>
  <c r="C118" i="49"/>
  <c r="C117" i="49"/>
  <c r="C116" i="49"/>
  <c r="C115" i="49"/>
  <c r="C114" i="49"/>
  <c r="C113" i="49"/>
  <c r="C112" i="49"/>
  <c r="C111" i="49"/>
  <c r="D110" i="49"/>
  <c r="C109" i="49"/>
  <c r="C108" i="49"/>
  <c r="C107" i="49"/>
  <c r="C106" i="49"/>
  <c r="C105" i="49"/>
  <c r="C104" i="49"/>
  <c r="C103" i="49"/>
  <c r="F102" i="49"/>
  <c r="C102" i="49"/>
  <c r="D101" i="49"/>
  <c r="D100" i="49" s="1"/>
  <c r="H95" i="49"/>
  <c r="G95" i="49"/>
  <c r="H94" i="49"/>
  <c r="G94" i="49"/>
  <c r="C94" i="49"/>
  <c r="C93" i="49"/>
  <c r="C92" i="49"/>
  <c r="H91" i="49"/>
  <c r="G91" i="49"/>
  <c r="E91" i="49"/>
  <c r="D91" i="49"/>
  <c r="C91" i="49"/>
  <c r="C90" i="49"/>
  <c r="C89" i="49"/>
  <c r="H88" i="49"/>
  <c r="G88" i="49"/>
  <c r="E88" i="49"/>
  <c r="D88" i="49"/>
  <c r="C88" i="49"/>
  <c r="H87" i="49"/>
  <c r="G87" i="49"/>
  <c r="E87" i="49"/>
  <c r="D87" i="49"/>
  <c r="C87" i="49"/>
  <c r="H86" i="49"/>
  <c r="G86" i="49"/>
  <c r="E86" i="49"/>
  <c r="D86" i="49"/>
  <c r="C86" i="49"/>
  <c r="H85" i="49"/>
  <c r="G85" i="49"/>
  <c r="D85" i="49"/>
  <c r="C85" i="49"/>
  <c r="E85" i="49" s="1"/>
  <c r="C84" i="49"/>
  <c r="C83" i="49"/>
  <c r="C82" i="49"/>
  <c r="M81" i="49"/>
  <c r="L81" i="49"/>
  <c r="J81" i="49"/>
  <c r="H81" i="49"/>
  <c r="G81" i="49"/>
  <c r="E81" i="49"/>
  <c r="C81" i="49"/>
  <c r="M80" i="49"/>
  <c r="L80" i="49"/>
  <c r="H80" i="49"/>
  <c r="G80" i="49"/>
  <c r="C80" i="49"/>
  <c r="J80" i="49" s="1"/>
  <c r="D73" i="49"/>
  <c r="C63" i="49"/>
  <c r="D61" i="49"/>
  <c r="D60" i="49"/>
  <c r="C58" i="49"/>
  <c r="E58" i="49" s="1"/>
  <c r="E57" i="49"/>
  <c r="C57" i="49"/>
  <c r="C56" i="49"/>
  <c r="E56" i="49" s="1"/>
  <c r="C55" i="49"/>
  <c r="E55" i="49" s="1"/>
  <c r="C54" i="49"/>
  <c r="E54" i="49" s="1"/>
  <c r="E53" i="49"/>
  <c r="C53" i="49"/>
  <c r="D52" i="49"/>
  <c r="C52" i="49"/>
  <c r="C51" i="49"/>
  <c r="D50" i="49"/>
  <c r="C50" i="49"/>
  <c r="E49" i="49"/>
  <c r="C48" i="49"/>
  <c r="E48" i="49" s="1"/>
  <c r="C44" i="49"/>
  <c r="E44" i="49" s="1"/>
  <c r="C43" i="49"/>
  <c r="E43" i="49" s="1"/>
  <c r="C30" i="76"/>
  <c r="C38" i="49"/>
  <c r="E38" i="49" s="1"/>
  <c r="C37" i="49"/>
  <c r="C36" i="49"/>
  <c r="F35" i="49"/>
  <c r="A33" i="49"/>
  <c r="F29" i="49"/>
  <c r="F28" i="49"/>
  <c r="A26" i="49"/>
  <c r="C23" i="49"/>
  <c r="C22" i="49"/>
  <c r="C21" i="49"/>
  <c r="C20" i="49"/>
  <c r="C19" i="49"/>
  <c r="A19" i="49"/>
  <c r="C18" i="49"/>
  <c r="C17" i="49"/>
  <c r="C16" i="49"/>
  <c r="D15" i="49"/>
  <c r="C15" i="49"/>
  <c r="E14" i="49"/>
  <c r="E12" i="49"/>
  <c r="C11" i="49"/>
  <c r="C10" i="49"/>
  <c r="N9" i="49"/>
  <c r="C9" i="49"/>
  <c r="C5" i="49" s="1"/>
  <c r="D8" i="49"/>
  <c r="D7" i="49"/>
  <c r="N6" i="49"/>
  <c r="C6" i="49"/>
  <c r="E5" i="49"/>
  <c r="A1" i="49"/>
  <c r="E149" i="48"/>
  <c r="E142" i="48"/>
  <c r="B141" i="48"/>
  <c r="O131" i="48"/>
  <c r="AG29" i="76" s="1"/>
  <c r="C122" i="48"/>
  <c r="C121" i="48"/>
  <c r="C120" i="48"/>
  <c r="C119" i="48"/>
  <c r="C118" i="48"/>
  <c r="C117" i="48"/>
  <c r="C116" i="48"/>
  <c r="C114" i="48"/>
  <c r="C113" i="48"/>
  <c r="C112" i="48"/>
  <c r="C111" i="48"/>
  <c r="D110" i="48"/>
  <c r="C109" i="48"/>
  <c r="C108" i="48"/>
  <c r="C107" i="48"/>
  <c r="C102" i="48"/>
  <c r="D101" i="48"/>
  <c r="D100" i="48" s="1"/>
  <c r="H95" i="48"/>
  <c r="G95" i="48"/>
  <c r="H94" i="48"/>
  <c r="G94" i="48"/>
  <c r="C94" i="48"/>
  <c r="C93" i="48"/>
  <c r="C92" i="48"/>
  <c r="H91" i="48"/>
  <c r="G91" i="48"/>
  <c r="E91" i="48"/>
  <c r="D91" i="48"/>
  <c r="C91" i="48"/>
  <c r="H88" i="48"/>
  <c r="G88" i="48"/>
  <c r="E88" i="48"/>
  <c r="D88" i="48"/>
  <c r="C88" i="48"/>
  <c r="H87" i="48"/>
  <c r="G87" i="48"/>
  <c r="E87" i="48"/>
  <c r="D87" i="48"/>
  <c r="C87" i="48"/>
  <c r="H86" i="48"/>
  <c r="G86" i="48"/>
  <c r="E86" i="48"/>
  <c r="D86" i="48"/>
  <c r="C86" i="48"/>
  <c r="O85" i="48"/>
  <c r="L85" i="48"/>
  <c r="L85" i="49" s="1"/>
  <c r="L85" i="50" s="1"/>
  <c r="L85" i="52" s="1"/>
  <c r="L85" i="78" s="1"/>
  <c r="S85" i="78" s="1"/>
  <c r="H85" i="48"/>
  <c r="G85" i="48"/>
  <c r="E85" i="48"/>
  <c r="D85" i="48"/>
  <c r="C85" i="48"/>
  <c r="C84" i="48"/>
  <c r="C83" i="48"/>
  <c r="C82" i="48"/>
  <c r="M81" i="48"/>
  <c r="L81" i="48"/>
  <c r="J81" i="48"/>
  <c r="H81" i="48"/>
  <c r="G81" i="48"/>
  <c r="E81" i="48"/>
  <c r="C81" i="48"/>
  <c r="M80" i="48"/>
  <c r="L80" i="48"/>
  <c r="J80" i="48"/>
  <c r="H80" i="48"/>
  <c r="G80" i="48"/>
  <c r="E80" i="48"/>
  <c r="C80" i="48"/>
  <c r="D60" i="48"/>
  <c r="E49" i="48"/>
  <c r="C29" i="76"/>
  <c r="C37" i="48"/>
  <c r="C36" i="48"/>
  <c r="F35" i="48"/>
  <c r="A33" i="48"/>
  <c r="F29" i="48"/>
  <c r="F28" i="48"/>
  <c r="A26" i="48"/>
  <c r="C22" i="48"/>
  <c r="AC29" i="76"/>
  <c r="C21" i="48"/>
  <c r="AB29" i="76"/>
  <c r="A19" i="48"/>
  <c r="C18" i="48"/>
  <c r="C17" i="48"/>
  <c r="C16" i="48"/>
  <c r="E12" i="48"/>
  <c r="N9" i="48"/>
  <c r="D8" i="48"/>
  <c r="D7" i="48"/>
  <c r="N6" i="48"/>
  <c r="E5" i="48"/>
  <c r="A1" i="48"/>
  <c r="E149" i="47"/>
  <c r="E142" i="47"/>
  <c r="B141" i="47"/>
  <c r="J72" i="47"/>
  <c r="C122" i="47"/>
  <c r="C121" i="47"/>
  <c r="C120" i="47"/>
  <c r="C119" i="47"/>
  <c r="C118" i="47"/>
  <c r="C117" i="47"/>
  <c r="C116" i="47"/>
  <c r="C115" i="47"/>
  <c r="C115" i="48" s="1"/>
  <c r="C114" i="47"/>
  <c r="C113" i="47"/>
  <c r="C112" i="47"/>
  <c r="C111" i="47"/>
  <c r="D110" i="47"/>
  <c r="C109" i="47"/>
  <c r="C108" i="47"/>
  <c r="C107" i="47"/>
  <c r="C106" i="47"/>
  <c r="C106" i="48" s="1"/>
  <c r="C105" i="47"/>
  <c r="C105" i="48" s="1"/>
  <c r="C104" i="47"/>
  <c r="C104" i="48" s="1"/>
  <c r="C103" i="47"/>
  <c r="C103" i="48" s="1"/>
  <c r="F102" i="47"/>
  <c r="C102" i="47"/>
  <c r="D101" i="47"/>
  <c r="D100" i="47" s="1"/>
  <c r="H95" i="47"/>
  <c r="G95" i="47"/>
  <c r="H94" i="47"/>
  <c r="G94" i="47"/>
  <c r="C94" i="47"/>
  <c r="C93" i="47"/>
  <c r="C92" i="47"/>
  <c r="H91" i="47"/>
  <c r="G91" i="47"/>
  <c r="E91" i="47"/>
  <c r="D91" i="47"/>
  <c r="C91" i="47"/>
  <c r="H88" i="47"/>
  <c r="G88" i="47"/>
  <c r="E88" i="47"/>
  <c r="D88" i="47"/>
  <c r="C88" i="47"/>
  <c r="H87" i="47"/>
  <c r="G87" i="47"/>
  <c r="D87" i="47"/>
  <c r="C87" i="47"/>
  <c r="E87" i="47" s="1"/>
  <c r="H86" i="47"/>
  <c r="G86" i="47"/>
  <c r="E86" i="47"/>
  <c r="D86" i="47"/>
  <c r="C86" i="47"/>
  <c r="O85" i="47"/>
  <c r="L85" i="47"/>
  <c r="K85" i="47"/>
  <c r="M85" i="47" s="1"/>
  <c r="H85" i="47"/>
  <c r="G85" i="47"/>
  <c r="E85" i="47"/>
  <c r="D85" i="47"/>
  <c r="C85" i="47"/>
  <c r="C84" i="47"/>
  <c r="C83" i="47"/>
  <c r="C82" i="47"/>
  <c r="M81" i="47"/>
  <c r="L81" i="47"/>
  <c r="H81" i="47"/>
  <c r="G81" i="47"/>
  <c r="E81" i="47"/>
  <c r="C81" i="47"/>
  <c r="J81" i="47" s="1"/>
  <c r="M80" i="47"/>
  <c r="L80" i="47"/>
  <c r="H80" i="47"/>
  <c r="G80" i="47"/>
  <c r="C80" i="47"/>
  <c r="D60" i="47"/>
  <c r="C37" i="47"/>
  <c r="C36" i="47"/>
  <c r="F35" i="47"/>
  <c r="A33" i="47"/>
  <c r="F29" i="47"/>
  <c r="F28" i="47"/>
  <c r="A26" i="47"/>
  <c r="AD28" i="76"/>
  <c r="C22" i="47"/>
  <c r="C21" i="47"/>
  <c r="A19" i="47"/>
  <c r="C18" i="47"/>
  <c r="C17" i="47"/>
  <c r="C16" i="47"/>
  <c r="D15" i="47"/>
  <c r="E12" i="47"/>
  <c r="C11" i="47"/>
  <c r="C11" i="48" s="1"/>
  <c r="N9" i="47"/>
  <c r="E5" i="47"/>
  <c r="D8" i="47"/>
  <c r="D7" i="47"/>
  <c r="N6" i="47"/>
  <c r="C6" i="47"/>
  <c r="A1" i="47"/>
  <c r="E149" i="46"/>
  <c r="E142" i="46"/>
  <c r="B141" i="46"/>
  <c r="J72" i="46"/>
  <c r="C122" i="46"/>
  <c r="C121" i="46"/>
  <c r="C120" i="46"/>
  <c r="C119" i="46"/>
  <c r="C118" i="46"/>
  <c r="C117" i="46"/>
  <c r="C116" i="46"/>
  <c r="C115" i="46"/>
  <c r="C114" i="46"/>
  <c r="C113" i="46"/>
  <c r="C112" i="46"/>
  <c r="C111" i="46"/>
  <c r="D110" i="46"/>
  <c r="C109" i="46"/>
  <c r="C108" i="46"/>
  <c r="C107" i="46"/>
  <c r="C106" i="46"/>
  <c r="C105" i="46"/>
  <c r="C104" i="46"/>
  <c r="C103" i="46"/>
  <c r="F102" i="46"/>
  <c r="C102" i="46"/>
  <c r="D101" i="46"/>
  <c r="D100" i="46" s="1"/>
  <c r="H95" i="46"/>
  <c r="G95" i="46"/>
  <c r="H94" i="46"/>
  <c r="G94" i="46"/>
  <c r="C94" i="46"/>
  <c r="C93" i="46"/>
  <c r="C92" i="46"/>
  <c r="H91" i="46"/>
  <c r="G91" i="46"/>
  <c r="E91" i="46"/>
  <c r="D91" i="46"/>
  <c r="C91" i="46"/>
  <c r="H88" i="46"/>
  <c r="G88" i="46"/>
  <c r="E88" i="46"/>
  <c r="D88" i="46"/>
  <c r="C88" i="46"/>
  <c r="H87" i="46"/>
  <c r="G87" i="46"/>
  <c r="E87" i="46"/>
  <c r="D87" i="46"/>
  <c r="C87" i="46"/>
  <c r="H86" i="46"/>
  <c r="G86" i="46"/>
  <c r="E86" i="46"/>
  <c r="D86" i="46"/>
  <c r="C86" i="46"/>
  <c r="H85" i="46"/>
  <c r="G85" i="46"/>
  <c r="D85" i="46"/>
  <c r="C85" i="46"/>
  <c r="E85" i="46" s="1"/>
  <c r="C84" i="46"/>
  <c r="C83" i="46"/>
  <c r="C82" i="46"/>
  <c r="M81" i="46"/>
  <c r="L81" i="46"/>
  <c r="J81" i="46"/>
  <c r="H81" i="46"/>
  <c r="G81" i="46"/>
  <c r="E81" i="46"/>
  <c r="C81" i="46"/>
  <c r="M80" i="46"/>
  <c r="L80" i="46"/>
  <c r="J80" i="46"/>
  <c r="H80" i="46"/>
  <c r="G80" i="46"/>
  <c r="E80" i="46"/>
  <c r="C80" i="46"/>
  <c r="D60" i="46"/>
  <c r="AD51" i="46"/>
  <c r="AC51" i="46"/>
  <c r="AC50" i="46"/>
  <c r="E49" i="46"/>
  <c r="C27" i="76"/>
  <c r="AC39" i="46"/>
  <c r="AC38" i="46"/>
  <c r="C38" i="46"/>
  <c r="C38" i="47" s="1"/>
  <c r="C37" i="46"/>
  <c r="C36" i="46"/>
  <c r="F35" i="46"/>
  <c r="A33" i="46"/>
  <c r="F29" i="46"/>
  <c r="F28" i="46"/>
  <c r="A26" i="46"/>
  <c r="C23" i="46"/>
  <c r="C23" i="47" s="1"/>
  <c r="C23" i="48" s="1"/>
  <c r="AA22" i="46"/>
  <c r="C22" i="46"/>
  <c r="C21" i="46"/>
  <c r="C20" i="46"/>
  <c r="C20" i="47" s="1"/>
  <c r="C20" i="48" s="1"/>
  <c r="AD19" i="46"/>
  <c r="C19" i="46"/>
  <c r="C19" i="47" s="1"/>
  <c r="C19" i="48" s="1"/>
  <c r="A19" i="46"/>
  <c r="C18" i="46"/>
  <c r="C17" i="46"/>
  <c r="C16" i="46"/>
  <c r="D15" i="46"/>
  <c r="C15" i="46"/>
  <c r="Y14" i="46"/>
  <c r="E14" i="46"/>
  <c r="E12" i="46"/>
  <c r="C11" i="46"/>
  <c r="AA10" i="46"/>
  <c r="C10" i="46"/>
  <c r="C10" i="47" s="1"/>
  <c r="C10" i="48" s="1"/>
  <c r="N9" i="46"/>
  <c r="C9" i="46"/>
  <c r="C9" i="47" s="1"/>
  <c r="C9" i="48" s="1"/>
  <c r="D8" i="46"/>
  <c r="D7" i="46"/>
  <c r="N6" i="46"/>
  <c r="C6" i="46"/>
  <c r="E5" i="46"/>
  <c r="A1" i="46"/>
  <c r="E149" i="45"/>
  <c r="E142" i="45"/>
  <c r="B141" i="45"/>
  <c r="O131" i="45"/>
  <c r="C122" i="45"/>
  <c r="C121" i="45"/>
  <c r="C120" i="45"/>
  <c r="C119" i="45"/>
  <c r="C118" i="45"/>
  <c r="C117" i="45"/>
  <c r="C116" i="45"/>
  <c r="C115" i="45"/>
  <c r="C114" i="45"/>
  <c r="C113" i="45"/>
  <c r="C112" i="45"/>
  <c r="C111" i="45"/>
  <c r="D110" i="45"/>
  <c r="C109" i="45"/>
  <c r="C108" i="45"/>
  <c r="C107" i="45"/>
  <c r="C106" i="45"/>
  <c r="C105" i="45"/>
  <c r="C104" i="45"/>
  <c r="C103" i="45"/>
  <c r="F102" i="45"/>
  <c r="C102" i="45"/>
  <c r="D101" i="45"/>
  <c r="D100" i="45" s="1"/>
  <c r="H95" i="45"/>
  <c r="G95" i="45"/>
  <c r="H94" i="45"/>
  <c r="G94" i="45"/>
  <c r="C94" i="45"/>
  <c r="C93" i="45"/>
  <c r="C92" i="45"/>
  <c r="H91" i="45"/>
  <c r="G91" i="45"/>
  <c r="E91" i="45"/>
  <c r="D91" i="45"/>
  <c r="C91" i="45"/>
  <c r="H88" i="45"/>
  <c r="G88" i="45"/>
  <c r="D88" i="45"/>
  <c r="C88" i="45"/>
  <c r="E88" i="45" s="1"/>
  <c r="H87" i="45"/>
  <c r="G87" i="45"/>
  <c r="D87" i="45"/>
  <c r="C87" i="45"/>
  <c r="E87" i="45" s="1"/>
  <c r="H86" i="45"/>
  <c r="G86" i="45"/>
  <c r="D86" i="45"/>
  <c r="C86" i="45"/>
  <c r="E86" i="45" s="1"/>
  <c r="H85" i="45"/>
  <c r="G85" i="45"/>
  <c r="D85" i="45"/>
  <c r="C85" i="45"/>
  <c r="E85" i="45" s="1"/>
  <c r="C84" i="45"/>
  <c r="C83" i="45"/>
  <c r="C82" i="45"/>
  <c r="M81" i="45"/>
  <c r="L81" i="45"/>
  <c r="J81" i="45"/>
  <c r="H81" i="45"/>
  <c r="G81" i="45"/>
  <c r="C81" i="45"/>
  <c r="E81" i="45" s="1"/>
  <c r="M80" i="45"/>
  <c r="L80" i="45"/>
  <c r="J80" i="45"/>
  <c r="H80" i="45"/>
  <c r="G80" i="45"/>
  <c r="E80" i="45"/>
  <c r="C80" i="45"/>
  <c r="D60" i="45"/>
  <c r="C58" i="45"/>
  <c r="C58" i="46" s="1"/>
  <c r="E57" i="45"/>
  <c r="C57" i="45"/>
  <c r="C57" i="46" s="1"/>
  <c r="C52" i="45"/>
  <c r="C52" i="46" s="1"/>
  <c r="C52" i="47" s="1"/>
  <c r="C52" i="48" s="1"/>
  <c r="D50" i="45"/>
  <c r="E49" i="45"/>
  <c r="C26" i="76"/>
  <c r="C38" i="45"/>
  <c r="E38" i="45" s="1"/>
  <c r="C37" i="45"/>
  <c r="C36" i="45"/>
  <c r="F35" i="45"/>
  <c r="A33" i="45"/>
  <c r="F29" i="45"/>
  <c r="F28" i="45"/>
  <c r="A26" i="45"/>
  <c r="C23" i="45"/>
  <c r="C22" i="45"/>
  <c r="C21" i="45"/>
  <c r="C20" i="45"/>
  <c r="C19" i="45"/>
  <c r="A19" i="45"/>
  <c r="C18" i="45"/>
  <c r="C17" i="45"/>
  <c r="C16" i="45"/>
  <c r="D15" i="45"/>
  <c r="C15" i="45"/>
  <c r="E14" i="45"/>
  <c r="E12" i="45"/>
  <c r="C11" i="45"/>
  <c r="C10" i="45"/>
  <c r="N9" i="45"/>
  <c r="C9" i="45"/>
  <c r="D8" i="45"/>
  <c r="D7" i="45"/>
  <c r="N6" i="45"/>
  <c r="C6" i="45"/>
  <c r="E5" i="45"/>
  <c r="A1" i="45"/>
  <c r="E149" i="44"/>
  <c r="E142" i="44"/>
  <c r="B141" i="44"/>
  <c r="O131" i="44"/>
  <c r="C122" i="44"/>
  <c r="C121" i="44"/>
  <c r="C120" i="44"/>
  <c r="C119" i="44"/>
  <c r="C118" i="44"/>
  <c r="C117" i="44"/>
  <c r="C116" i="44"/>
  <c r="C114" i="44"/>
  <c r="C113" i="44"/>
  <c r="C112" i="44"/>
  <c r="C111" i="44"/>
  <c r="D110" i="44"/>
  <c r="C109" i="44"/>
  <c r="C108" i="44"/>
  <c r="C107" i="44"/>
  <c r="C106" i="44"/>
  <c r="C105" i="44"/>
  <c r="C104" i="44"/>
  <c r="C103" i="44"/>
  <c r="F102" i="44"/>
  <c r="C102" i="44"/>
  <c r="D101" i="44"/>
  <c r="D100" i="44" s="1"/>
  <c r="H95" i="44"/>
  <c r="G95" i="44"/>
  <c r="H94" i="44"/>
  <c r="G94" i="44"/>
  <c r="C94" i="44"/>
  <c r="C93" i="44"/>
  <c r="C92" i="44"/>
  <c r="H91" i="44"/>
  <c r="G91" i="44"/>
  <c r="E91" i="44"/>
  <c r="D91" i="44"/>
  <c r="C91" i="44"/>
  <c r="H88" i="44"/>
  <c r="G88" i="44"/>
  <c r="E88" i="44"/>
  <c r="D88" i="44"/>
  <c r="C88" i="44"/>
  <c r="H87" i="44"/>
  <c r="G87" i="44"/>
  <c r="D87" i="44"/>
  <c r="C87" i="44"/>
  <c r="E87" i="44" s="1"/>
  <c r="H86" i="44"/>
  <c r="G86" i="44"/>
  <c r="E86" i="44"/>
  <c r="D86" i="44"/>
  <c r="C86" i="44"/>
  <c r="H85" i="44"/>
  <c r="G85" i="44"/>
  <c r="D85" i="44"/>
  <c r="C85" i="44"/>
  <c r="E85" i="44" s="1"/>
  <c r="C84" i="44"/>
  <c r="C83" i="44"/>
  <c r="C82" i="44"/>
  <c r="M81" i="44"/>
  <c r="L81" i="44"/>
  <c r="J81" i="44"/>
  <c r="H81" i="44"/>
  <c r="G81" i="44"/>
  <c r="E81" i="44"/>
  <c r="C81" i="44"/>
  <c r="M80" i="44"/>
  <c r="L80" i="44"/>
  <c r="H80" i="44"/>
  <c r="G80" i="44"/>
  <c r="C80" i="44"/>
  <c r="J80" i="44" s="1"/>
  <c r="D73" i="44"/>
  <c r="D73" i="45" s="1"/>
  <c r="C63" i="44"/>
  <c r="C63" i="45" s="1"/>
  <c r="C63" i="46" s="1"/>
  <c r="C63" i="47" s="1"/>
  <c r="C63" i="48" s="1"/>
  <c r="D61" i="44"/>
  <c r="D60" i="44"/>
  <c r="E58" i="44"/>
  <c r="C58" i="44"/>
  <c r="E57" i="44"/>
  <c r="C57" i="44"/>
  <c r="C56" i="44"/>
  <c r="C56" i="45" s="1"/>
  <c r="C55" i="44"/>
  <c r="C55" i="45" s="1"/>
  <c r="C54" i="44"/>
  <c r="C53" i="44"/>
  <c r="C53" i="45" s="1"/>
  <c r="C53" i="46" s="1"/>
  <c r="D52" i="44"/>
  <c r="D52" i="45" s="1"/>
  <c r="D52" i="46" s="1"/>
  <c r="D52" i="47" s="1"/>
  <c r="D52" i="48" s="1"/>
  <c r="C52" i="44"/>
  <c r="C51" i="44"/>
  <c r="C51" i="45" s="1"/>
  <c r="C51" i="46" s="1"/>
  <c r="C51" i="47" s="1"/>
  <c r="C51" i="48" s="1"/>
  <c r="D50" i="44"/>
  <c r="C50" i="44"/>
  <c r="C50" i="45" s="1"/>
  <c r="C50" i="46" s="1"/>
  <c r="C50" i="47" s="1"/>
  <c r="C50" i="48" s="1"/>
  <c r="E49" i="44"/>
  <c r="C48" i="44"/>
  <c r="E48" i="44" s="1"/>
  <c r="C44" i="44"/>
  <c r="E44" i="44" s="1"/>
  <c r="C43" i="44"/>
  <c r="C25" i="76"/>
  <c r="C38" i="44"/>
  <c r="E38" i="44" s="1"/>
  <c r="C37" i="44"/>
  <c r="C36" i="44"/>
  <c r="F35" i="44"/>
  <c r="A33" i="44"/>
  <c r="F29" i="44"/>
  <c r="F28" i="44"/>
  <c r="A26" i="44"/>
  <c r="C23" i="44"/>
  <c r="C22" i="44"/>
  <c r="C21" i="44"/>
  <c r="C20" i="44"/>
  <c r="C19" i="44"/>
  <c r="A19" i="44"/>
  <c r="C18" i="44"/>
  <c r="C17" i="44"/>
  <c r="C16" i="44"/>
  <c r="G15" i="44"/>
  <c r="D15" i="44"/>
  <c r="C15" i="44"/>
  <c r="E14" i="44"/>
  <c r="E12" i="44"/>
  <c r="N9" i="44"/>
  <c r="C9" i="44"/>
  <c r="D8" i="44"/>
  <c r="D7" i="44"/>
  <c r="N6" i="44"/>
  <c r="C6" i="44"/>
  <c r="E5" i="44"/>
  <c r="A1" i="44"/>
  <c r="E149" i="43"/>
  <c r="E142" i="43"/>
  <c r="B141" i="43"/>
  <c r="O131" i="43"/>
  <c r="C122" i="43"/>
  <c r="C121" i="43"/>
  <c r="C120" i="43"/>
  <c r="C119" i="43"/>
  <c r="C118" i="43"/>
  <c r="C117" i="43"/>
  <c r="C116" i="43"/>
  <c r="C115" i="43"/>
  <c r="C115" i="44" s="1"/>
  <c r="C114" i="43"/>
  <c r="C113" i="43"/>
  <c r="C112" i="43"/>
  <c r="C111" i="43"/>
  <c r="D110" i="43"/>
  <c r="C109" i="43"/>
  <c r="C108" i="43"/>
  <c r="C107" i="43"/>
  <c r="C106" i="43"/>
  <c r="C105" i="43"/>
  <c r="C104" i="43"/>
  <c r="C103" i="43"/>
  <c r="C102" i="43"/>
  <c r="D101" i="43"/>
  <c r="D100" i="43" s="1"/>
  <c r="H95" i="43"/>
  <c r="G95" i="43"/>
  <c r="H94" i="43"/>
  <c r="G94" i="43"/>
  <c r="C94" i="43"/>
  <c r="C93" i="43"/>
  <c r="C92" i="43"/>
  <c r="H91" i="43"/>
  <c r="G91" i="43"/>
  <c r="E91" i="43"/>
  <c r="D91" i="43"/>
  <c r="C91" i="43"/>
  <c r="C90" i="43"/>
  <c r="H88" i="43"/>
  <c r="G88" i="43"/>
  <c r="D88" i="43"/>
  <c r="C88" i="43"/>
  <c r="E88" i="43" s="1"/>
  <c r="H87" i="43"/>
  <c r="G87" i="43"/>
  <c r="D87" i="43"/>
  <c r="C87" i="43"/>
  <c r="E87" i="43" s="1"/>
  <c r="H86" i="43"/>
  <c r="G86" i="43"/>
  <c r="E86" i="43"/>
  <c r="D86" i="43"/>
  <c r="C86" i="43"/>
  <c r="H85" i="43"/>
  <c r="G85" i="43"/>
  <c r="D85" i="43"/>
  <c r="C85" i="43"/>
  <c r="E85" i="43" s="1"/>
  <c r="C84" i="43"/>
  <c r="C83" i="43"/>
  <c r="C82" i="43"/>
  <c r="M81" i="43"/>
  <c r="L81" i="43"/>
  <c r="J81" i="43"/>
  <c r="H81" i="43"/>
  <c r="G81" i="43"/>
  <c r="E81" i="43"/>
  <c r="C81" i="43"/>
  <c r="M80" i="43"/>
  <c r="L80" i="43"/>
  <c r="J80" i="43"/>
  <c r="H80" i="43"/>
  <c r="G80" i="43"/>
  <c r="C80" i="43"/>
  <c r="E80" i="43" s="1"/>
  <c r="D73" i="43"/>
  <c r="C63" i="43"/>
  <c r="D61" i="43"/>
  <c r="D60" i="43"/>
  <c r="C58" i="43"/>
  <c r="E58" i="43" s="1"/>
  <c r="E57" i="43"/>
  <c r="C57" i="43"/>
  <c r="E56" i="43"/>
  <c r="C56" i="43"/>
  <c r="C55" i="43"/>
  <c r="E55" i="43" s="1"/>
  <c r="C54" i="43"/>
  <c r="E54" i="43" s="1"/>
  <c r="C53" i="43"/>
  <c r="E53" i="43" s="1"/>
  <c r="D52" i="43"/>
  <c r="C52" i="43"/>
  <c r="C51" i="43"/>
  <c r="D50" i="43"/>
  <c r="C50" i="43"/>
  <c r="E49" i="43"/>
  <c r="C48" i="43"/>
  <c r="E48" i="43" s="1"/>
  <c r="C44" i="43"/>
  <c r="E44" i="43" s="1"/>
  <c r="C43" i="43"/>
  <c r="E43" i="43" s="1"/>
  <c r="C24" i="76"/>
  <c r="C38" i="43"/>
  <c r="E38" i="43" s="1"/>
  <c r="C37" i="43"/>
  <c r="C36" i="43"/>
  <c r="F35" i="43"/>
  <c r="A33" i="43"/>
  <c r="F29" i="43"/>
  <c r="F28" i="43"/>
  <c r="A26" i="43"/>
  <c r="C23" i="43"/>
  <c r="C22" i="43"/>
  <c r="C21" i="43"/>
  <c r="C20" i="43"/>
  <c r="C19" i="43"/>
  <c r="A19" i="43"/>
  <c r="C18" i="43"/>
  <c r="C17" i="43"/>
  <c r="C16" i="43"/>
  <c r="G15" i="43"/>
  <c r="D15" i="43"/>
  <c r="C15" i="43"/>
  <c r="E14" i="43"/>
  <c r="E12" i="43"/>
  <c r="N9" i="43"/>
  <c r="C9" i="43"/>
  <c r="D8" i="43"/>
  <c r="D7" i="43"/>
  <c r="N6" i="43"/>
  <c r="C6" i="43"/>
  <c r="C5" i="43" s="1"/>
  <c r="E5" i="43"/>
  <c r="A1" i="43"/>
  <c r="E149" i="74"/>
  <c r="E142" i="74"/>
  <c r="B141" i="74"/>
  <c r="C122" i="74"/>
  <c r="C121" i="74"/>
  <c r="C120" i="74"/>
  <c r="C119" i="74"/>
  <c r="C118" i="74"/>
  <c r="C117" i="74"/>
  <c r="C116" i="74"/>
  <c r="C115" i="74"/>
  <c r="C114" i="74"/>
  <c r="C113" i="74"/>
  <c r="C112" i="74"/>
  <c r="C111" i="74"/>
  <c r="D110" i="74"/>
  <c r="C109" i="74"/>
  <c r="C108" i="74"/>
  <c r="C107" i="74"/>
  <c r="C106" i="74"/>
  <c r="C105" i="74"/>
  <c r="C104" i="74"/>
  <c r="C103" i="74"/>
  <c r="F102" i="74"/>
  <c r="C102" i="74"/>
  <c r="D101" i="74"/>
  <c r="D100" i="74" s="1"/>
  <c r="H95" i="74"/>
  <c r="G95" i="74"/>
  <c r="H94" i="74"/>
  <c r="G94" i="74"/>
  <c r="C94" i="74"/>
  <c r="C93" i="74"/>
  <c r="C92" i="74"/>
  <c r="H91" i="74"/>
  <c r="G91" i="74"/>
  <c r="E91" i="74"/>
  <c r="D91" i="74"/>
  <c r="C91" i="74"/>
  <c r="C90" i="74"/>
  <c r="C89" i="74"/>
  <c r="C89" i="43" s="1"/>
  <c r="H88" i="74"/>
  <c r="G88" i="74"/>
  <c r="D88" i="74"/>
  <c r="C88" i="74"/>
  <c r="E88" i="74" s="1"/>
  <c r="H87" i="74"/>
  <c r="G87" i="74"/>
  <c r="D87" i="74"/>
  <c r="C87" i="74"/>
  <c r="E87" i="74" s="1"/>
  <c r="H86" i="74"/>
  <c r="G86" i="74"/>
  <c r="E86" i="74"/>
  <c r="D86" i="74"/>
  <c r="C86" i="74"/>
  <c r="H85" i="74"/>
  <c r="G85" i="74"/>
  <c r="D85" i="74"/>
  <c r="C85" i="74"/>
  <c r="E85" i="74" s="1"/>
  <c r="C84" i="74"/>
  <c r="C83" i="74"/>
  <c r="C82" i="74"/>
  <c r="M81" i="74"/>
  <c r="L81" i="74"/>
  <c r="H81" i="74"/>
  <c r="G81" i="74"/>
  <c r="E81" i="74"/>
  <c r="C81" i="74"/>
  <c r="J81" i="74" s="1"/>
  <c r="M80" i="74"/>
  <c r="L80" i="74"/>
  <c r="H80" i="74"/>
  <c r="G80" i="74"/>
  <c r="C80" i="74"/>
  <c r="J80" i="74" s="1"/>
  <c r="D73" i="74"/>
  <c r="C63" i="74"/>
  <c r="D61" i="74"/>
  <c r="D60" i="74"/>
  <c r="C58" i="74"/>
  <c r="E58" i="74" s="1"/>
  <c r="E57" i="74"/>
  <c r="C57" i="74"/>
  <c r="E56" i="74"/>
  <c r="C56" i="74"/>
  <c r="C55" i="74"/>
  <c r="E55" i="74" s="1"/>
  <c r="C54" i="74"/>
  <c r="E54" i="74" s="1"/>
  <c r="C53" i="74"/>
  <c r="E53" i="74" s="1"/>
  <c r="D52" i="74"/>
  <c r="C52" i="74"/>
  <c r="C51" i="74"/>
  <c r="D50" i="74"/>
  <c r="C50" i="74"/>
  <c r="E49" i="74"/>
  <c r="C48" i="74"/>
  <c r="E48" i="74" s="1"/>
  <c r="C44" i="74"/>
  <c r="E44" i="74" s="1"/>
  <c r="C43" i="74"/>
  <c r="E43" i="74" s="1"/>
  <c r="C23" i="76"/>
  <c r="C38" i="74"/>
  <c r="E38" i="74" s="1"/>
  <c r="C37" i="74"/>
  <c r="C36" i="74"/>
  <c r="F35" i="74"/>
  <c r="A33" i="74"/>
  <c r="F29" i="74"/>
  <c r="F28" i="74"/>
  <c r="A26" i="74"/>
  <c r="C23" i="74"/>
  <c r="C22" i="74"/>
  <c r="C21" i="74"/>
  <c r="C20" i="74"/>
  <c r="C19" i="74"/>
  <c r="A19" i="74"/>
  <c r="C18" i="74"/>
  <c r="C17" i="74"/>
  <c r="C16" i="74"/>
  <c r="D15" i="74"/>
  <c r="C15" i="74"/>
  <c r="E14" i="74"/>
  <c r="E12" i="74"/>
  <c r="N9" i="74"/>
  <c r="C9" i="74"/>
  <c r="C5" i="74" s="1"/>
  <c r="D8" i="74"/>
  <c r="D7" i="74"/>
  <c r="N6" i="74"/>
  <c r="C6" i="74"/>
  <c r="E5" i="74"/>
  <c r="A1" i="74"/>
  <c r="E149" i="73"/>
  <c r="E142" i="73"/>
  <c r="B141" i="73"/>
  <c r="J72" i="73"/>
  <c r="C122" i="73"/>
  <c r="C121" i="73"/>
  <c r="C120" i="73"/>
  <c r="C119" i="73"/>
  <c r="C118" i="73"/>
  <c r="C117" i="73"/>
  <c r="C116" i="73"/>
  <c r="C115" i="73"/>
  <c r="C114" i="73"/>
  <c r="C113" i="73"/>
  <c r="C112" i="73"/>
  <c r="C111" i="73"/>
  <c r="D110" i="73"/>
  <c r="C109" i="73"/>
  <c r="C108" i="73"/>
  <c r="C107" i="73"/>
  <c r="C106" i="73"/>
  <c r="C105" i="73"/>
  <c r="C104" i="73"/>
  <c r="C103" i="73"/>
  <c r="F102" i="73"/>
  <c r="C102" i="73"/>
  <c r="D101" i="73"/>
  <c r="D100" i="73"/>
  <c r="H95" i="73"/>
  <c r="G95" i="73"/>
  <c r="H94" i="73"/>
  <c r="G94" i="73"/>
  <c r="C94" i="73"/>
  <c r="C93" i="73"/>
  <c r="C92" i="73"/>
  <c r="H91" i="73"/>
  <c r="G91" i="73"/>
  <c r="E91" i="73"/>
  <c r="D91" i="73"/>
  <c r="C91" i="73"/>
  <c r="C90" i="73"/>
  <c r="C89" i="73"/>
  <c r="H88" i="73"/>
  <c r="G88" i="73"/>
  <c r="D88" i="73"/>
  <c r="C88" i="73"/>
  <c r="E88" i="73" s="1"/>
  <c r="H87" i="73"/>
  <c r="G87" i="73"/>
  <c r="D87" i="73"/>
  <c r="C87" i="73"/>
  <c r="E87" i="73" s="1"/>
  <c r="H86" i="73"/>
  <c r="G86" i="73"/>
  <c r="D86" i="73"/>
  <c r="C86" i="73"/>
  <c r="E86" i="73" s="1"/>
  <c r="H85" i="73"/>
  <c r="G85" i="73"/>
  <c r="D85" i="73"/>
  <c r="C85" i="73"/>
  <c r="E85" i="73" s="1"/>
  <c r="C84" i="73"/>
  <c r="C83" i="73"/>
  <c r="C82" i="73"/>
  <c r="M81" i="73"/>
  <c r="L81" i="73"/>
  <c r="H81" i="73"/>
  <c r="G81" i="73"/>
  <c r="C81" i="73"/>
  <c r="J81" i="73" s="1"/>
  <c r="M80" i="73"/>
  <c r="L80" i="73"/>
  <c r="J80" i="73"/>
  <c r="H80" i="73"/>
  <c r="G80" i="73"/>
  <c r="E80" i="73"/>
  <c r="C80" i="73"/>
  <c r="D73" i="73"/>
  <c r="C63" i="73"/>
  <c r="D61" i="73"/>
  <c r="D60" i="73"/>
  <c r="C58" i="73"/>
  <c r="E58" i="73" s="1"/>
  <c r="E57" i="73"/>
  <c r="C57" i="73"/>
  <c r="C56" i="73"/>
  <c r="E56" i="73" s="1"/>
  <c r="C55" i="73"/>
  <c r="E55" i="73" s="1"/>
  <c r="C54" i="73"/>
  <c r="E54" i="73" s="1"/>
  <c r="C53" i="73"/>
  <c r="E53" i="73" s="1"/>
  <c r="D52" i="73"/>
  <c r="C52" i="73"/>
  <c r="C51" i="73"/>
  <c r="D50" i="73"/>
  <c r="C50" i="73"/>
  <c r="E49" i="73"/>
  <c r="C49" i="73"/>
  <c r="C48" i="73"/>
  <c r="E48" i="73" s="1"/>
  <c r="C44" i="73"/>
  <c r="E44" i="73" s="1"/>
  <c r="C43" i="73"/>
  <c r="E43" i="73" s="1"/>
  <c r="C22" i="76"/>
  <c r="C38" i="73"/>
  <c r="E38" i="73" s="1"/>
  <c r="C37" i="73"/>
  <c r="C36" i="73"/>
  <c r="F35" i="73"/>
  <c r="A33" i="73"/>
  <c r="F29" i="73"/>
  <c r="F28" i="73"/>
  <c r="A26" i="73"/>
  <c r="C23" i="73"/>
  <c r="C22" i="73"/>
  <c r="C21" i="73"/>
  <c r="C20" i="73"/>
  <c r="C19" i="73"/>
  <c r="A19" i="73"/>
  <c r="C18" i="73"/>
  <c r="C17" i="73"/>
  <c r="C16" i="73"/>
  <c r="D15" i="73"/>
  <c r="C15" i="73"/>
  <c r="E14" i="73"/>
  <c r="E12" i="73"/>
  <c r="N9" i="73"/>
  <c r="C9" i="73"/>
  <c r="D8" i="73"/>
  <c r="D7" i="73"/>
  <c r="N6" i="73"/>
  <c r="C6" i="73"/>
  <c r="E5" i="73"/>
  <c r="A1" i="73"/>
  <c r="E149" i="72"/>
  <c r="E142" i="72"/>
  <c r="B141" i="72"/>
  <c r="O131" i="72"/>
  <c r="AG21" i="76" s="1"/>
  <c r="C122" i="72"/>
  <c r="C121" i="72"/>
  <c r="C120" i="72"/>
  <c r="C119" i="72"/>
  <c r="C118" i="72"/>
  <c r="C117" i="72"/>
  <c r="C116" i="72"/>
  <c r="C115" i="72"/>
  <c r="C114" i="72"/>
  <c r="C113" i="72"/>
  <c r="C112" i="72"/>
  <c r="C111" i="72"/>
  <c r="D110" i="72"/>
  <c r="C109" i="72"/>
  <c r="C108" i="72"/>
  <c r="C107" i="72"/>
  <c r="C106" i="72"/>
  <c r="C105" i="72"/>
  <c r="C104" i="72"/>
  <c r="C103" i="72"/>
  <c r="F102" i="72"/>
  <c r="C102" i="72"/>
  <c r="D101" i="72"/>
  <c r="D100" i="72" s="1"/>
  <c r="H95" i="72"/>
  <c r="G95" i="72"/>
  <c r="H94" i="72"/>
  <c r="G94" i="72"/>
  <c r="C94" i="72"/>
  <c r="C93" i="72"/>
  <c r="C92" i="72"/>
  <c r="H91" i="72"/>
  <c r="G91" i="72"/>
  <c r="D91" i="72"/>
  <c r="C91" i="72"/>
  <c r="E91" i="72" s="1"/>
  <c r="C90" i="72"/>
  <c r="C89" i="72"/>
  <c r="H88" i="72"/>
  <c r="G88" i="72"/>
  <c r="E88" i="72"/>
  <c r="D88" i="72"/>
  <c r="C88" i="72"/>
  <c r="H87" i="72"/>
  <c r="G87" i="72"/>
  <c r="E87" i="72"/>
  <c r="D87" i="72"/>
  <c r="C87" i="72"/>
  <c r="H86" i="72"/>
  <c r="G86" i="72"/>
  <c r="D86" i="72"/>
  <c r="C86" i="72"/>
  <c r="E86" i="72" s="1"/>
  <c r="H85" i="72"/>
  <c r="G85" i="72"/>
  <c r="D85" i="72"/>
  <c r="C85" i="72"/>
  <c r="E85" i="72" s="1"/>
  <c r="C84" i="72"/>
  <c r="C83" i="72"/>
  <c r="C82" i="72"/>
  <c r="M81" i="72"/>
  <c r="L81" i="72"/>
  <c r="J81" i="72"/>
  <c r="H81" i="72"/>
  <c r="G81" i="72"/>
  <c r="E81" i="72"/>
  <c r="C81" i="72"/>
  <c r="M80" i="72"/>
  <c r="L80" i="72"/>
  <c r="H80" i="72"/>
  <c r="G80" i="72"/>
  <c r="C80" i="72"/>
  <c r="D73" i="72"/>
  <c r="C63" i="72"/>
  <c r="D61" i="72"/>
  <c r="D60" i="72"/>
  <c r="C58" i="72"/>
  <c r="E58" i="72" s="1"/>
  <c r="C57" i="72"/>
  <c r="E57" i="72" s="1"/>
  <c r="E56" i="72"/>
  <c r="C56" i="72"/>
  <c r="C55" i="72"/>
  <c r="E55" i="72" s="1"/>
  <c r="C54" i="72"/>
  <c r="E54" i="72" s="1"/>
  <c r="E53" i="72"/>
  <c r="C53" i="72"/>
  <c r="D52" i="72"/>
  <c r="C52" i="72"/>
  <c r="C51" i="72"/>
  <c r="D50" i="72"/>
  <c r="C50" i="72"/>
  <c r="E49" i="72"/>
  <c r="C49" i="72"/>
  <c r="C48" i="72"/>
  <c r="E48" i="72" s="1"/>
  <c r="C44" i="72"/>
  <c r="E44" i="72" s="1"/>
  <c r="C43" i="72"/>
  <c r="E43" i="72" s="1"/>
  <c r="C21" i="76"/>
  <c r="C38" i="72"/>
  <c r="E38" i="72" s="1"/>
  <c r="C37" i="72"/>
  <c r="C36" i="72"/>
  <c r="F35" i="72"/>
  <c r="A33" i="72"/>
  <c r="F29" i="72"/>
  <c r="F28" i="72"/>
  <c r="A26" i="72"/>
  <c r="C23" i="72"/>
  <c r="C22" i="72"/>
  <c r="C21" i="72"/>
  <c r="C20" i="72"/>
  <c r="C19" i="72"/>
  <c r="A19" i="72"/>
  <c r="C18" i="72"/>
  <c r="C17" i="72"/>
  <c r="C16" i="72"/>
  <c r="D15" i="72"/>
  <c r="C15" i="72"/>
  <c r="E14" i="72"/>
  <c r="E12" i="72"/>
  <c r="N9" i="72"/>
  <c r="C9" i="72"/>
  <c r="D8" i="72"/>
  <c r="D7" i="72"/>
  <c r="N6" i="72"/>
  <c r="C6" i="72"/>
  <c r="E5" i="72"/>
  <c r="C5" i="72"/>
  <c r="A1" i="72"/>
  <c r="E149" i="71"/>
  <c r="E142" i="71"/>
  <c r="B141" i="71"/>
  <c r="C122" i="71"/>
  <c r="C121" i="71"/>
  <c r="C120" i="71"/>
  <c r="C119" i="71"/>
  <c r="C118" i="71"/>
  <c r="C117" i="71"/>
  <c r="C116" i="71"/>
  <c r="C115" i="71"/>
  <c r="C114" i="71"/>
  <c r="C113" i="71"/>
  <c r="C112" i="71"/>
  <c r="C111" i="71"/>
  <c r="D110" i="71"/>
  <c r="C109" i="71"/>
  <c r="C108" i="71"/>
  <c r="C107" i="71"/>
  <c r="C106" i="71"/>
  <c r="C105" i="71"/>
  <c r="C104" i="71"/>
  <c r="C103" i="71"/>
  <c r="F102" i="71"/>
  <c r="C102" i="71"/>
  <c r="D101" i="71"/>
  <c r="D100" i="71" s="1"/>
  <c r="H95" i="71"/>
  <c r="G95" i="71"/>
  <c r="H94" i="71"/>
  <c r="G94" i="71"/>
  <c r="C94" i="71"/>
  <c r="C93" i="71"/>
  <c r="C92" i="71"/>
  <c r="H91" i="71"/>
  <c r="G91" i="71"/>
  <c r="D91" i="71"/>
  <c r="C91" i="71"/>
  <c r="E91" i="71" s="1"/>
  <c r="C90" i="71"/>
  <c r="C89" i="71"/>
  <c r="H88" i="71"/>
  <c r="G88" i="71"/>
  <c r="E88" i="71"/>
  <c r="D88" i="71"/>
  <c r="C88" i="71"/>
  <c r="H87" i="71"/>
  <c r="G87" i="71"/>
  <c r="D87" i="71"/>
  <c r="C87" i="71"/>
  <c r="E87" i="71" s="1"/>
  <c r="H86" i="71"/>
  <c r="G86" i="71"/>
  <c r="E86" i="71"/>
  <c r="D86" i="71"/>
  <c r="C86" i="71"/>
  <c r="H85" i="71"/>
  <c r="G85" i="71"/>
  <c r="D85" i="71"/>
  <c r="C85" i="71"/>
  <c r="E85" i="71" s="1"/>
  <c r="C84" i="71"/>
  <c r="C83" i="71"/>
  <c r="C82" i="71"/>
  <c r="M81" i="71"/>
  <c r="L81" i="71"/>
  <c r="J81" i="71"/>
  <c r="H81" i="71"/>
  <c r="G81" i="71"/>
  <c r="E81" i="71"/>
  <c r="C81" i="71"/>
  <c r="M80" i="71"/>
  <c r="L80" i="71"/>
  <c r="H80" i="71"/>
  <c r="G80" i="71"/>
  <c r="C80" i="71"/>
  <c r="D73" i="71"/>
  <c r="C63" i="71"/>
  <c r="D61" i="71"/>
  <c r="D60" i="71"/>
  <c r="C58" i="71"/>
  <c r="E58" i="71" s="1"/>
  <c r="C57" i="71"/>
  <c r="E57" i="71" s="1"/>
  <c r="E56" i="71"/>
  <c r="C56" i="71"/>
  <c r="C55" i="71"/>
  <c r="E55" i="71" s="1"/>
  <c r="C54" i="71"/>
  <c r="E54" i="71" s="1"/>
  <c r="C53" i="71"/>
  <c r="E53" i="71" s="1"/>
  <c r="D52" i="71"/>
  <c r="C52" i="71"/>
  <c r="C51" i="71"/>
  <c r="C49" i="71" s="1"/>
  <c r="D50" i="71"/>
  <c r="C50" i="71"/>
  <c r="E49" i="71"/>
  <c r="C48" i="71"/>
  <c r="E48" i="71" s="1"/>
  <c r="E44" i="71"/>
  <c r="C44" i="71"/>
  <c r="C43" i="71"/>
  <c r="E43" i="71" s="1"/>
  <c r="C20" i="76"/>
  <c r="C38" i="71"/>
  <c r="E38" i="71" s="1"/>
  <c r="C37" i="71"/>
  <c r="C36" i="71"/>
  <c r="F35" i="71"/>
  <c r="A33" i="71"/>
  <c r="F29" i="71"/>
  <c r="F28" i="71"/>
  <c r="A26" i="71"/>
  <c r="C23" i="71"/>
  <c r="C22" i="71"/>
  <c r="C21" i="71"/>
  <c r="C20" i="71"/>
  <c r="C19" i="71"/>
  <c r="A19" i="71"/>
  <c r="C18" i="71"/>
  <c r="C17" i="71"/>
  <c r="C16" i="71"/>
  <c r="D15" i="71"/>
  <c r="C15" i="71"/>
  <c r="E14" i="71"/>
  <c r="E12" i="71"/>
  <c r="N9" i="71"/>
  <c r="C9" i="71"/>
  <c r="C5" i="71" s="1"/>
  <c r="D8" i="71"/>
  <c r="D7" i="71"/>
  <c r="N6" i="71"/>
  <c r="C6" i="71"/>
  <c r="E5" i="71"/>
  <c r="A1" i="71"/>
  <c r="E149" i="70"/>
  <c r="E142" i="70"/>
  <c r="B141" i="70"/>
  <c r="O131" i="70"/>
  <c r="C122" i="70"/>
  <c r="C121" i="70"/>
  <c r="C120" i="70"/>
  <c r="C119" i="70"/>
  <c r="C118" i="70"/>
  <c r="C117" i="70"/>
  <c r="C116" i="70"/>
  <c r="C115" i="70"/>
  <c r="C114" i="70"/>
  <c r="C113" i="70"/>
  <c r="C112" i="70"/>
  <c r="C111" i="70"/>
  <c r="D110" i="70"/>
  <c r="C109" i="70"/>
  <c r="C108" i="70"/>
  <c r="C107" i="70"/>
  <c r="C106" i="70"/>
  <c r="C105" i="70"/>
  <c r="C104" i="70"/>
  <c r="C103" i="70"/>
  <c r="F102" i="70"/>
  <c r="C102" i="70"/>
  <c r="D101" i="70"/>
  <c r="D100" i="70" s="1"/>
  <c r="H95" i="70"/>
  <c r="G95" i="70"/>
  <c r="H94" i="70"/>
  <c r="G94" i="70"/>
  <c r="C94" i="70"/>
  <c r="C93" i="70"/>
  <c r="C92" i="70"/>
  <c r="H91" i="70"/>
  <c r="G91" i="70"/>
  <c r="E91" i="70"/>
  <c r="D91" i="70"/>
  <c r="C91" i="70"/>
  <c r="C90" i="70"/>
  <c r="C89" i="70"/>
  <c r="H88" i="70"/>
  <c r="G88" i="70"/>
  <c r="E88" i="70"/>
  <c r="D88" i="70"/>
  <c r="C88" i="70"/>
  <c r="H87" i="70"/>
  <c r="G87" i="70"/>
  <c r="D87" i="70"/>
  <c r="C87" i="70"/>
  <c r="E87" i="70" s="1"/>
  <c r="H86" i="70"/>
  <c r="G86" i="70"/>
  <c r="E86" i="70"/>
  <c r="D86" i="70"/>
  <c r="C86" i="70"/>
  <c r="H85" i="70"/>
  <c r="G85" i="70"/>
  <c r="D85" i="70"/>
  <c r="C85" i="70"/>
  <c r="E85" i="70" s="1"/>
  <c r="C84" i="70"/>
  <c r="C83" i="70"/>
  <c r="C82" i="70"/>
  <c r="M81" i="70"/>
  <c r="L81" i="70"/>
  <c r="H81" i="70"/>
  <c r="G81" i="70"/>
  <c r="C81" i="70"/>
  <c r="E81" i="70" s="1"/>
  <c r="M80" i="70"/>
  <c r="L80" i="70"/>
  <c r="J80" i="70"/>
  <c r="H80" i="70"/>
  <c r="G80" i="70"/>
  <c r="E80" i="70"/>
  <c r="C80" i="70"/>
  <c r="D73" i="70"/>
  <c r="C63" i="70"/>
  <c r="D61" i="70"/>
  <c r="D60" i="70"/>
  <c r="C58" i="70"/>
  <c r="E58" i="70" s="1"/>
  <c r="E57" i="70"/>
  <c r="C57" i="70"/>
  <c r="C56" i="70"/>
  <c r="E56" i="70" s="1"/>
  <c r="C55" i="70"/>
  <c r="E55" i="70" s="1"/>
  <c r="E54" i="70"/>
  <c r="C54" i="70"/>
  <c r="E53" i="70"/>
  <c r="C53" i="70"/>
  <c r="D52" i="70"/>
  <c r="C52" i="70"/>
  <c r="C51" i="70"/>
  <c r="D50" i="70"/>
  <c r="C50" i="70"/>
  <c r="E49" i="70"/>
  <c r="C49" i="70"/>
  <c r="C48" i="70"/>
  <c r="E48" i="70" s="1"/>
  <c r="C44" i="70"/>
  <c r="E44" i="70" s="1"/>
  <c r="C43" i="70"/>
  <c r="E43" i="70" s="1"/>
  <c r="C19" i="76"/>
  <c r="C38" i="70"/>
  <c r="E38" i="70" s="1"/>
  <c r="C37" i="70"/>
  <c r="C36" i="70"/>
  <c r="F35" i="70"/>
  <c r="A33" i="70"/>
  <c r="F29" i="70"/>
  <c r="F28" i="70"/>
  <c r="A26" i="70"/>
  <c r="C23" i="70"/>
  <c r="C22" i="70"/>
  <c r="C21" i="70"/>
  <c r="C20" i="70"/>
  <c r="C19" i="70"/>
  <c r="A19" i="70"/>
  <c r="C18" i="70"/>
  <c r="C17" i="70"/>
  <c r="C16" i="70"/>
  <c r="D15" i="70"/>
  <c r="C15" i="70"/>
  <c r="E14" i="70"/>
  <c r="G13" i="70"/>
  <c r="G13" i="71" s="1"/>
  <c r="G13" i="72" s="1"/>
  <c r="G13" i="73" s="1"/>
  <c r="G13" i="74" s="1"/>
  <c r="G13" i="43" s="1"/>
  <c r="G13" i="44" s="1"/>
  <c r="G13" i="45" s="1"/>
  <c r="G13" i="46" s="1"/>
  <c r="G13" i="47" s="1"/>
  <c r="G13" i="48" s="1"/>
  <c r="G13" i="49" s="1"/>
  <c r="G13" i="50" s="1"/>
  <c r="G13" i="52" s="1"/>
  <c r="G13" i="78" s="1"/>
  <c r="E12" i="70"/>
  <c r="N9" i="70"/>
  <c r="C9" i="70"/>
  <c r="D8" i="70"/>
  <c r="D7" i="70"/>
  <c r="N6" i="70"/>
  <c r="C6" i="70"/>
  <c r="E5" i="70"/>
  <c r="A1" i="70"/>
  <c r="E149" i="69"/>
  <c r="E142" i="69"/>
  <c r="B141" i="69"/>
  <c r="J72" i="69"/>
  <c r="C122" i="69"/>
  <c r="C121" i="69"/>
  <c r="C120" i="69"/>
  <c r="C119" i="69"/>
  <c r="C118" i="69"/>
  <c r="C117" i="69"/>
  <c r="C116" i="69"/>
  <c r="C115" i="69"/>
  <c r="C114" i="69"/>
  <c r="C113" i="69"/>
  <c r="C112" i="69"/>
  <c r="C111" i="69"/>
  <c r="D110" i="69"/>
  <c r="C109" i="69"/>
  <c r="C108" i="69"/>
  <c r="C107" i="69"/>
  <c r="C106" i="69"/>
  <c r="C105" i="69"/>
  <c r="C104" i="69"/>
  <c r="C103" i="69"/>
  <c r="F102" i="69"/>
  <c r="C102" i="69"/>
  <c r="D101" i="69"/>
  <c r="D100" i="69" s="1"/>
  <c r="H95" i="69"/>
  <c r="G95" i="69"/>
  <c r="H94" i="69"/>
  <c r="G94" i="69"/>
  <c r="C94" i="69"/>
  <c r="C93" i="69"/>
  <c r="C92" i="69"/>
  <c r="H91" i="69"/>
  <c r="G91" i="69"/>
  <c r="D91" i="69"/>
  <c r="C91" i="69"/>
  <c r="E91" i="69" s="1"/>
  <c r="C90" i="69"/>
  <c r="C89" i="69"/>
  <c r="H88" i="69"/>
  <c r="G88" i="69"/>
  <c r="D88" i="69"/>
  <c r="C88" i="69"/>
  <c r="E88" i="69" s="1"/>
  <c r="H87" i="69"/>
  <c r="G87" i="69"/>
  <c r="D87" i="69"/>
  <c r="C87" i="69"/>
  <c r="E87" i="69" s="1"/>
  <c r="H86" i="69"/>
  <c r="G86" i="69"/>
  <c r="E86" i="69"/>
  <c r="D86" i="69"/>
  <c r="C86" i="69"/>
  <c r="H85" i="69"/>
  <c r="G85" i="69"/>
  <c r="E85" i="69"/>
  <c r="D85" i="69"/>
  <c r="C85" i="69"/>
  <c r="C84" i="69"/>
  <c r="C83" i="69"/>
  <c r="C82" i="69"/>
  <c r="M81" i="69"/>
  <c r="L81" i="69"/>
  <c r="J81" i="69"/>
  <c r="H81" i="69"/>
  <c r="G81" i="69"/>
  <c r="E81" i="69"/>
  <c r="C81" i="69"/>
  <c r="M80" i="69"/>
  <c r="L80" i="69"/>
  <c r="H80" i="69"/>
  <c r="G80" i="69"/>
  <c r="E80" i="69"/>
  <c r="C80" i="69"/>
  <c r="J80" i="69" s="1"/>
  <c r="D73" i="69"/>
  <c r="C63" i="69"/>
  <c r="D61" i="69"/>
  <c r="D60" i="69"/>
  <c r="E58" i="69"/>
  <c r="C58" i="69"/>
  <c r="C57" i="69"/>
  <c r="E57" i="69" s="1"/>
  <c r="E56" i="69"/>
  <c r="C56" i="69"/>
  <c r="C55" i="69"/>
  <c r="E55" i="69" s="1"/>
  <c r="C54" i="69"/>
  <c r="E54" i="69" s="1"/>
  <c r="E53" i="69"/>
  <c r="C53" i="69"/>
  <c r="D52" i="69"/>
  <c r="C52" i="69"/>
  <c r="C51" i="69"/>
  <c r="D50" i="69"/>
  <c r="C50" i="69"/>
  <c r="E49" i="69"/>
  <c r="C49" i="69"/>
  <c r="C48" i="69"/>
  <c r="E48" i="69" s="1"/>
  <c r="C44" i="69"/>
  <c r="E44" i="69" s="1"/>
  <c r="C43" i="69"/>
  <c r="E43" i="69" s="1"/>
  <c r="C18" i="76"/>
  <c r="C38" i="69"/>
  <c r="E38" i="69" s="1"/>
  <c r="C37" i="69"/>
  <c r="C36" i="69"/>
  <c r="F35" i="69"/>
  <c r="A34" i="69"/>
  <c r="A33" i="69"/>
  <c r="F29" i="69"/>
  <c r="F28" i="69"/>
  <c r="A27" i="69"/>
  <c r="A26" i="69"/>
  <c r="C23" i="69"/>
  <c r="C22" i="69"/>
  <c r="C21" i="69"/>
  <c r="A21" i="69"/>
  <c r="C20" i="69"/>
  <c r="C19" i="69"/>
  <c r="A19" i="69"/>
  <c r="C18" i="69"/>
  <c r="C17" i="69"/>
  <c r="C16" i="69"/>
  <c r="D15" i="69"/>
  <c r="C15" i="69"/>
  <c r="E14" i="69"/>
  <c r="G13" i="69"/>
  <c r="E12" i="69"/>
  <c r="N9" i="69"/>
  <c r="C9" i="69"/>
  <c r="D8" i="69"/>
  <c r="D7" i="69"/>
  <c r="N6" i="69"/>
  <c r="C6" i="69"/>
  <c r="E5" i="69"/>
  <c r="C5" i="69"/>
  <c r="A1" i="69"/>
  <c r="E149" i="68"/>
  <c r="E142" i="68"/>
  <c r="B141" i="68"/>
  <c r="J72" i="68"/>
  <c r="C122" i="68"/>
  <c r="C121" i="68"/>
  <c r="C120" i="68"/>
  <c r="C119" i="68"/>
  <c r="C118" i="68"/>
  <c r="C117" i="68"/>
  <c r="C116" i="68"/>
  <c r="C115" i="68"/>
  <c r="C114" i="68"/>
  <c r="C113" i="68"/>
  <c r="C112" i="68"/>
  <c r="C111" i="68"/>
  <c r="D110" i="68"/>
  <c r="C109" i="68"/>
  <c r="C108" i="68"/>
  <c r="C107" i="68"/>
  <c r="C106" i="68"/>
  <c r="C105" i="68"/>
  <c r="C104" i="68"/>
  <c r="C103" i="68"/>
  <c r="F102" i="68"/>
  <c r="C102" i="68"/>
  <c r="D101" i="68"/>
  <c r="D100" i="68" s="1"/>
  <c r="H95" i="68"/>
  <c r="G95" i="68"/>
  <c r="H94" i="68"/>
  <c r="G94" i="68"/>
  <c r="C94" i="68"/>
  <c r="C93" i="68"/>
  <c r="C92" i="68"/>
  <c r="H91" i="68"/>
  <c r="G91" i="68"/>
  <c r="E91" i="68"/>
  <c r="D91" i="68"/>
  <c r="C91" i="68"/>
  <c r="C90" i="68"/>
  <c r="C89" i="68"/>
  <c r="H88" i="68"/>
  <c r="G88" i="68"/>
  <c r="D88" i="68"/>
  <c r="C88" i="68"/>
  <c r="E88" i="68" s="1"/>
  <c r="H87" i="68"/>
  <c r="G87" i="68"/>
  <c r="E87" i="68"/>
  <c r="D87" i="68"/>
  <c r="C87" i="68"/>
  <c r="H86" i="68"/>
  <c r="G86" i="68"/>
  <c r="E86" i="68"/>
  <c r="D86" i="68"/>
  <c r="C86" i="68"/>
  <c r="H85" i="68"/>
  <c r="G85" i="68"/>
  <c r="D85" i="68"/>
  <c r="C85" i="68"/>
  <c r="E85" i="68" s="1"/>
  <c r="C84" i="68"/>
  <c r="C83" i="68"/>
  <c r="C82" i="68"/>
  <c r="M81" i="68"/>
  <c r="L81" i="68"/>
  <c r="J81" i="68"/>
  <c r="H81" i="68"/>
  <c r="G81" i="68"/>
  <c r="E81" i="68"/>
  <c r="C81" i="68"/>
  <c r="M80" i="68"/>
  <c r="L80" i="68"/>
  <c r="H80" i="68"/>
  <c r="G80" i="68"/>
  <c r="C80" i="68"/>
  <c r="D73" i="68"/>
  <c r="C63" i="68"/>
  <c r="D61" i="68"/>
  <c r="D60" i="68"/>
  <c r="C58" i="68"/>
  <c r="E58" i="68" s="1"/>
  <c r="C57" i="68"/>
  <c r="E57" i="68" s="1"/>
  <c r="E56" i="68"/>
  <c r="C56" i="68"/>
  <c r="C55" i="68"/>
  <c r="E55" i="68" s="1"/>
  <c r="E54" i="68"/>
  <c r="C54" i="68"/>
  <c r="E53" i="68"/>
  <c r="C53" i="68"/>
  <c r="D52" i="68"/>
  <c r="C52" i="68"/>
  <c r="C51" i="68"/>
  <c r="C49" i="68" s="1"/>
  <c r="D50" i="68"/>
  <c r="C50" i="68"/>
  <c r="E49" i="68"/>
  <c r="C48" i="68"/>
  <c r="E48" i="68" s="1"/>
  <c r="C44" i="68"/>
  <c r="E44" i="68" s="1"/>
  <c r="C43" i="68"/>
  <c r="E43" i="68" s="1"/>
  <c r="C17" i="76"/>
  <c r="C38" i="68"/>
  <c r="E38" i="68" s="1"/>
  <c r="C37" i="68"/>
  <c r="C36" i="68"/>
  <c r="F35" i="68"/>
  <c r="A34" i="68"/>
  <c r="A33" i="68"/>
  <c r="F29" i="68"/>
  <c r="F28" i="68"/>
  <c r="A27" i="68"/>
  <c r="A26" i="68"/>
  <c r="C23" i="68"/>
  <c r="C22" i="68"/>
  <c r="C21" i="68"/>
  <c r="A21" i="68"/>
  <c r="C20" i="68"/>
  <c r="C19" i="68"/>
  <c r="A19" i="68"/>
  <c r="C18" i="68"/>
  <c r="C17" i="68"/>
  <c r="C16" i="68"/>
  <c r="D15" i="68"/>
  <c r="C15" i="68"/>
  <c r="E14" i="68"/>
  <c r="E12" i="68"/>
  <c r="N9" i="68"/>
  <c r="C9" i="68"/>
  <c r="D8" i="68"/>
  <c r="D7" i="68"/>
  <c r="N6" i="68"/>
  <c r="C6" i="68"/>
  <c r="E5" i="68"/>
  <c r="A1" i="68"/>
  <c r="E149" i="67"/>
  <c r="E142" i="67"/>
  <c r="B141" i="67"/>
  <c r="J72" i="67"/>
  <c r="C122" i="67"/>
  <c r="C121" i="67"/>
  <c r="C120" i="67"/>
  <c r="C119" i="67"/>
  <c r="C118" i="67"/>
  <c r="C117" i="67"/>
  <c r="C116" i="67"/>
  <c r="C115" i="67"/>
  <c r="C114" i="67"/>
  <c r="C113" i="67"/>
  <c r="C112" i="67"/>
  <c r="C111" i="67"/>
  <c r="D110" i="67"/>
  <c r="C109" i="67"/>
  <c r="C108" i="67"/>
  <c r="C107" i="67"/>
  <c r="C106" i="67"/>
  <c r="C105" i="67"/>
  <c r="C104" i="67"/>
  <c r="C103" i="67"/>
  <c r="C102" i="67"/>
  <c r="D101" i="67"/>
  <c r="D100" i="67" s="1"/>
  <c r="H95" i="67"/>
  <c r="G95" i="67"/>
  <c r="H94" i="67"/>
  <c r="G94" i="67"/>
  <c r="C94" i="67"/>
  <c r="C93" i="67"/>
  <c r="C92" i="67"/>
  <c r="H91" i="67"/>
  <c r="G91" i="67"/>
  <c r="E91" i="67"/>
  <c r="D91" i="67"/>
  <c r="C91" i="67"/>
  <c r="C90" i="67"/>
  <c r="C89" i="67"/>
  <c r="H88" i="67"/>
  <c r="G88" i="67"/>
  <c r="E88" i="67"/>
  <c r="D88" i="67"/>
  <c r="C88" i="67"/>
  <c r="H87" i="67"/>
  <c r="G87" i="67"/>
  <c r="E87" i="67"/>
  <c r="D87" i="67"/>
  <c r="C87" i="67"/>
  <c r="H86" i="67"/>
  <c r="G86" i="67"/>
  <c r="E86" i="67"/>
  <c r="D86" i="67"/>
  <c r="C86" i="67"/>
  <c r="H85" i="67"/>
  <c r="G85" i="67"/>
  <c r="E85" i="67"/>
  <c r="D85" i="67"/>
  <c r="C85" i="67"/>
  <c r="C84" i="67"/>
  <c r="C83" i="67"/>
  <c r="C82" i="67"/>
  <c r="M81" i="67"/>
  <c r="L81" i="67"/>
  <c r="H81" i="67"/>
  <c r="G81" i="67"/>
  <c r="E81" i="67"/>
  <c r="C81" i="67"/>
  <c r="J81" i="67" s="1"/>
  <c r="M80" i="67"/>
  <c r="L80" i="67"/>
  <c r="J80" i="67"/>
  <c r="H80" i="67"/>
  <c r="G80" i="67"/>
  <c r="E80" i="67"/>
  <c r="C80" i="67"/>
  <c r="D73" i="67"/>
  <c r="C63" i="67"/>
  <c r="D61" i="67"/>
  <c r="D60" i="67"/>
  <c r="C58" i="67"/>
  <c r="E58" i="67" s="1"/>
  <c r="C57" i="67"/>
  <c r="E57" i="67" s="1"/>
  <c r="C56" i="67"/>
  <c r="E56" i="67" s="1"/>
  <c r="C55" i="67"/>
  <c r="E55" i="67" s="1"/>
  <c r="C54" i="67"/>
  <c r="E54" i="67" s="1"/>
  <c r="C53" i="67"/>
  <c r="E53" i="67" s="1"/>
  <c r="D52" i="67"/>
  <c r="C52" i="67"/>
  <c r="C51" i="67"/>
  <c r="C49" i="67" s="1"/>
  <c r="D50" i="67"/>
  <c r="C50" i="67"/>
  <c r="E49" i="67"/>
  <c r="C48" i="67"/>
  <c r="E48" i="67" s="1"/>
  <c r="C44" i="67"/>
  <c r="E44" i="67" s="1"/>
  <c r="C43" i="67"/>
  <c r="E43" i="67" s="1"/>
  <c r="C16" i="76"/>
  <c r="C38" i="67"/>
  <c r="E38" i="67" s="1"/>
  <c r="C37" i="67"/>
  <c r="C36" i="67"/>
  <c r="F35" i="67"/>
  <c r="A34" i="67"/>
  <c r="A33" i="67"/>
  <c r="F29" i="67"/>
  <c r="F28" i="67"/>
  <c r="A27" i="67"/>
  <c r="A26" i="67"/>
  <c r="C23" i="67"/>
  <c r="C22" i="67"/>
  <c r="C21" i="67"/>
  <c r="A21" i="67"/>
  <c r="C20" i="67"/>
  <c r="C19" i="67"/>
  <c r="A19" i="67"/>
  <c r="C18" i="67"/>
  <c r="C17" i="67"/>
  <c r="C16" i="67"/>
  <c r="D15" i="67"/>
  <c r="C15" i="67"/>
  <c r="E14" i="67"/>
  <c r="G13" i="67"/>
  <c r="E12" i="67"/>
  <c r="N9" i="67"/>
  <c r="C9" i="67"/>
  <c r="D8" i="67"/>
  <c r="D7" i="67"/>
  <c r="N6" i="67"/>
  <c r="C6" i="67"/>
  <c r="E5" i="67"/>
  <c r="A1" i="67"/>
  <c r="E149" i="66"/>
  <c r="E142" i="66"/>
  <c r="B141" i="66"/>
  <c r="O131" i="66"/>
  <c r="AG15" i="76" s="1"/>
  <c r="C122" i="66"/>
  <c r="C121" i="66"/>
  <c r="C120" i="66"/>
  <c r="C119" i="66"/>
  <c r="C118" i="66"/>
  <c r="C117" i="66"/>
  <c r="C116" i="66"/>
  <c r="C115" i="66"/>
  <c r="C114" i="66"/>
  <c r="C113" i="66"/>
  <c r="C112" i="66"/>
  <c r="C111" i="66"/>
  <c r="D110" i="66"/>
  <c r="C109" i="66"/>
  <c r="C108" i="66"/>
  <c r="C107" i="66"/>
  <c r="C106" i="66"/>
  <c r="C105" i="66"/>
  <c r="C104" i="66"/>
  <c r="C103" i="66"/>
  <c r="F102" i="66"/>
  <c r="C102" i="66"/>
  <c r="D101" i="66"/>
  <c r="D100" i="66" s="1"/>
  <c r="H95" i="66"/>
  <c r="G95" i="66"/>
  <c r="H94" i="66"/>
  <c r="G94" i="66"/>
  <c r="C94" i="66"/>
  <c r="C93" i="66"/>
  <c r="C92" i="66"/>
  <c r="H91" i="66"/>
  <c r="G91" i="66"/>
  <c r="D91" i="66"/>
  <c r="C91" i="66"/>
  <c r="E91" i="66" s="1"/>
  <c r="C90" i="66"/>
  <c r="C89" i="66"/>
  <c r="H88" i="66"/>
  <c r="G88" i="66"/>
  <c r="E88" i="66"/>
  <c r="D88" i="66"/>
  <c r="C88" i="66"/>
  <c r="H87" i="66"/>
  <c r="G87" i="66"/>
  <c r="D87" i="66"/>
  <c r="C87" i="66"/>
  <c r="E87" i="66" s="1"/>
  <c r="H86" i="66"/>
  <c r="G86" i="66"/>
  <c r="D86" i="66"/>
  <c r="C86" i="66"/>
  <c r="E86" i="66" s="1"/>
  <c r="H85" i="66"/>
  <c r="G85" i="66"/>
  <c r="E85" i="66"/>
  <c r="D85" i="66"/>
  <c r="C85" i="66"/>
  <c r="C84" i="66"/>
  <c r="C83" i="66"/>
  <c r="C82" i="66"/>
  <c r="M81" i="66"/>
  <c r="L81" i="66"/>
  <c r="H81" i="66"/>
  <c r="G81" i="66"/>
  <c r="C81" i="66"/>
  <c r="J81" i="66" s="1"/>
  <c r="M80" i="66"/>
  <c r="L80" i="66"/>
  <c r="H80" i="66"/>
  <c r="G80" i="66"/>
  <c r="E80" i="66"/>
  <c r="C80" i="66"/>
  <c r="J80" i="66" s="1"/>
  <c r="D73" i="66"/>
  <c r="C63" i="66"/>
  <c r="D61" i="66"/>
  <c r="D60" i="66"/>
  <c r="C58" i="66"/>
  <c r="E58" i="66" s="1"/>
  <c r="C57" i="66"/>
  <c r="E57" i="66" s="1"/>
  <c r="E56" i="66"/>
  <c r="C56" i="66"/>
  <c r="C55" i="66"/>
  <c r="E55" i="66" s="1"/>
  <c r="C54" i="66"/>
  <c r="E54" i="66" s="1"/>
  <c r="C53" i="66"/>
  <c r="E53" i="66" s="1"/>
  <c r="K52" i="66"/>
  <c r="D52" i="66"/>
  <c r="C52" i="66"/>
  <c r="C51" i="66"/>
  <c r="D50" i="66"/>
  <c r="C50" i="66"/>
  <c r="E49" i="66"/>
  <c r="C49" i="66"/>
  <c r="C48" i="66"/>
  <c r="E48" i="66" s="1"/>
  <c r="C44" i="66"/>
  <c r="E44" i="66" s="1"/>
  <c r="C43" i="66"/>
  <c r="E43" i="66" s="1"/>
  <c r="C15" i="76"/>
  <c r="C38" i="66"/>
  <c r="E38" i="66" s="1"/>
  <c r="C37" i="66"/>
  <c r="C36" i="66"/>
  <c r="F35" i="66"/>
  <c r="A34" i="66"/>
  <c r="A33" i="66"/>
  <c r="F29" i="66"/>
  <c r="F28" i="66"/>
  <c r="A27" i="66"/>
  <c r="A26" i="66"/>
  <c r="C23" i="66"/>
  <c r="C22" i="66"/>
  <c r="C21" i="66"/>
  <c r="A21" i="66"/>
  <c r="C20" i="66"/>
  <c r="C19" i="66"/>
  <c r="A19" i="66"/>
  <c r="C18" i="66"/>
  <c r="C17" i="66"/>
  <c r="C16" i="66"/>
  <c r="D15" i="66"/>
  <c r="C15" i="66"/>
  <c r="E14" i="66"/>
  <c r="E12" i="66"/>
  <c r="N9" i="66"/>
  <c r="C9" i="66"/>
  <c r="D8" i="66"/>
  <c r="D7" i="66"/>
  <c r="N6" i="66"/>
  <c r="C6" i="66"/>
  <c r="E5" i="66"/>
  <c r="A1" i="66"/>
  <c r="E149" i="65"/>
  <c r="E142" i="65"/>
  <c r="B141" i="65"/>
  <c r="J72" i="65"/>
  <c r="B128" i="65"/>
  <c r="C122" i="65"/>
  <c r="C121" i="65"/>
  <c r="C120" i="65"/>
  <c r="C119" i="65"/>
  <c r="C118" i="65"/>
  <c r="C117" i="65"/>
  <c r="C116" i="65"/>
  <c r="C115" i="65"/>
  <c r="C114" i="65"/>
  <c r="C113" i="65"/>
  <c r="C112" i="65"/>
  <c r="C111" i="65"/>
  <c r="D110" i="65"/>
  <c r="C109" i="65"/>
  <c r="C108" i="65"/>
  <c r="C107" i="65"/>
  <c r="C106" i="65"/>
  <c r="C105" i="65"/>
  <c r="C104" i="65"/>
  <c r="C103" i="65"/>
  <c r="F102" i="65"/>
  <c r="C102" i="65"/>
  <c r="D101" i="65"/>
  <c r="D100" i="65" s="1"/>
  <c r="H95" i="65"/>
  <c r="G95" i="65"/>
  <c r="H94" i="65"/>
  <c r="G94" i="65"/>
  <c r="C94" i="65"/>
  <c r="C93" i="65"/>
  <c r="C92" i="65"/>
  <c r="H91" i="65"/>
  <c r="G91" i="65"/>
  <c r="E91" i="65"/>
  <c r="D91" i="65"/>
  <c r="C91" i="65"/>
  <c r="C90" i="65"/>
  <c r="C89" i="65"/>
  <c r="H88" i="65"/>
  <c r="G88" i="65"/>
  <c r="D88" i="65"/>
  <c r="C88" i="65"/>
  <c r="E88" i="65" s="1"/>
  <c r="A88" i="65"/>
  <c r="H87" i="65"/>
  <c r="G87" i="65"/>
  <c r="D87" i="65"/>
  <c r="C87" i="65"/>
  <c r="E87" i="65" s="1"/>
  <c r="A87" i="65"/>
  <c r="H86" i="65"/>
  <c r="G86" i="65"/>
  <c r="E86" i="65"/>
  <c r="D86" i="65"/>
  <c r="C86" i="65"/>
  <c r="A86" i="65"/>
  <c r="H85" i="65"/>
  <c r="G85" i="65"/>
  <c r="D85" i="65"/>
  <c r="C85" i="65"/>
  <c r="E85" i="65" s="1"/>
  <c r="A85" i="65"/>
  <c r="C84" i="65"/>
  <c r="C83" i="65"/>
  <c r="C82" i="65"/>
  <c r="M81" i="65"/>
  <c r="L81" i="65"/>
  <c r="H81" i="65"/>
  <c r="G81" i="65"/>
  <c r="C81" i="65"/>
  <c r="M80" i="65"/>
  <c r="L80" i="65"/>
  <c r="J80" i="65"/>
  <c r="H80" i="65"/>
  <c r="G80" i="65"/>
  <c r="C80" i="65"/>
  <c r="E80" i="65" s="1"/>
  <c r="D73" i="65"/>
  <c r="C63" i="65"/>
  <c r="D61" i="65"/>
  <c r="D60" i="65"/>
  <c r="C58" i="65"/>
  <c r="E58" i="65" s="1"/>
  <c r="C57" i="65"/>
  <c r="E57" i="65" s="1"/>
  <c r="C56" i="65"/>
  <c r="E56" i="65" s="1"/>
  <c r="E55" i="65"/>
  <c r="C55" i="65"/>
  <c r="C54" i="65"/>
  <c r="E54" i="65" s="1"/>
  <c r="C53" i="65"/>
  <c r="E53" i="65" s="1"/>
  <c r="D52" i="65"/>
  <c r="C52" i="65"/>
  <c r="C51" i="65"/>
  <c r="D50" i="65"/>
  <c r="C50" i="65"/>
  <c r="E49" i="65"/>
  <c r="C49" i="65"/>
  <c r="C48" i="65"/>
  <c r="E48" i="65" s="1"/>
  <c r="C44" i="65"/>
  <c r="E44" i="65" s="1"/>
  <c r="C43" i="65"/>
  <c r="E43" i="65" s="1"/>
  <c r="C14" i="76"/>
  <c r="C38" i="65"/>
  <c r="E38" i="65" s="1"/>
  <c r="C37" i="65"/>
  <c r="C36" i="65"/>
  <c r="F35" i="65"/>
  <c r="A34" i="65"/>
  <c r="A33" i="65"/>
  <c r="F29" i="65"/>
  <c r="F28" i="65"/>
  <c r="A27" i="65"/>
  <c r="A26" i="65"/>
  <c r="C23" i="65"/>
  <c r="C22" i="65"/>
  <c r="C21" i="65"/>
  <c r="A21" i="65"/>
  <c r="C20" i="65"/>
  <c r="C19" i="65"/>
  <c r="A19" i="65"/>
  <c r="C18" i="65"/>
  <c r="C17" i="65"/>
  <c r="C16" i="65"/>
  <c r="D15" i="65"/>
  <c r="C15" i="65"/>
  <c r="E14" i="65"/>
  <c r="E12" i="65"/>
  <c r="N9" i="65"/>
  <c r="C9" i="65"/>
  <c r="D8" i="65"/>
  <c r="D7" i="65"/>
  <c r="N6" i="65"/>
  <c r="C6" i="65"/>
  <c r="E5" i="65"/>
  <c r="A1" i="65"/>
  <c r="E149" i="64"/>
  <c r="E142" i="64"/>
  <c r="B141" i="64"/>
  <c r="J72" i="64"/>
  <c r="B128" i="64"/>
  <c r="C122" i="64"/>
  <c r="C121" i="64"/>
  <c r="C120" i="64"/>
  <c r="C119" i="64"/>
  <c r="C118" i="64"/>
  <c r="C117" i="64"/>
  <c r="C116" i="64"/>
  <c r="C115" i="64"/>
  <c r="C114" i="64"/>
  <c r="C113" i="64"/>
  <c r="Q112" i="64"/>
  <c r="C112" i="64"/>
  <c r="C111" i="64"/>
  <c r="D110" i="64"/>
  <c r="C109" i="64"/>
  <c r="C108" i="64"/>
  <c r="C107" i="64"/>
  <c r="C106" i="64"/>
  <c r="C105" i="64"/>
  <c r="C104" i="64"/>
  <c r="C103" i="64"/>
  <c r="F102" i="64"/>
  <c r="C102" i="64"/>
  <c r="D101" i="64"/>
  <c r="D100" i="64" s="1"/>
  <c r="H95" i="64"/>
  <c r="G95" i="64"/>
  <c r="H94" i="64"/>
  <c r="G94" i="64"/>
  <c r="C94" i="64"/>
  <c r="C93" i="64"/>
  <c r="C92" i="64"/>
  <c r="H91" i="64"/>
  <c r="G91" i="64"/>
  <c r="D91" i="64"/>
  <c r="C91" i="64"/>
  <c r="E91" i="64" s="1"/>
  <c r="C90" i="64"/>
  <c r="C89" i="64"/>
  <c r="H88" i="64"/>
  <c r="G88" i="64"/>
  <c r="E88" i="64"/>
  <c r="D88" i="64"/>
  <c r="C88" i="64"/>
  <c r="A88" i="64"/>
  <c r="H87" i="64"/>
  <c r="G87" i="64"/>
  <c r="D87" i="64"/>
  <c r="C87" i="64"/>
  <c r="E87" i="64" s="1"/>
  <c r="A87" i="64"/>
  <c r="H86" i="64"/>
  <c r="G86" i="64"/>
  <c r="D86" i="64"/>
  <c r="C86" i="64"/>
  <c r="E86" i="64" s="1"/>
  <c r="A86" i="64"/>
  <c r="H85" i="64"/>
  <c r="G85" i="64"/>
  <c r="E85" i="64"/>
  <c r="D85" i="64"/>
  <c r="C85" i="64"/>
  <c r="A85" i="64"/>
  <c r="C84" i="64"/>
  <c r="C83" i="64"/>
  <c r="C82" i="64"/>
  <c r="M81" i="64"/>
  <c r="L81" i="64"/>
  <c r="H81" i="64"/>
  <c r="G81" i="64"/>
  <c r="E81" i="64"/>
  <c r="C81" i="64"/>
  <c r="J81" i="64" s="1"/>
  <c r="M80" i="64"/>
  <c r="L80" i="64"/>
  <c r="J80" i="64"/>
  <c r="H80" i="64"/>
  <c r="G80" i="64"/>
  <c r="E80" i="64"/>
  <c r="C80" i="64"/>
  <c r="D73" i="64"/>
  <c r="C63" i="64"/>
  <c r="D61" i="64"/>
  <c r="D60" i="64"/>
  <c r="E58" i="64"/>
  <c r="C58" i="64"/>
  <c r="E57" i="64"/>
  <c r="C57" i="64"/>
  <c r="E56" i="64"/>
  <c r="C56" i="64"/>
  <c r="C55" i="64"/>
  <c r="E55" i="64" s="1"/>
  <c r="C54" i="64"/>
  <c r="E54" i="64" s="1"/>
  <c r="C53" i="64"/>
  <c r="E53" i="64" s="1"/>
  <c r="D52" i="64"/>
  <c r="C52" i="64"/>
  <c r="C51" i="64"/>
  <c r="D50" i="64"/>
  <c r="C50" i="64"/>
  <c r="E49" i="64"/>
  <c r="C49" i="64"/>
  <c r="C48" i="64"/>
  <c r="E48" i="64" s="1"/>
  <c r="C44" i="64"/>
  <c r="E44" i="64" s="1"/>
  <c r="C43" i="64"/>
  <c r="E43" i="64" s="1"/>
  <c r="C13" i="76"/>
  <c r="E38" i="64"/>
  <c r="C38" i="64"/>
  <c r="C37" i="64"/>
  <c r="C36" i="64"/>
  <c r="F35" i="64"/>
  <c r="A34" i="64"/>
  <c r="A33" i="64"/>
  <c r="F29" i="64"/>
  <c r="F28" i="64"/>
  <c r="A27" i="64"/>
  <c r="A26" i="64"/>
  <c r="C23" i="64"/>
  <c r="C22" i="64"/>
  <c r="C21" i="64"/>
  <c r="A21" i="64"/>
  <c r="C20" i="64"/>
  <c r="C19" i="64"/>
  <c r="A19" i="64"/>
  <c r="C18" i="64"/>
  <c r="C17" i="64"/>
  <c r="C16" i="64"/>
  <c r="D15" i="64"/>
  <c r="C15" i="64"/>
  <c r="E14" i="64"/>
  <c r="E12" i="64"/>
  <c r="C9" i="64"/>
  <c r="D8" i="64"/>
  <c r="D7" i="64"/>
  <c r="C6" i="64"/>
  <c r="E5" i="64"/>
  <c r="A1" i="64"/>
  <c r="E149" i="63"/>
  <c r="E142" i="63"/>
  <c r="B141" i="63"/>
  <c r="O131" i="63"/>
  <c r="AG12" i="76" s="1"/>
  <c r="B128" i="63"/>
  <c r="C122" i="63"/>
  <c r="C121" i="63"/>
  <c r="C120" i="63"/>
  <c r="C119" i="63"/>
  <c r="C118" i="63"/>
  <c r="C117" i="63"/>
  <c r="C116" i="63"/>
  <c r="C115" i="63"/>
  <c r="C114" i="63"/>
  <c r="C113" i="63"/>
  <c r="C112" i="63"/>
  <c r="C111" i="63"/>
  <c r="D110" i="63"/>
  <c r="C109" i="63"/>
  <c r="C108" i="63"/>
  <c r="C107" i="63"/>
  <c r="C106" i="63"/>
  <c r="C105" i="63"/>
  <c r="C104" i="63"/>
  <c r="C103" i="63"/>
  <c r="F102" i="63"/>
  <c r="C102" i="63"/>
  <c r="D101" i="63"/>
  <c r="D100" i="63"/>
  <c r="H95" i="63"/>
  <c r="G95" i="63"/>
  <c r="H94" i="63"/>
  <c r="G94" i="63"/>
  <c r="C94" i="63"/>
  <c r="C93" i="63"/>
  <c r="C92" i="63"/>
  <c r="H91" i="63"/>
  <c r="G91" i="63"/>
  <c r="D91" i="63"/>
  <c r="C91" i="63"/>
  <c r="E91" i="63" s="1"/>
  <c r="C90" i="63"/>
  <c r="C89" i="63"/>
  <c r="H88" i="63"/>
  <c r="G88" i="63"/>
  <c r="D88" i="63"/>
  <c r="C88" i="63"/>
  <c r="E88" i="63" s="1"/>
  <c r="A88" i="63"/>
  <c r="H87" i="63"/>
  <c r="G87" i="63"/>
  <c r="E87" i="63"/>
  <c r="D87" i="63"/>
  <c r="C87" i="63"/>
  <c r="A87" i="63"/>
  <c r="H86" i="63"/>
  <c r="G86" i="63"/>
  <c r="D86" i="63"/>
  <c r="C86" i="63"/>
  <c r="E86" i="63" s="1"/>
  <c r="A86" i="63"/>
  <c r="H85" i="63"/>
  <c r="G85" i="63"/>
  <c r="E85" i="63"/>
  <c r="D85" i="63"/>
  <c r="C85" i="63"/>
  <c r="A85" i="63"/>
  <c r="C84" i="63"/>
  <c r="C83" i="63"/>
  <c r="C82" i="63"/>
  <c r="M81" i="63"/>
  <c r="L81" i="63"/>
  <c r="H81" i="63"/>
  <c r="G81" i="63"/>
  <c r="C81" i="63"/>
  <c r="J81" i="63" s="1"/>
  <c r="M80" i="63"/>
  <c r="L80" i="63"/>
  <c r="J80" i="63"/>
  <c r="H80" i="63"/>
  <c r="G80" i="63"/>
  <c r="E80" i="63"/>
  <c r="C80" i="63"/>
  <c r="D73" i="63"/>
  <c r="C63" i="63"/>
  <c r="D61" i="63"/>
  <c r="D60" i="63"/>
  <c r="C58" i="63"/>
  <c r="E58" i="63" s="1"/>
  <c r="C57" i="63"/>
  <c r="E57" i="63" s="1"/>
  <c r="C56" i="63"/>
  <c r="E56" i="63" s="1"/>
  <c r="C55" i="63"/>
  <c r="E55" i="63" s="1"/>
  <c r="C54" i="63"/>
  <c r="E54" i="63" s="1"/>
  <c r="E53" i="63"/>
  <c r="C53" i="63"/>
  <c r="D52" i="63"/>
  <c r="C52" i="63"/>
  <c r="C51" i="63"/>
  <c r="D50" i="63"/>
  <c r="C50" i="63"/>
  <c r="E49" i="63"/>
  <c r="C49" i="63"/>
  <c r="C48" i="63"/>
  <c r="E48" i="63" s="1"/>
  <c r="C44" i="63"/>
  <c r="E44" i="63" s="1"/>
  <c r="C43" i="63"/>
  <c r="E43" i="63" s="1"/>
  <c r="C12" i="76"/>
  <c r="C38" i="63"/>
  <c r="E38" i="63" s="1"/>
  <c r="C37" i="63"/>
  <c r="C36" i="63"/>
  <c r="F35" i="63"/>
  <c r="A34" i="63"/>
  <c r="A33" i="63"/>
  <c r="F29" i="63"/>
  <c r="F28" i="63"/>
  <c r="A27" i="63"/>
  <c r="A26" i="63"/>
  <c r="C23" i="63"/>
  <c r="C22" i="63"/>
  <c r="C21" i="63"/>
  <c r="A21" i="63"/>
  <c r="C20" i="63"/>
  <c r="C19" i="63"/>
  <c r="A19" i="63"/>
  <c r="C18" i="63"/>
  <c r="C17" i="63"/>
  <c r="C16" i="63"/>
  <c r="D15" i="63"/>
  <c r="C15" i="63"/>
  <c r="E14" i="63"/>
  <c r="E12" i="63"/>
  <c r="C9" i="63"/>
  <c r="C5" i="63" s="1"/>
  <c r="D8" i="63"/>
  <c r="D7" i="63"/>
  <c r="C6" i="63"/>
  <c r="E5" i="63"/>
  <c r="A1" i="63"/>
  <c r="E149" i="62"/>
  <c r="E142" i="62"/>
  <c r="B141" i="62"/>
  <c r="J72" i="62"/>
  <c r="B128" i="62"/>
  <c r="C122" i="62"/>
  <c r="C121" i="62"/>
  <c r="C120" i="62"/>
  <c r="C119" i="62"/>
  <c r="C118" i="62"/>
  <c r="C117" i="62"/>
  <c r="C116" i="62"/>
  <c r="C115" i="62"/>
  <c r="C114" i="62"/>
  <c r="C113" i="62"/>
  <c r="C112" i="62"/>
  <c r="C111" i="62"/>
  <c r="D110" i="62"/>
  <c r="C109" i="62"/>
  <c r="C108" i="62"/>
  <c r="C107" i="62"/>
  <c r="C106" i="62"/>
  <c r="C105" i="62"/>
  <c r="C104" i="62"/>
  <c r="C103" i="62"/>
  <c r="C102" i="62"/>
  <c r="D101" i="62"/>
  <c r="D100" i="62" s="1"/>
  <c r="H95" i="62"/>
  <c r="G95" i="62"/>
  <c r="H94" i="62"/>
  <c r="G94" i="62"/>
  <c r="C94" i="62"/>
  <c r="C93" i="62"/>
  <c r="C92" i="62"/>
  <c r="H91" i="62"/>
  <c r="G91" i="62"/>
  <c r="D91" i="62"/>
  <c r="C91" i="62"/>
  <c r="E91" i="62" s="1"/>
  <c r="C90" i="62"/>
  <c r="C89" i="62"/>
  <c r="H88" i="62"/>
  <c r="G88" i="62"/>
  <c r="E88" i="62"/>
  <c r="D88" i="62"/>
  <c r="C88" i="62"/>
  <c r="A88" i="62"/>
  <c r="H87" i="62"/>
  <c r="G87" i="62"/>
  <c r="E87" i="62"/>
  <c r="D87" i="62"/>
  <c r="C87" i="62"/>
  <c r="A87" i="62"/>
  <c r="H86" i="62"/>
  <c r="G86" i="62"/>
  <c r="D86" i="62"/>
  <c r="C86" i="62"/>
  <c r="E86" i="62" s="1"/>
  <c r="A86" i="62"/>
  <c r="H85" i="62"/>
  <c r="G85" i="62"/>
  <c r="D85" i="62"/>
  <c r="C85" i="62"/>
  <c r="E85" i="62" s="1"/>
  <c r="A85" i="62"/>
  <c r="C84" i="62"/>
  <c r="C83" i="62"/>
  <c r="C82" i="62"/>
  <c r="M81" i="62"/>
  <c r="L81" i="62"/>
  <c r="H81" i="62"/>
  <c r="G81" i="62"/>
  <c r="C81" i="62"/>
  <c r="M80" i="62"/>
  <c r="L80" i="62"/>
  <c r="H80" i="62"/>
  <c r="G80" i="62"/>
  <c r="C80" i="62"/>
  <c r="J80" i="62" s="1"/>
  <c r="D73" i="62"/>
  <c r="C63" i="62"/>
  <c r="D61" i="62"/>
  <c r="D60" i="62"/>
  <c r="C58" i="62"/>
  <c r="E58" i="62" s="1"/>
  <c r="E57" i="62"/>
  <c r="C57" i="62"/>
  <c r="C56" i="62"/>
  <c r="E56" i="62" s="1"/>
  <c r="C55" i="62"/>
  <c r="E55" i="62" s="1"/>
  <c r="C54" i="62"/>
  <c r="E54" i="62" s="1"/>
  <c r="E53" i="62"/>
  <c r="C53" i="62"/>
  <c r="D52" i="62"/>
  <c r="C52" i="62"/>
  <c r="C51" i="62"/>
  <c r="D50" i="62"/>
  <c r="C50" i="62"/>
  <c r="C49" i="62" s="1"/>
  <c r="E49" i="62"/>
  <c r="C48" i="62"/>
  <c r="E48" i="62" s="1"/>
  <c r="H47" i="62"/>
  <c r="H47" i="63" s="1"/>
  <c r="H47" i="64" s="1"/>
  <c r="H47" i="65" s="1"/>
  <c r="H47" i="66" s="1"/>
  <c r="H47" i="67" s="1"/>
  <c r="H47" i="68" s="1"/>
  <c r="H47" i="69" s="1"/>
  <c r="H47" i="70" s="1"/>
  <c r="H47" i="71" s="1"/>
  <c r="H47" i="72" s="1"/>
  <c r="H47" i="73" s="1"/>
  <c r="H47" i="74" s="1"/>
  <c r="H47" i="43" s="1"/>
  <c r="H47" i="44" s="1"/>
  <c r="H47" i="45" s="1"/>
  <c r="H47" i="46" s="1"/>
  <c r="H47" i="47" s="1"/>
  <c r="H47" i="48" s="1"/>
  <c r="H47" i="49" s="1"/>
  <c r="H47" i="50" s="1"/>
  <c r="H47" i="52" s="1"/>
  <c r="C44" i="62"/>
  <c r="E44" i="62" s="1"/>
  <c r="C43" i="62"/>
  <c r="E43" i="62" s="1"/>
  <c r="C11" i="76"/>
  <c r="C38" i="62"/>
  <c r="E38" i="62" s="1"/>
  <c r="C37" i="62"/>
  <c r="C36" i="62"/>
  <c r="F35" i="62"/>
  <c r="A34" i="62"/>
  <c r="A33" i="62"/>
  <c r="F29" i="62"/>
  <c r="F28" i="62"/>
  <c r="A27" i="62"/>
  <c r="A26" i="62"/>
  <c r="C23" i="62"/>
  <c r="C22" i="62"/>
  <c r="C21" i="62"/>
  <c r="A21" i="62"/>
  <c r="C20" i="62"/>
  <c r="C19" i="62"/>
  <c r="A19" i="62"/>
  <c r="C18" i="62"/>
  <c r="C17" i="62"/>
  <c r="C16" i="62"/>
  <c r="D15" i="62"/>
  <c r="C15" i="62"/>
  <c r="E14" i="62"/>
  <c r="E12" i="62"/>
  <c r="C9" i="62"/>
  <c r="D8" i="62"/>
  <c r="D7" i="62"/>
  <c r="C6" i="62"/>
  <c r="C5" i="62" s="1"/>
  <c r="E5" i="62"/>
  <c r="A1" i="62"/>
  <c r="E149" i="61"/>
  <c r="E142" i="61"/>
  <c r="B141" i="61"/>
  <c r="J72" i="61"/>
  <c r="B128" i="61"/>
  <c r="C122" i="61"/>
  <c r="C121" i="61"/>
  <c r="C120" i="61"/>
  <c r="C119" i="61"/>
  <c r="C118" i="61"/>
  <c r="C117" i="61"/>
  <c r="C116" i="61"/>
  <c r="C115" i="61"/>
  <c r="C114" i="61"/>
  <c r="C113" i="61"/>
  <c r="C112" i="61"/>
  <c r="C111" i="61"/>
  <c r="D110" i="61"/>
  <c r="C109" i="61"/>
  <c r="C108" i="61"/>
  <c r="C107" i="61"/>
  <c r="C106" i="61"/>
  <c r="C105" i="61"/>
  <c r="C104" i="61"/>
  <c r="C103" i="61"/>
  <c r="F102" i="61"/>
  <c r="C102" i="61"/>
  <c r="D101" i="61"/>
  <c r="D100" i="61" s="1"/>
  <c r="H95" i="61"/>
  <c r="G95" i="61"/>
  <c r="H94" i="61"/>
  <c r="G94" i="61"/>
  <c r="C94" i="61"/>
  <c r="C93" i="61"/>
  <c r="C92" i="61"/>
  <c r="H91" i="61"/>
  <c r="G91" i="61"/>
  <c r="D91" i="61"/>
  <c r="C91" i="61"/>
  <c r="E91" i="61" s="1"/>
  <c r="C90" i="61"/>
  <c r="C89" i="61"/>
  <c r="H88" i="61"/>
  <c r="G88" i="61"/>
  <c r="E88" i="61"/>
  <c r="D88" i="61"/>
  <c r="C88" i="61"/>
  <c r="A88" i="61"/>
  <c r="H87" i="61"/>
  <c r="G87" i="61"/>
  <c r="E87" i="61"/>
  <c r="D87" i="61"/>
  <c r="C87" i="61"/>
  <c r="A87" i="61"/>
  <c r="H86" i="61"/>
  <c r="G86" i="61"/>
  <c r="E86" i="61"/>
  <c r="D86" i="61"/>
  <c r="C86" i="61"/>
  <c r="A86" i="61"/>
  <c r="H85" i="61"/>
  <c r="G85" i="61"/>
  <c r="D85" i="61"/>
  <c r="C85" i="61"/>
  <c r="E85" i="61" s="1"/>
  <c r="A85" i="61"/>
  <c r="C84" i="61"/>
  <c r="C83" i="61"/>
  <c r="C82" i="61"/>
  <c r="M81" i="61"/>
  <c r="L81" i="61"/>
  <c r="H81" i="61"/>
  <c r="G81" i="61"/>
  <c r="C81" i="61"/>
  <c r="M80" i="61"/>
  <c r="L80" i="61"/>
  <c r="H80" i="61"/>
  <c r="G80" i="61"/>
  <c r="E80" i="61"/>
  <c r="C80" i="61"/>
  <c r="J80" i="61" s="1"/>
  <c r="D73" i="61"/>
  <c r="T10" i="76"/>
  <c r="C63" i="61"/>
  <c r="D61" i="61"/>
  <c r="D60" i="61"/>
  <c r="C58" i="61"/>
  <c r="E58" i="61" s="1"/>
  <c r="E57" i="61"/>
  <c r="C57" i="61"/>
  <c r="E56" i="61"/>
  <c r="C56" i="61"/>
  <c r="E55" i="61"/>
  <c r="C55" i="61"/>
  <c r="C54" i="61"/>
  <c r="E54" i="61" s="1"/>
  <c r="C53" i="61"/>
  <c r="E53" i="61" s="1"/>
  <c r="D52" i="61"/>
  <c r="C52" i="61"/>
  <c r="C51" i="61"/>
  <c r="D50" i="61"/>
  <c r="C50" i="61"/>
  <c r="E49" i="61"/>
  <c r="C48" i="61"/>
  <c r="E48" i="61" s="1"/>
  <c r="C44" i="61"/>
  <c r="E44" i="61" s="1"/>
  <c r="C43" i="61"/>
  <c r="E43" i="61" s="1"/>
  <c r="C10" i="76"/>
  <c r="C38" i="61"/>
  <c r="E38" i="61" s="1"/>
  <c r="C37" i="61"/>
  <c r="C36" i="61"/>
  <c r="F35" i="61"/>
  <c r="A34" i="61"/>
  <c r="A33" i="61"/>
  <c r="F29" i="61"/>
  <c r="F28" i="61"/>
  <c r="A27" i="61"/>
  <c r="A26" i="61"/>
  <c r="C23" i="61"/>
  <c r="C22" i="61"/>
  <c r="C21" i="61"/>
  <c r="A21" i="61"/>
  <c r="C20" i="61"/>
  <c r="C19" i="61"/>
  <c r="A19" i="61"/>
  <c r="C18" i="61"/>
  <c r="C17" i="61"/>
  <c r="C16" i="61"/>
  <c r="D15" i="61"/>
  <c r="C15" i="61"/>
  <c r="E14" i="61"/>
  <c r="E12" i="61"/>
  <c r="C9" i="61"/>
  <c r="D8" i="61"/>
  <c r="D7" i="61"/>
  <c r="C6" i="61"/>
  <c r="E5" i="61"/>
  <c r="A1" i="61"/>
  <c r="E149" i="60"/>
  <c r="E142" i="60"/>
  <c r="B141" i="60"/>
  <c r="B128" i="60"/>
  <c r="C122" i="60"/>
  <c r="C121" i="60"/>
  <c r="C120" i="60"/>
  <c r="C119" i="60"/>
  <c r="C118" i="60"/>
  <c r="C117" i="60"/>
  <c r="C116" i="60"/>
  <c r="C115" i="60"/>
  <c r="C114" i="60"/>
  <c r="C113" i="60"/>
  <c r="C112" i="60"/>
  <c r="C111" i="60"/>
  <c r="D110" i="60"/>
  <c r="C109" i="60"/>
  <c r="C108" i="60"/>
  <c r="C107" i="60"/>
  <c r="C106" i="60"/>
  <c r="C105" i="60"/>
  <c r="C104" i="60"/>
  <c r="C103" i="60"/>
  <c r="F102" i="60"/>
  <c r="C102" i="60"/>
  <c r="D101" i="60"/>
  <c r="D100" i="60"/>
  <c r="H95" i="60"/>
  <c r="G95" i="60"/>
  <c r="H94" i="60"/>
  <c r="G94" i="60"/>
  <c r="C94" i="60"/>
  <c r="C93" i="60"/>
  <c r="C92" i="60"/>
  <c r="H91" i="60"/>
  <c r="G91" i="60"/>
  <c r="D91" i="60"/>
  <c r="C91" i="60"/>
  <c r="E91" i="60" s="1"/>
  <c r="C90" i="60"/>
  <c r="C89" i="60"/>
  <c r="H88" i="60"/>
  <c r="G88" i="60"/>
  <c r="D88" i="60"/>
  <c r="C88" i="60"/>
  <c r="E88" i="60" s="1"/>
  <c r="A88" i="60"/>
  <c r="H87" i="60"/>
  <c r="G87" i="60"/>
  <c r="E87" i="60"/>
  <c r="D87" i="60"/>
  <c r="C87" i="60"/>
  <c r="A87" i="60"/>
  <c r="H86" i="60"/>
  <c r="G86" i="60"/>
  <c r="E86" i="60"/>
  <c r="D86" i="60"/>
  <c r="C86" i="60"/>
  <c r="A86" i="60"/>
  <c r="H85" i="60"/>
  <c r="G85" i="60"/>
  <c r="E85" i="60"/>
  <c r="D85" i="60"/>
  <c r="C85" i="60"/>
  <c r="A85" i="60"/>
  <c r="C84" i="60"/>
  <c r="C83" i="60"/>
  <c r="C82" i="60"/>
  <c r="M81" i="60"/>
  <c r="L81" i="60"/>
  <c r="J81" i="60"/>
  <c r="H81" i="60"/>
  <c r="G81" i="60"/>
  <c r="E81" i="60"/>
  <c r="C81" i="60"/>
  <c r="M80" i="60"/>
  <c r="L80" i="60"/>
  <c r="H80" i="60"/>
  <c r="G80" i="60"/>
  <c r="E80" i="60"/>
  <c r="C80" i="60"/>
  <c r="J80" i="60" s="1"/>
  <c r="D73" i="60"/>
  <c r="C63" i="60"/>
  <c r="D61" i="60"/>
  <c r="D60" i="60"/>
  <c r="E58" i="60"/>
  <c r="C58" i="60"/>
  <c r="C57" i="60"/>
  <c r="E57" i="60" s="1"/>
  <c r="C56" i="60"/>
  <c r="E56" i="60" s="1"/>
  <c r="C55" i="60"/>
  <c r="E55" i="60" s="1"/>
  <c r="C54" i="60"/>
  <c r="E54" i="60" s="1"/>
  <c r="E53" i="60"/>
  <c r="C53" i="60"/>
  <c r="D52" i="60"/>
  <c r="C52" i="60"/>
  <c r="C51" i="60"/>
  <c r="D50" i="60"/>
  <c r="C50" i="60"/>
  <c r="C49" i="60" s="1"/>
  <c r="E49" i="60"/>
  <c r="C48" i="60"/>
  <c r="E48" i="60" s="1"/>
  <c r="C44" i="60"/>
  <c r="E44" i="60" s="1"/>
  <c r="C43" i="60"/>
  <c r="E43" i="60" s="1"/>
  <c r="C9" i="76"/>
  <c r="C38" i="60"/>
  <c r="E38" i="60" s="1"/>
  <c r="C37" i="60"/>
  <c r="C36" i="60"/>
  <c r="F35" i="60"/>
  <c r="A34" i="60"/>
  <c r="A33" i="60"/>
  <c r="F29" i="60"/>
  <c r="F28" i="60"/>
  <c r="A27" i="60"/>
  <c r="A26" i="60"/>
  <c r="C23" i="60"/>
  <c r="C22" i="60"/>
  <c r="C21" i="60"/>
  <c r="A21" i="60"/>
  <c r="C20" i="60"/>
  <c r="C19" i="60"/>
  <c r="A19" i="60"/>
  <c r="C18" i="60"/>
  <c r="C17" i="60"/>
  <c r="C16" i="60"/>
  <c r="D15" i="60"/>
  <c r="C15" i="60"/>
  <c r="E14" i="60"/>
  <c r="E12" i="60"/>
  <c r="C9" i="60"/>
  <c r="D8" i="60"/>
  <c r="D7" i="60"/>
  <c r="N6" i="60"/>
  <c r="C6" i="60"/>
  <c r="E5" i="60"/>
  <c r="A1" i="60"/>
  <c r="E149" i="59"/>
  <c r="E142" i="59"/>
  <c r="B141" i="59"/>
  <c r="B128" i="59"/>
  <c r="C122" i="59"/>
  <c r="C121" i="59"/>
  <c r="C120" i="59"/>
  <c r="C119" i="59"/>
  <c r="C118" i="59"/>
  <c r="C117" i="59"/>
  <c r="C116" i="59"/>
  <c r="C115" i="59"/>
  <c r="C114" i="59"/>
  <c r="C113" i="59"/>
  <c r="C112" i="59"/>
  <c r="C111" i="59"/>
  <c r="D110" i="59"/>
  <c r="C109" i="59"/>
  <c r="C108" i="59"/>
  <c r="C107" i="59"/>
  <c r="C106" i="59"/>
  <c r="C105" i="59"/>
  <c r="C104" i="59"/>
  <c r="C103" i="59"/>
  <c r="F102" i="59"/>
  <c r="C102" i="59"/>
  <c r="D101" i="59"/>
  <c r="D100" i="59" s="1"/>
  <c r="H95" i="59"/>
  <c r="G95" i="59"/>
  <c r="H94" i="59"/>
  <c r="G94" i="59"/>
  <c r="C94" i="59"/>
  <c r="C93" i="59"/>
  <c r="C92" i="59"/>
  <c r="H91" i="59"/>
  <c r="G91" i="59"/>
  <c r="D91" i="59"/>
  <c r="C91" i="59"/>
  <c r="E91" i="59" s="1"/>
  <c r="C90" i="59"/>
  <c r="C89" i="59"/>
  <c r="H88" i="59"/>
  <c r="G88" i="59"/>
  <c r="E88" i="59"/>
  <c r="D88" i="59"/>
  <c r="C88" i="59"/>
  <c r="A88" i="59"/>
  <c r="H87" i="59"/>
  <c r="G87" i="59"/>
  <c r="E87" i="59"/>
  <c r="D87" i="59"/>
  <c r="C87" i="59"/>
  <c r="A87" i="59"/>
  <c r="H86" i="59"/>
  <c r="G86" i="59"/>
  <c r="D86" i="59"/>
  <c r="C86" i="59"/>
  <c r="E86" i="59" s="1"/>
  <c r="A86" i="59"/>
  <c r="H85" i="59"/>
  <c r="G85" i="59"/>
  <c r="D85" i="59"/>
  <c r="C85" i="59"/>
  <c r="E85" i="59" s="1"/>
  <c r="A85" i="59"/>
  <c r="C84" i="59"/>
  <c r="C83" i="59"/>
  <c r="C82" i="59"/>
  <c r="M81" i="59"/>
  <c r="L81" i="59"/>
  <c r="J81" i="59"/>
  <c r="H81" i="59"/>
  <c r="G81" i="59"/>
  <c r="E81" i="59"/>
  <c r="C81" i="59"/>
  <c r="M80" i="59"/>
  <c r="L80" i="59"/>
  <c r="H80" i="59"/>
  <c r="G80" i="59"/>
  <c r="E80" i="59"/>
  <c r="C80" i="59"/>
  <c r="J80" i="59" s="1"/>
  <c r="D73" i="59"/>
  <c r="C63" i="59"/>
  <c r="D61" i="59"/>
  <c r="D60" i="59"/>
  <c r="C58" i="59"/>
  <c r="E58" i="59" s="1"/>
  <c r="E57" i="59"/>
  <c r="C57" i="59"/>
  <c r="E56" i="59"/>
  <c r="C56" i="59"/>
  <c r="C55" i="59"/>
  <c r="E55" i="59" s="1"/>
  <c r="C54" i="59"/>
  <c r="E54" i="59" s="1"/>
  <c r="C53" i="59"/>
  <c r="E53" i="59" s="1"/>
  <c r="D52" i="59"/>
  <c r="C52" i="59"/>
  <c r="C51" i="59"/>
  <c r="D50" i="59"/>
  <c r="C50" i="59"/>
  <c r="C49" i="59" s="1"/>
  <c r="E49" i="59"/>
  <c r="C48" i="59"/>
  <c r="E48" i="59" s="1"/>
  <c r="C44" i="59"/>
  <c r="E44" i="59" s="1"/>
  <c r="C43" i="59"/>
  <c r="E43" i="59" s="1"/>
  <c r="C8" i="76"/>
  <c r="C38" i="59"/>
  <c r="E38" i="59" s="1"/>
  <c r="C37" i="59"/>
  <c r="C36" i="59"/>
  <c r="F35" i="59"/>
  <c r="A34" i="59"/>
  <c r="A33" i="59"/>
  <c r="F29" i="59"/>
  <c r="F28" i="59"/>
  <c r="A27" i="59"/>
  <c r="A26" i="59"/>
  <c r="C23" i="59"/>
  <c r="C22" i="59"/>
  <c r="C21" i="59"/>
  <c r="A21" i="59"/>
  <c r="C20" i="59"/>
  <c r="C19" i="59"/>
  <c r="A19" i="59"/>
  <c r="C18" i="59"/>
  <c r="C17" i="59"/>
  <c r="C16" i="59"/>
  <c r="D15" i="59"/>
  <c r="C15" i="59"/>
  <c r="E14" i="59"/>
  <c r="E12" i="59"/>
  <c r="C9" i="59"/>
  <c r="H8" i="59"/>
  <c r="H8" i="60" s="1"/>
  <c r="D8" i="59"/>
  <c r="D7" i="59"/>
  <c r="H6" i="59"/>
  <c r="C6" i="59"/>
  <c r="C5" i="59" s="1"/>
  <c r="E5" i="59"/>
  <c r="A1" i="59"/>
  <c r="E149" i="58"/>
  <c r="E142" i="58"/>
  <c r="D142" i="58"/>
  <c r="B141" i="58"/>
  <c r="B128" i="58"/>
  <c r="C122" i="58"/>
  <c r="C121" i="58"/>
  <c r="C120" i="58"/>
  <c r="C119" i="58"/>
  <c r="C118" i="58"/>
  <c r="C117" i="58"/>
  <c r="C116" i="58"/>
  <c r="C115" i="58"/>
  <c r="C114" i="58"/>
  <c r="C113" i="58"/>
  <c r="C112" i="58"/>
  <c r="C111" i="58"/>
  <c r="D110" i="58"/>
  <c r="C109" i="58"/>
  <c r="C108" i="58"/>
  <c r="C107" i="58"/>
  <c r="C106" i="58"/>
  <c r="C105" i="58"/>
  <c r="C104" i="58"/>
  <c r="C103" i="58"/>
  <c r="F102" i="58"/>
  <c r="C102" i="58"/>
  <c r="D101" i="58"/>
  <c r="D100" i="58" s="1"/>
  <c r="H95" i="58"/>
  <c r="G95" i="58"/>
  <c r="H94" i="58"/>
  <c r="G94" i="58"/>
  <c r="C94" i="58"/>
  <c r="C93" i="58"/>
  <c r="C92" i="58"/>
  <c r="K91" i="58"/>
  <c r="M91" i="58" s="1"/>
  <c r="H91" i="58"/>
  <c r="G91" i="58"/>
  <c r="D91" i="58"/>
  <c r="C91" i="58"/>
  <c r="E91" i="58" s="1"/>
  <c r="C90" i="58"/>
  <c r="C89" i="58"/>
  <c r="H88" i="58"/>
  <c r="G88" i="58"/>
  <c r="E88" i="58"/>
  <c r="D88" i="58"/>
  <c r="C88" i="58"/>
  <c r="A88" i="58"/>
  <c r="K87" i="58"/>
  <c r="M87" i="58" s="1"/>
  <c r="H87" i="58"/>
  <c r="G87" i="58"/>
  <c r="D87" i="58"/>
  <c r="C87" i="58"/>
  <c r="E87" i="58" s="1"/>
  <c r="A87" i="58"/>
  <c r="H86" i="58"/>
  <c r="G86" i="58"/>
  <c r="E86" i="58"/>
  <c r="D86" i="58"/>
  <c r="C86" i="58"/>
  <c r="A86" i="58"/>
  <c r="H85" i="58"/>
  <c r="G85" i="58"/>
  <c r="D85" i="58"/>
  <c r="C85" i="58"/>
  <c r="E85" i="58" s="1"/>
  <c r="A85" i="58"/>
  <c r="C84" i="58"/>
  <c r="C83" i="58"/>
  <c r="C82" i="58"/>
  <c r="M81" i="58"/>
  <c r="L81" i="58"/>
  <c r="H81" i="58"/>
  <c r="G81" i="58"/>
  <c r="C81" i="58"/>
  <c r="M80" i="58"/>
  <c r="L80" i="58"/>
  <c r="J80" i="58"/>
  <c r="H80" i="58"/>
  <c r="G80" i="58"/>
  <c r="E80" i="58"/>
  <c r="C80" i="58"/>
  <c r="D73" i="58"/>
  <c r="C63" i="58"/>
  <c r="D61" i="58"/>
  <c r="D60" i="58"/>
  <c r="C58" i="58"/>
  <c r="E58" i="58" s="1"/>
  <c r="E57" i="58"/>
  <c r="C57" i="58"/>
  <c r="C56" i="58"/>
  <c r="E56" i="58" s="1"/>
  <c r="C55" i="58"/>
  <c r="E55" i="58" s="1"/>
  <c r="C54" i="58"/>
  <c r="E54" i="58" s="1"/>
  <c r="C53" i="58"/>
  <c r="E53" i="58" s="1"/>
  <c r="D52" i="58"/>
  <c r="C52" i="58"/>
  <c r="C51" i="58"/>
  <c r="D50" i="58"/>
  <c r="C50" i="58"/>
  <c r="C49" i="58" s="1"/>
  <c r="E49" i="58"/>
  <c r="C48" i="58"/>
  <c r="E48" i="58" s="1"/>
  <c r="H45" i="58"/>
  <c r="H45" i="59" s="1"/>
  <c r="H45" i="60" s="1"/>
  <c r="H45" i="61" s="1"/>
  <c r="H45" i="62" s="1"/>
  <c r="H45" i="63" s="1"/>
  <c r="H45" i="64" s="1"/>
  <c r="H45" i="65" s="1"/>
  <c r="H45" i="66" s="1"/>
  <c r="H45" i="67" s="1"/>
  <c r="H45" i="68" s="1"/>
  <c r="H45" i="69" s="1"/>
  <c r="H45" i="70" s="1"/>
  <c r="H45" i="71" s="1"/>
  <c r="H45" i="72" s="1"/>
  <c r="H45" i="73" s="1"/>
  <c r="H45" i="74" s="1"/>
  <c r="H45" i="43" s="1"/>
  <c r="H45" i="44" s="1"/>
  <c r="H45" i="45" s="1"/>
  <c r="H45" i="46" s="1"/>
  <c r="H45" i="47" s="1"/>
  <c r="H45" i="48" s="1"/>
  <c r="H45" i="49" s="1"/>
  <c r="H45" i="50" s="1"/>
  <c r="H45" i="52" s="1"/>
  <c r="H45" i="78" s="1"/>
  <c r="C44" i="58"/>
  <c r="E44" i="58" s="1"/>
  <c r="C43" i="58"/>
  <c r="E43" i="58" s="1"/>
  <c r="C7" i="76"/>
  <c r="C38" i="58"/>
  <c r="E38" i="58" s="1"/>
  <c r="C37" i="58"/>
  <c r="C36" i="58"/>
  <c r="F35" i="58"/>
  <c r="A34" i="58"/>
  <c r="A33" i="58"/>
  <c r="F29" i="58"/>
  <c r="F28" i="58"/>
  <c r="A27" i="58"/>
  <c r="A26" i="58"/>
  <c r="C23" i="58"/>
  <c r="C22" i="58"/>
  <c r="C21" i="58"/>
  <c r="A21" i="58"/>
  <c r="C20" i="58"/>
  <c r="C19" i="58"/>
  <c r="A19" i="58"/>
  <c r="C18" i="58"/>
  <c r="C17" i="58"/>
  <c r="C16" i="58"/>
  <c r="D15" i="58"/>
  <c r="C15" i="58"/>
  <c r="E14" i="58"/>
  <c r="E12" i="58"/>
  <c r="C9" i="58"/>
  <c r="D8" i="58"/>
  <c r="D7" i="58"/>
  <c r="G6" i="58"/>
  <c r="G6" i="59" s="1"/>
  <c r="C6" i="58"/>
  <c r="E5" i="58"/>
  <c r="C5" i="58"/>
  <c r="A1" i="58"/>
  <c r="E149" i="57"/>
  <c r="B141" i="57"/>
  <c r="E142" i="57" s="1"/>
  <c r="C122" i="57"/>
  <c r="C121" i="57"/>
  <c r="C120" i="57"/>
  <c r="C119" i="57"/>
  <c r="C118" i="57"/>
  <c r="C117" i="57"/>
  <c r="C116" i="57"/>
  <c r="C115" i="57"/>
  <c r="C114" i="57"/>
  <c r="C113" i="57"/>
  <c r="C112" i="57"/>
  <c r="C111" i="57"/>
  <c r="D110" i="57"/>
  <c r="C109" i="57"/>
  <c r="C108" i="57"/>
  <c r="C107" i="57"/>
  <c r="C106" i="57"/>
  <c r="C105" i="57"/>
  <c r="C104" i="57"/>
  <c r="C103" i="57"/>
  <c r="F102" i="57"/>
  <c r="C102" i="57"/>
  <c r="D101" i="57"/>
  <c r="D100" i="57" s="1"/>
  <c r="H95" i="57"/>
  <c r="G95" i="57"/>
  <c r="H94" i="57"/>
  <c r="G94" i="57"/>
  <c r="C94" i="57"/>
  <c r="C93" i="57"/>
  <c r="C92" i="57"/>
  <c r="H91" i="57"/>
  <c r="G91" i="57"/>
  <c r="E91" i="57"/>
  <c r="D91" i="57"/>
  <c r="C91" i="57"/>
  <c r="C90" i="57"/>
  <c r="C89" i="57"/>
  <c r="M88" i="57"/>
  <c r="H88" i="57"/>
  <c r="G88" i="57"/>
  <c r="D88" i="57"/>
  <c r="C88" i="57"/>
  <c r="E88" i="57" s="1"/>
  <c r="O87" i="57"/>
  <c r="O87" i="58" s="1"/>
  <c r="M87" i="57"/>
  <c r="H87" i="57"/>
  <c r="G87" i="57"/>
  <c r="E87" i="57"/>
  <c r="D87" i="57"/>
  <c r="H86" i="57"/>
  <c r="G86" i="57"/>
  <c r="E86" i="57"/>
  <c r="D86" i="57"/>
  <c r="K85" i="57"/>
  <c r="K85" i="58" s="1"/>
  <c r="H85" i="57"/>
  <c r="G85" i="57"/>
  <c r="D85" i="57"/>
  <c r="C85" i="57"/>
  <c r="E85" i="57" s="1"/>
  <c r="C84" i="57"/>
  <c r="C83" i="57"/>
  <c r="C82" i="57"/>
  <c r="M81" i="57"/>
  <c r="L81" i="57"/>
  <c r="H81" i="57"/>
  <c r="G81" i="57"/>
  <c r="C81" i="57"/>
  <c r="M80" i="57"/>
  <c r="L80" i="57"/>
  <c r="J80" i="57"/>
  <c r="H80" i="57"/>
  <c r="G80" i="57"/>
  <c r="E80" i="57"/>
  <c r="C80" i="57"/>
  <c r="K73" i="57"/>
  <c r="K73" i="58" s="1"/>
  <c r="K73" i="59" s="1"/>
  <c r="K73" i="60" s="1"/>
  <c r="K73" i="61" s="1"/>
  <c r="K73" i="62" s="1"/>
  <c r="K73" i="63" s="1"/>
  <c r="K73" i="64" s="1"/>
  <c r="K73" i="65" s="1"/>
  <c r="K73" i="66" s="1"/>
  <c r="K73" i="67" s="1"/>
  <c r="K73" i="68" s="1"/>
  <c r="K73" i="69" s="1"/>
  <c r="K73" i="70" s="1"/>
  <c r="K73" i="71" s="1"/>
  <c r="K73" i="72" s="1"/>
  <c r="K73" i="73" s="1"/>
  <c r="K73" i="74" s="1"/>
  <c r="K73" i="43" s="1"/>
  <c r="K73" i="44" s="1"/>
  <c r="K73" i="45" s="1"/>
  <c r="K73" i="46" s="1"/>
  <c r="K73" i="47" s="1"/>
  <c r="K73" i="48" s="1"/>
  <c r="K73" i="49" s="1"/>
  <c r="K73" i="50" s="1"/>
  <c r="K73" i="52" s="1"/>
  <c r="K73" i="78" s="1"/>
  <c r="D73" i="57"/>
  <c r="T6" i="76"/>
  <c r="C63" i="57"/>
  <c r="D61" i="57"/>
  <c r="D60" i="57"/>
  <c r="C58" i="57"/>
  <c r="E58" i="57" s="1"/>
  <c r="C57" i="57"/>
  <c r="E57" i="57" s="1"/>
  <c r="C56" i="57"/>
  <c r="E56" i="57" s="1"/>
  <c r="C55" i="57"/>
  <c r="E55" i="57" s="1"/>
  <c r="C54" i="57"/>
  <c r="E54" i="57" s="1"/>
  <c r="K53" i="57"/>
  <c r="K53" i="58" s="1"/>
  <c r="K53" i="59" s="1"/>
  <c r="K53" i="60" s="1"/>
  <c r="K53" i="61" s="1"/>
  <c r="K53" i="62" s="1"/>
  <c r="K53" i="63" s="1"/>
  <c r="K53" i="64" s="1"/>
  <c r="K53" i="65" s="1"/>
  <c r="K53" i="66" s="1"/>
  <c r="K53" i="67" s="1"/>
  <c r="K53" i="68" s="1"/>
  <c r="K53" i="69" s="1"/>
  <c r="K53" i="70" s="1"/>
  <c r="K53" i="71" s="1"/>
  <c r="K53" i="72" s="1"/>
  <c r="K53" i="73" s="1"/>
  <c r="K53" i="74" s="1"/>
  <c r="K53" i="43" s="1"/>
  <c r="K53" i="44" s="1"/>
  <c r="K53" i="45" s="1"/>
  <c r="K53" i="46" s="1"/>
  <c r="K53" i="47" s="1"/>
  <c r="K53" i="48" s="1"/>
  <c r="K53" i="49" s="1"/>
  <c r="K53" i="50" s="1"/>
  <c r="K53" i="52" s="1"/>
  <c r="K53" i="78" s="1"/>
  <c r="C53" i="57"/>
  <c r="E53" i="57" s="1"/>
  <c r="D52" i="57"/>
  <c r="C52" i="57"/>
  <c r="C51" i="57"/>
  <c r="C49" i="57" s="1"/>
  <c r="D50" i="57"/>
  <c r="C50" i="57"/>
  <c r="E49" i="57"/>
  <c r="C48" i="57"/>
  <c r="E48" i="57" s="1"/>
  <c r="C44" i="57"/>
  <c r="E44" i="57" s="1"/>
  <c r="E43" i="57"/>
  <c r="C43" i="57"/>
  <c r="C6" i="76"/>
  <c r="C38" i="57"/>
  <c r="E38" i="57" s="1"/>
  <c r="C37" i="57"/>
  <c r="C36" i="57"/>
  <c r="F35" i="57"/>
  <c r="A34" i="57"/>
  <c r="A33" i="57"/>
  <c r="F29" i="57"/>
  <c r="F28" i="57"/>
  <c r="A27" i="57"/>
  <c r="A26" i="57"/>
  <c r="C23" i="57"/>
  <c r="C22" i="57"/>
  <c r="C21" i="57"/>
  <c r="A21" i="57"/>
  <c r="C20" i="57"/>
  <c r="C19" i="57"/>
  <c r="A19" i="57"/>
  <c r="C18" i="57"/>
  <c r="C17" i="57"/>
  <c r="C16" i="57"/>
  <c r="D15" i="57"/>
  <c r="C15" i="57"/>
  <c r="E14" i="57"/>
  <c r="G13" i="57"/>
  <c r="E12" i="57"/>
  <c r="C9" i="57"/>
  <c r="D8" i="57"/>
  <c r="L8" i="57" s="1"/>
  <c r="D7" i="57"/>
  <c r="H6" i="57"/>
  <c r="H6" i="58" s="1"/>
  <c r="G6" i="57"/>
  <c r="C6" i="57"/>
  <c r="E5" i="57"/>
  <c r="C5" i="57"/>
  <c r="A1" i="57"/>
  <c r="E149" i="56"/>
  <c r="C122" i="56"/>
  <c r="C121" i="56"/>
  <c r="C120" i="56"/>
  <c r="C119" i="56"/>
  <c r="C118" i="56"/>
  <c r="C117" i="56"/>
  <c r="C116" i="56"/>
  <c r="C115" i="56"/>
  <c r="C114" i="56"/>
  <c r="C113" i="56"/>
  <c r="C112" i="56"/>
  <c r="C111" i="56"/>
  <c r="C110" i="56" s="1"/>
  <c r="D110" i="56"/>
  <c r="C109" i="56"/>
  <c r="C108" i="56"/>
  <c r="C107" i="56"/>
  <c r="C106" i="56"/>
  <c r="C105" i="56"/>
  <c r="C104" i="56"/>
  <c r="C103" i="56"/>
  <c r="C102" i="56"/>
  <c r="D101" i="56"/>
  <c r="D100" i="56" s="1"/>
  <c r="H95" i="56"/>
  <c r="G95" i="56"/>
  <c r="H94" i="56"/>
  <c r="G94" i="56"/>
  <c r="C94" i="56"/>
  <c r="C93" i="56"/>
  <c r="C92" i="56"/>
  <c r="O91" i="56"/>
  <c r="K91" i="56"/>
  <c r="M91" i="56" s="1"/>
  <c r="H91" i="56"/>
  <c r="G91" i="56"/>
  <c r="D91" i="56"/>
  <c r="C91" i="56"/>
  <c r="E91" i="56" s="1"/>
  <c r="C90" i="56"/>
  <c r="C89" i="56"/>
  <c r="O88" i="56"/>
  <c r="L88" i="56"/>
  <c r="K88" i="56"/>
  <c r="M88" i="56" s="1"/>
  <c r="H88" i="56"/>
  <c r="G88" i="56"/>
  <c r="E88" i="56"/>
  <c r="D88" i="56"/>
  <c r="C88" i="56"/>
  <c r="H87" i="56"/>
  <c r="G87" i="56"/>
  <c r="E87" i="56"/>
  <c r="D87" i="56"/>
  <c r="O86" i="56"/>
  <c r="H86" i="56"/>
  <c r="G86" i="56"/>
  <c r="E86" i="56"/>
  <c r="D86" i="56"/>
  <c r="L85" i="56"/>
  <c r="L85" i="57" s="1"/>
  <c r="L85" i="58" s="1"/>
  <c r="L85" i="59" s="1"/>
  <c r="L85" i="60" s="1"/>
  <c r="L85" i="61" s="1"/>
  <c r="L85" i="62" s="1"/>
  <c r="L85" i="63" s="1"/>
  <c r="L85" i="64" s="1"/>
  <c r="L85" i="65" s="1"/>
  <c r="L85" i="66" s="1"/>
  <c r="L85" i="67" s="1"/>
  <c r="L85" i="68" s="1"/>
  <c r="L85" i="69" s="1"/>
  <c r="L85" i="70" s="1"/>
  <c r="L85" i="71" s="1"/>
  <c r="L85" i="72" s="1"/>
  <c r="L85" i="73" s="1"/>
  <c r="L85" i="74" s="1"/>
  <c r="L85" i="43" s="1"/>
  <c r="L85" i="44" s="1"/>
  <c r="K85" i="56"/>
  <c r="M85" i="56" s="1"/>
  <c r="H85" i="56"/>
  <c r="G85" i="56"/>
  <c r="D85" i="56"/>
  <c r="C85" i="56"/>
  <c r="E85" i="56" s="1"/>
  <c r="C84" i="56"/>
  <c r="C83" i="56"/>
  <c r="C82" i="56"/>
  <c r="M81" i="56"/>
  <c r="L81" i="56"/>
  <c r="H81" i="56"/>
  <c r="G81" i="56"/>
  <c r="E81" i="56"/>
  <c r="C81" i="56"/>
  <c r="J81" i="56" s="1"/>
  <c r="O80" i="56"/>
  <c r="O80" i="57" s="1"/>
  <c r="O80" i="58" s="1"/>
  <c r="O80" i="59" s="1"/>
  <c r="O80" i="60" s="1"/>
  <c r="O80" i="61" s="1"/>
  <c r="O80" i="62" s="1"/>
  <c r="O80" i="63" s="1"/>
  <c r="O80" i="64" s="1"/>
  <c r="O80" i="65" s="1"/>
  <c r="O80" i="66" s="1"/>
  <c r="O80" i="67" s="1"/>
  <c r="O80" i="68" s="1"/>
  <c r="O80" i="69" s="1"/>
  <c r="O80" i="70" s="1"/>
  <c r="O80" i="71" s="1"/>
  <c r="O80" i="72" s="1"/>
  <c r="O80" i="73" s="1"/>
  <c r="O80" i="74" s="1"/>
  <c r="O80" i="43" s="1"/>
  <c r="O80" i="44" s="1"/>
  <c r="O80" i="45" s="1"/>
  <c r="O80" i="46" s="1"/>
  <c r="O80" i="47" s="1"/>
  <c r="O80" i="48" s="1"/>
  <c r="O80" i="49" s="1"/>
  <c r="O80" i="50" s="1"/>
  <c r="O80" i="52" s="1"/>
  <c r="O80" i="78" s="1"/>
  <c r="M80" i="56"/>
  <c r="L80" i="56"/>
  <c r="H80" i="56"/>
  <c r="G80" i="56"/>
  <c r="E80" i="56"/>
  <c r="C80" i="56"/>
  <c r="J80" i="56" s="1"/>
  <c r="D73" i="56"/>
  <c r="T5" i="76"/>
  <c r="K64" i="56"/>
  <c r="K64" i="57" s="1"/>
  <c r="C63" i="56"/>
  <c r="D61" i="56"/>
  <c r="D60" i="56"/>
  <c r="C58" i="56"/>
  <c r="E58" i="56" s="1"/>
  <c r="E57" i="56"/>
  <c r="C57" i="56"/>
  <c r="H56" i="56"/>
  <c r="H56" i="57" s="1"/>
  <c r="E56" i="56"/>
  <c r="C56" i="56"/>
  <c r="C55" i="56"/>
  <c r="E55" i="56" s="1"/>
  <c r="C54" i="56"/>
  <c r="E54" i="56" s="1"/>
  <c r="K53" i="56"/>
  <c r="H53" i="56"/>
  <c r="C53" i="56"/>
  <c r="E53" i="56" s="1"/>
  <c r="D52" i="56"/>
  <c r="C52" i="56"/>
  <c r="C51" i="56"/>
  <c r="H50" i="56"/>
  <c r="G50" i="56"/>
  <c r="D50" i="56"/>
  <c r="L50" i="56" s="1"/>
  <c r="C50" i="56"/>
  <c r="E49" i="56"/>
  <c r="C48" i="56"/>
  <c r="E48" i="56" s="1"/>
  <c r="K46" i="56"/>
  <c r="K46" i="57" s="1"/>
  <c r="K46" i="58" s="1"/>
  <c r="K46" i="59" s="1"/>
  <c r="K46" i="60" s="1"/>
  <c r="K46" i="61" s="1"/>
  <c r="K46" i="62" s="1"/>
  <c r="K46" i="63" s="1"/>
  <c r="K46" i="64" s="1"/>
  <c r="K46" i="65" s="1"/>
  <c r="K46" i="66" s="1"/>
  <c r="K46" i="67" s="1"/>
  <c r="K46" i="68" s="1"/>
  <c r="K46" i="69" s="1"/>
  <c r="K46" i="70" s="1"/>
  <c r="K46" i="71" s="1"/>
  <c r="K46" i="72" s="1"/>
  <c r="K46" i="73" s="1"/>
  <c r="K46" i="74" s="1"/>
  <c r="K46" i="43" s="1"/>
  <c r="K46" i="44" s="1"/>
  <c r="K46" i="45" s="1"/>
  <c r="K46" i="46" s="1"/>
  <c r="K46" i="47" s="1"/>
  <c r="K46" i="48" s="1"/>
  <c r="K46" i="49" s="1"/>
  <c r="K46" i="50" s="1"/>
  <c r="K46" i="52" s="1"/>
  <c r="K46" i="78" s="1"/>
  <c r="C44" i="56"/>
  <c r="E44" i="56" s="1"/>
  <c r="C43" i="56"/>
  <c r="E43" i="56" s="1"/>
  <c r="K42" i="56"/>
  <c r="K42" i="57" s="1"/>
  <c r="K42" i="58" s="1"/>
  <c r="K42" i="59" s="1"/>
  <c r="K42" i="60" s="1"/>
  <c r="K42" i="61" s="1"/>
  <c r="K42" i="62" s="1"/>
  <c r="K42" i="63" s="1"/>
  <c r="K42" i="64" s="1"/>
  <c r="K42" i="65" s="1"/>
  <c r="K42" i="66" s="1"/>
  <c r="K42" i="67" s="1"/>
  <c r="K42" i="68" s="1"/>
  <c r="K42" i="69" s="1"/>
  <c r="K42" i="70" s="1"/>
  <c r="K42" i="71" s="1"/>
  <c r="K42" i="72" s="1"/>
  <c r="K42" i="73" s="1"/>
  <c r="K42" i="74" s="1"/>
  <c r="K42" i="43" s="1"/>
  <c r="K42" i="44" s="1"/>
  <c r="K42" i="45" s="1"/>
  <c r="K42" i="46" s="1"/>
  <c r="K42" i="47" s="1"/>
  <c r="K42" i="48" s="1"/>
  <c r="K42" i="49" s="1"/>
  <c r="K42" i="50" s="1"/>
  <c r="K42" i="52" s="1"/>
  <c r="K42" i="78" s="1"/>
  <c r="H42" i="56"/>
  <c r="H42" i="57" s="1"/>
  <c r="H42" i="58" s="1"/>
  <c r="H42" i="59" s="1"/>
  <c r="H42" i="60" s="1"/>
  <c r="H42" i="61" s="1"/>
  <c r="H42" i="62" s="1"/>
  <c r="H42" i="63" s="1"/>
  <c r="H42" i="64" s="1"/>
  <c r="H42" i="65" s="1"/>
  <c r="H42" i="66" s="1"/>
  <c r="H42" i="67" s="1"/>
  <c r="H42" i="68" s="1"/>
  <c r="H42" i="69" s="1"/>
  <c r="H42" i="70" s="1"/>
  <c r="H42" i="71" s="1"/>
  <c r="H42" i="72" s="1"/>
  <c r="H42" i="73" s="1"/>
  <c r="H42" i="74" s="1"/>
  <c r="H42" i="43" s="1"/>
  <c r="H42" i="44" s="1"/>
  <c r="H42" i="45" s="1"/>
  <c r="H42" i="46" s="1"/>
  <c r="H42" i="47" s="1"/>
  <c r="H42" i="48" s="1"/>
  <c r="H42" i="49" s="1"/>
  <c r="H42" i="50" s="1"/>
  <c r="H42" i="52" s="1"/>
  <c r="H42" i="78" s="1"/>
  <c r="C5" i="76"/>
  <c r="C38" i="56"/>
  <c r="E38" i="56" s="1"/>
  <c r="C37" i="56"/>
  <c r="C36" i="56"/>
  <c r="F35" i="56"/>
  <c r="A34" i="56"/>
  <c r="A33" i="56"/>
  <c r="G30" i="56"/>
  <c r="G30" i="57" s="1"/>
  <c r="G30" i="58" s="1"/>
  <c r="G30" i="59" s="1"/>
  <c r="G30" i="60" s="1"/>
  <c r="G30" i="61" s="1"/>
  <c r="G30" i="62" s="1"/>
  <c r="G30" i="63" s="1"/>
  <c r="G30" i="64" s="1"/>
  <c r="G30" i="65" s="1"/>
  <c r="G30" i="66" s="1"/>
  <c r="G30" i="67" s="1"/>
  <c r="G30" i="68" s="1"/>
  <c r="G30" i="69" s="1"/>
  <c r="G30" i="70" s="1"/>
  <c r="G30" i="71" s="1"/>
  <c r="G30" i="72" s="1"/>
  <c r="G30" i="73" s="1"/>
  <c r="G30" i="74" s="1"/>
  <c r="G30" i="43" s="1"/>
  <c r="G30" i="44" s="1"/>
  <c r="G30" i="45" s="1"/>
  <c r="G30" i="46" s="1"/>
  <c r="G30" i="47" s="1"/>
  <c r="G30" i="48" s="1"/>
  <c r="G30" i="49" s="1"/>
  <c r="G30" i="50" s="1"/>
  <c r="G30" i="52" s="1"/>
  <c r="G30" i="78" s="1"/>
  <c r="F29" i="56"/>
  <c r="F28" i="56"/>
  <c r="A27" i="56"/>
  <c r="A26" i="56"/>
  <c r="C23" i="56"/>
  <c r="C22" i="56"/>
  <c r="C21" i="56"/>
  <c r="A21" i="56"/>
  <c r="C20" i="56"/>
  <c r="C19" i="56"/>
  <c r="A19" i="56"/>
  <c r="C18" i="56"/>
  <c r="C17" i="56"/>
  <c r="C16" i="56"/>
  <c r="H15" i="56"/>
  <c r="G15" i="56"/>
  <c r="G15" i="57" s="1"/>
  <c r="D15" i="56"/>
  <c r="C15" i="56"/>
  <c r="E14" i="56"/>
  <c r="H13" i="56"/>
  <c r="H13" i="57" s="1"/>
  <c r="H13" i="58" s="1"/>
  <c r="H13" i="59" s="1"/>
  <c r="H13" i="60" s="1"/>
  <c r="H13" i="61" s="1"/>
  <c r="H13" i="62" s="1"/>
  <c r="H13" i="63" s="1"/>
  <c r="H13" i="64" s="1"/>
  <c r="H13" i="65" s="1"/>
  <c r="H13" i="66" s="1"/>
  <c r="H13" i="67" s="1"/>
  <c r="H13" i="68" s="1"/>
  <c r="H13" i="69" s="1"/>
  <c r="H13" i="70" s="1"/>
  <c r="H13" i="71" s="1"/>
  <c r="H13" i="72" s="1"/>
  <c r="H13" i="73" s="1"/>
  <c r="H13" i="74" s="1"/>
  <c r="H13" i="43" s="1"/>
  <c r="H13" i="44" s="1"/>
  <c r="H13" i="45" s="1"/>
  <c r="H13" i="46" s="1"/>
  <c r="H13" i="47" s="1"/>
  <c r="H13" i="48" s="1"/>
  <c r="H13" i="49" s="1"/>
  <c r="H13" i="50" s="1"/>
  <c r="H13" i="52" s="1"/>
  <c r="H13" i="78" s="1"/>
  <c r="K12" i="56"/>
  <c r="K12" i="57" s="1"/>
  <c r="K12" i="58" s="1"/>
  <c r="K12" i="59" s="1"/>
  <c r="K12" i="60" s="1"/>
  <c r="K12" i="61" s="1"/>
  <c r="K12" i="62" s="1"/>
  <c r="K12" i="63" s="1"/>
  <c r="K12" i="64" s="1"/>
  <c r="K12" i="65" s="1"/>
  <c r="K12" i="66" s="1"/>
  <c r="K12" i="67" s="1"/>
  <c r="K12" i="68" s="1"/>
  <c r="K12" i="69" s="1"/>
  <c r="K12" i="70" s="1"/>
  <c r="K12" i="71" s="1"/>
  <c r="K12" i="72" s="1"/>
  <c r="K12" i="73" s="1"/>
  <c r="K12" i="74" s="1"/>
  <c r="K12" i="43" s="1"/>
  <c r="K12" i="44" s="1"/>
  <c r="K12" i="45" s="1"/>
  <c r="K12" i="46" s="1"/>
  <c r="K12" i="47" s="1"/>
  <c r="K12" i="48" s="1"/>
  <c r="K12" i="49" s="1"/>
  <c r="K12" i="50" s="1"/>
  <c r="K12" i="52" s="1"/>
  <c r="K12" i="78" s="1"/>
  <c r="G12" i="56"/>
  <c r="G12" i="57" s="1"/>
  <c r="G12" i="58" s="1"/>
  <c r="G12" i="59" s="1"/>
  <c r="G12" i="60" s="1"/>
  <c r="G12" i="61" s="1"/>
  <c r="G12" i="62" s="1"/>
  <c r="G12" i="63" s="1"/>
  <c r="G12" i="64" s="1"/>
  <c r="G12" i="65" s="1"/>
  <c r="G12" i="66" s="1"/>
  <c r="G12" i="67" s="1"/>
  <c r="G12" i="68" s="1"/>
  <c r="G12" i="69" s="1"/>
  <c r="G12" i="70" s="1"/>
  <c r="G12" i="71" s="1"/>
  <c r="G12" i="72" s="1"/>
  <c r="G12" i="73" s="1"/>
  <c r="G12" i="74" s="1"/>
  <c r="G12" i="43" s="1"/>
  <c r="G12" i="44" s="1"/>
  <c r="G12" i="45" s="1"/>
  <c r="G12" i="46" s="1"/>
  <c r="G12" i="47" s="1"/>
  <c r="E12" i="56"/>
  <c r="C9" i="56"/>
  <c r="K8" i="56"/>
  <c r="K8" i="57" s="1"/>
  <c r="K8" i="58" s="1"/>
  <c r="K8" i="59" s="1"/>
  <c r="K8" i="60" s="1"/>
  <c r="K8" i="61" s="1"/>
  <c r="K8" i="62" s="1"/>
  <c r="K8" i="63" s="1"/>
  <c r="K8" i="64" s="1"/>
  <c r="K8" i="65" s="1"/>
  <c r="K8" i="66" s="1"/>
  <c r="K8" i="67" s="1"/>
  <c r="K8" i="68" s="1"/>
  <c r="K8" i="69" s="1"/>
  <c r="K8" i="70" s="1"/>
  <c r="K8" i="71" s="1"/>
  <c r="K8" i="72" s="1"/>
  <c r="K8" i="73" s="1"/>
  <c r="K8" i="74" s="1"/>
  <c r="K8" i="43" s="1"/>
  <c r="K8" i="44" s="1"/>
  <c r="K8" i="45" s="1"/>
  <c r="K8" i="46" s="1"/>
  <c r="K8" i="47" s="1"/>
  <c r="K8" i="48" s="1"/>
  <c r="K8" i="49" s="1"/>
  <c r="K8" i="50" s="1"/>
  <c r="K8" i="52" s="1"/>
  <c r="K8" i="78" s="1"/>
  <c r="H8" i="56"/>
  <c r="H8" i="57" s="1"/>
  <c r="H8" i="58" s="1"/>
  <c r="L8" i="58" s="1"/>
  <c r="D8" i="56"/>
  <c r="L8" i="56" s="1"/>
  <c r="D7" i="56"/>
  <c r="H6" i="56"/>
  <c r="G6" i="56"/>
  <c r="C6" i="56"/>
  <c r="E5" i="56"/>
  <c r="A1" i="56"/>
  <c r="E149" i="55"/>
  <c r="E142" i="55"/>
  <c r="B141" i="55"/>
  <c r="C122" i="55"/>
  <c r="C121" i="55"/>
  <c r="C120" i="55"/>
  <c r="C119" i="55"/>
  <c r="C118" i="55"/>
  <c r="C117" i="55"/>
  <c r="C116" i="55"/>
  <c r="C115" i="55"/>
  <c r="C114" i="55"/>
  <c r="C113" i="55"/>
  <c r="C112" i="55"/>
  <c r="C111" i="55"/>
  <c r="D110" i="55"/>
  <c r="C109" i="55"/>
  <c r="C108" i="55"/>
  <c r="C107" i="55"/>
  <c r="C106" i="55"/>
  <c r="C105" i="55"/>
  <c r="C104" i="55"/>
  <c r="C103" i="55"/>
  <c r="G102" i="55"/>
  <c r="G102" i="56" s="1"/>
  <c r="F102" i="55"/>
  <c r="C102" i="55"/>
  <c r="D101" i="55"/>
  <c r="D100" i="55" s="1"/>
  <c r="H95" i="55"/>
  <c r="G95" i="55"/>
  <c r="H94" i="55"/>
  <c r="G94" i="55"/>
  <c r="C94" i="55"/>
  <c r="C93" i="55"/>
  <c r="C92" i="55"/>
  <c r="O91" i="55"/>
  <c r="O91" i="57" s="1"/>
  <c r="L91" i="55"/>
  <c r="L91" i="56" s="1"/>
  <c r="L91" i="57" s="1"/>
  <c r="L91" i="58" s="1"/>
  <c r="L91" i="59" s="1"/>
  <c r="L91" i="60" s="1"/>
  <c r="L91" i="61" s="1"/>
  <c r="L91" i="62" s="1"/>
  <c r="L91" i="63" s="1"/>
  <c r="L91" i="64" s="1"/>
  <c r="L91" i="65" s="1"/>
  <c r="L91" i="66" s="1"/>
  <c r="L91" i="67" s="1"/>
  <c r="L91" i="68" s="1"/>
  <c r="L91" i="69" s="1"/>
  <c r="L91" i="70" s="1"/>
  <c r="L91" i="71" s="1"/>
  <c r="L91" i="72" s="1"/>
  <c r="L91" i="73" s="1"/>
  <c r="L91" i="74" s="1"/>
  <c r="L91" i="43" s="1"/>
  <c r="L91" i="44" s="1"/>
  <c r="L91" i="45" s="1"/>
  <c r="L91" i="46" s="1"/>
  <c r="L91" i="47" s="1"/>
  <c r="L91" i="48" s="1"/>
  <c r="L91" i="49" s="1"/>
  <c r="L91" i="50" s="1"/>
  <c r="L91" i="52" s="1"/>
  <c r="L91" i="78" s="1"/>
  <c r="S91" i="78" s="1"/>
  <c r="K91" i="55"/>
  <c r="K91" i="57" s="1"/>
  <c r="M91" i="57" s="1"/>
  <c r="H91" i="55"/>
  <c r="G91" i="55"/>
  <c r="D91" i="55"/>
  <c r="C91" i="55"/>
  <c r="E91" i="55" s="1"/>
  <c r="C90" i="55"/>
  <c r="C89" i="55"/>
  <c r="O88" i="55"/>
  <c r="O88" i="57" s="1"/>
  <c r="M88" i="55"/>
  <c r="L88" i="55"/>
  <c r="L88" i="57" s="1"/>
  <c r="L88" i="58" s="1"/>
  <c r="L88" i="59" s="1"/>
  <c r="L88" i="60" s="1"/>
  <c r="L88" i="61" s="1"/>
  <c r="L88" i="62" s="1"/>
  <c r="L88" i="63" s="1"/>
  <c r="L88" i="64" s="1"/>
  <c r="L88" i="65" s="1"/>
  <c r="L88" i="66" s="1"/>
  <c r="L88" i="67" s="1"/>
  <c r="L88" i="68" s="1"/>
  <c r="L88" i="69" s="1"/>
  <c r="L88" i="70" s="1"/>
  <c r="L88" i="71" s="1"/>
  <c r="L88" i="72" s="1"/>
  <c r="L88" i="73" s="1"/>
  <c r="L88" i="74" s="1"/>
  <c r="L88" i="43" s="1"/>
  <c r="L88" i="44" s="1"/>
  <c r="L88" i="45" s="1"/>
  <c r="L88" i="46" s="1"/>
  <c r="L88" i="47" s="1"/>
  <c r="L88" i="48" s="1"/>
  <c r="L88" i="49" s="1"/>
  <c r="L88" i="50" s="1"/>
  <c r="L88" i="52" s="1"/>
  <c r="L88" i="78" s="1"/>
  <c r="S88" i="78" s="1"/>
  <c r="K88" i="55"/>
  <c r="K88" i="57" s="1"/>
  <c r="K88" i="58" s="1"/>
  <c r="H88" i="55"/>
  <c r="G88" i="55"/>
  <c r="E88" i="55"/>
  <c r="D88" i="55"/>
  <c r="C88" i="55"/>
  <c r="O87" i="55"/>
  <c r="O87" i="56" s="1"/>
  <c r="L87" i="55"/>
  <c r="K87" i="55"/>
  <c r="K87" i="57" s="1"/>
  <c r="H87" i="55"/>
  <c r="G87" i="55"/>
  <c r="E87" i="55"/>
  <c r="D87" i="55"/>
  <c r="O86" i="55"/>
  <c r="L86" i="55"/>
  <c r="K86" i="55"/>
  <c r="H86" i="55"/>
  <c r="G86" i="55"/>
  <c r="E86" i="55"/>
  <c r="D86" i="55"/>
  <c r="O85" i="55"/>
  <c r="I85" i="55" s="1"/>
  <c r="J85" i="55" s="1"/>
  <c r="M85" i="55"/>
  <c r="L85" i="55"/>
  <c r="K85" i="55"/>
  <c r="H85" i="55"/>
  <c r="G85" i="55"/>
  <c r="E85" i="55"/>
  <c r="D85" i="55"/>
  <c r="C85" i="55"/>
  <c r="C84" i="55"/>
  <c r="C83" i="55"/>
  <c r="C82" i="55"/>
  <c r="O81" i="55"/>
  <c r="O81" i="56" s="1"/>
  <c r="O81" i="57" s="1"/>
  <c r="O81" i="58" s="1"/>
  <c r="O81" i="59" s="1"/>
  <c r="O81" i="60" s="1"/>
  <c r="O81" i="61" s="1"/>
  <c r="O81" i="62" s="1"/>
  <c r="O81" i="63" s="1"/>
  <c r="O81" i="64" s="1"/>
  <c r="O81" i="65" s="1"/>
  <c r="O81" i="66" s="1"/>
  <c r="O81" i="67" s="1"/>
  <c r="O81" i="68" s="1"/>
  <c r="O81" i="69" s="1"/>
  <c r="O81" i="70" s="1"/>
  <c r="O81" i="71" s="1"/>
  <c r="O81" i="72" s="1"/>
  <c r="O81" i="73" s="1"/>
  <c r="O81" i="74" s="1"/>
  <c r="O81" i="43" s="1"/>
  <c r="O81" i="44" s="1"/>
  <c r="O81" i="45" s="1"/>
  <c r="O81" i="46" s="1"/>
  <c r="O81" i="47" s="1"/>
  <c r="O81" i="48" s="1"/>
  <c r="O81" i="49" s="1"/>
  <c r="O81" i="50" s="1"/>
  <c r="O81" i="52" s="1"/>
  <c r="O81" i="78" s="1"/>
  <c r="M81" i="55"/>
  <c r="L81" i="55"/>
  <c r="J81" i="55"/>
  <c r="H81" i="55"/>
  <c r="G81" i="55"/>
  <c r="E81" i="55"/>
  <c r="C81" i="55"/>
  <c r="O80" i="55"/>
  <c r="M80" i="55"/>
  <c r="L80" i="55"/>
  <c r="J80" i="55"/>
  <c r="H80" i="55"/>
  <c r="G80" i="55"/>
  <c r="E80" i="55"/>
  <c r="C80" i="55"/>
  <c r="H73" i="55"/>
  <c r="H73" i="56" s="1"/>
  <c r="D73" i="55"/>
  <c r="L73" i="55" s="1"/>
  <c r="H69" i="55"/>
  <c r="H69" i="56" s="1"/>
  <c r="H69" i="57" s="1"/>
  <c r="H68" i="55"/>
  <c r="H68" i="56" s="1"/>
  <c r="H68" i="57" s="1"/>
  <c r="H68" i="58" s="1"/>
  <c r="H68" i="59" s="1"/>
  <c r="H68" i="60" s="1"/>
  <c r="H68" i="61" s="1"/>
  <c r="H68" i="62" s="1"/>
  <c r="H68" i="63" s="1"/>
  <c r="H68" i="64" s="1"/>
  <c r="H68" i="65" s="1"/>
  <c r="H68" i="66" s="1"/>
  <c r="H68" i="67" s="1"/>
  <c r="H68" i="68" s="1"/>
  <c r="H68" i="69" s="1"/>
  <c r="H68" i="70" s="1"/>
  <c r="H68" i="71" s="1"/>
  <c r="H68" i="72" s="1"/>
  <c r="H68" i="73" s="1"/>
  <c r="H68" i="74" s="1"/>
  <c r="H68" i="43" s="1"/>
  <c r="H68" i="44" s="1"/>
  <c r="H68" i="45" s="1"/>
  <c r="H68" i="46" s="1"/>
  <c r="H68" i="47" s="1"/>
  <c r="H68" i="48" s="1"/>
  <c r="H68" i="49" s="1"/>
  <c r="H68" i="50" s="1"/>
  <c r="H68" i="52" s="1"/>
  <c r="H68" i="78" s="1"/>
  <c r="K67" i="55"/>
  <c r="K67" i="56" s="1"/>
  <c r="K67" i="57" s="1"/>
  <c r="K67" i="58" s="1"/>
  <c r="K67" i="59" s="1"/>
  <c r="K67" i="60" s="1"/>
  <c r="K67" i="61" s="1"/>
  <c r="K67" i="62" s="1"/>
  <c r="H67" i="55"/>
  <c r="H67" i="56" s="1"/>
  <c r="H67" i="57" s="1"/>
  <c r="H67" i="58" s="1"/>
  <c r="H67" i="59" s="1"/>
  <c r="H67" i="60" s="1"/>
  <c r="H67" i="61" s="1"/>
  <c r="H67" i="62" s="1"/>
  <c r="H67" i="63" s="1"/>
  <c r="H67" i="64" s="1"/>
  <c r="H67" i="65" s="1"/>
  <c r="H67" i="66" s="1"/>
  <c r="H67" i="67" s="1"/>
  <c r="H67" i="68" s="1"/>
  <c r="H67" i="69" s="1"/>
  <c r="H67" i="70" s="1"/>
  <c r="H67" i="71" s="1"/>
  <c r="H67" i="72" s="1"/>
  <c r="H67" i="73" s="1"/>
  <c r="K66" i="55"/>
  <c r="K66" i="56" s="1"/>
  <c r="K66" i="57" s="1"/>
  <c r="K66" i="58" s="1"/>
  <c r="K66" i="59" s="1"/>
  <c r="K66" i="60" s="1"/>
  <c r="K66" i="61" s="1"/>
  <c r="K66" i="62" s="1"/>
  <c r="H66" i="55"/>
  <c r="H66" i="56" s="1"/>
  <c r="H66" i="57" s="1"/>
  <c r="H66" i="58" s="1"/>
  <c r="H66" i="59" s="1"/>
  <c r="H66" i="60" s="1"/>
  <c r="H66" i="61" s="1"/>
  <c r="H66" i="62" s="1"/>
  <c r="H66" i="63" s="1"/>
  <c r="H66" i="64" s="1"/>
  <c r="H66" i="65" s="1"/>
  <c r="H66" i="66" s="1"/>
  <c r="H66" i="67" s="1"/>
  <c r="H66" i="68" s="1"/>
  <c r="H66" i="69" s="1"/>
  <c r="H66" i="70" s="1"/>
  <c r="H66" i="71" s="1"/>
  <c r="H66" i="72" s="1"/>
  <c r="H66" i="73" s="1"/>
  <c r="H66" i="74" s="1"/>
  <c r="H66" i="43" s="1"/>
  <c r="H66" i="44" s="1"/>
  <c r="H66" i="45" s="1"/>
  <c r="H66" i="46" s="1"/>
  <c r="H66" i="47" s="1"/>
  <c r="H66" i="48" s="1"/>
  <c r="H66" i="49" s="1"/>
  <c r="H66" i="50" s="1"/>
  <c r="H66" i="52" s="1"/>
  <c r="H66" i="78" s="1"/>
  <c r="K65" i="55"/>
  <c r="K65" i="56" s="1"/>
  <c r="K64" i="55"/>
  <c r="C63" i="55"/>
  <c r="H61" i="55"/>
  <c r="H61" i="56" s="1"/>
  <c r="D61" i="55"/>
  <c r="K60" i="55"/>
  <c r="K60" i="56" s="1"/>
  <c r="K60" i="57" s="1"/>
  <c r="K60" i="58" s="1"/>
  <c r="K60" i="59" s="1"/>
  <c r="K60" i="60" s="1"/>
  <c r="K60" i="61" s="1"/>
  <c r="K60" i="62" s="1"/>
  <c r="K60" i="63" s="1"/>
  <c r="K60" i="64" s="1"/>
  <c r="K60" i="65" s="1"/>
  <c r="K60" i="66" s="1"/>
  <c r="K60" i="67" s="1"/>
  <c r="K60" i="68" s="1"/>
  <c r="K60" i="69" s="1"/>
  <c r="K60" i="70" s="1"/>
  <c r="K60" i="71" s="1"/>
  <c r="K60" i="72" s="1"/>
  <c r="K60" i="73" s="1"/>
  <c r="K60" i="74" s="1"/>
  <c r="K60" i="43" s="1"/>
  <c r="K60" i="44" s="1"/>
  <c r="K60" i="45" s="1"/>
  <c r="K60" i="46" s="1"/>
  <c r="K60" i="47" s="1"/>
  <c r="K60" i="48" s="1"/>
  <c r="K60" i="49" s="1"/>
  <c r="K60" i="50" s="1"/>
  <c r="K60" i="52" s="1"/>
  <c r="K60" i="78" s="1"/>
  <c r="H60" i="55"/>
  <c r="L60" i="55" s="1"/>
  <c r="D60" i="55"/>
  <c r="C58" i="55"/>
  <c r="E58" i="55" s="1"/>
  <c r="K57" i="55"/>
  <c r="K57" i="56" s="1"/>
  <c r="K57" i="57" s="1"/>
  <c r="K57" i="58" s="1"/>
  <c r="K57" i="59" s="1"/>
  <c r="K57" i="60" s="1"/>
  <c r="K57" i="61" s="1"/>
  <c r="K57" i="62" s="1"/>
  <c r="K57" i="63" s="1"/>
  <c r="K57" i="64" s="1"/>
  <c r="K57" i="65" s="1"/>
  <c r="K57" i="66" s="1"/>
  <c r="K57" i="67" s="1"/>
  <c r="K57" i="68" s="1"/>
  <c r="K57" i="69" s="1"/>
  <c r="K57" i="70" s="1"/>
  <c r="K57" i="71" s="1"/>
  <c r="K57" i="72" s="1"/>
  <c r="K57" i="73" s="1"/>
  <c r="K57" i="74" s="1"/>
  <c r="K57" i="43" s="1"/>
  <c r="K57" i="44" s="1"/>
  <c r="K57" i="45" s="1"/>
  <c r="K57" i="46" s="1"/>
  <c r="K57" i="47" s="1"/>
  <c r="K57" i="48" s="1"/>
  <c r="K57" i="49" s="1"/>
  <c r="K57" i="50" s="1"/>
  <c r="K57" i="52" s="1"/>
  <c r="K57" i="78" s="1"/>
  <c r="H57" i="55"/>
  <c r="E57" i="55"/>
  <c r="C57" i="55"/>
  <c r="K56" i="55"/>
  <c r="K56" i="56" s="1"/>
  <c r="K56" i="57" s="1"/>
  <c r="K56" i="58" s="1"/>
  <c r="K56" i="59" s="1"/>
  <c r="K56" i="60" s="1"/>
  <c r="K56" i="61" s="1"/>
  <c r="K56" i="62" s="1"/>
  <c r="K56" i="63" s="1"/>
  <c r="K56" i="64" s="1"/>
  <c r="K56" i="65" s="1"/>
  <c r="K56" i="66" s="1"/>
  <c r="K56" i="67" s="1"/>
  <c r="K56" i="68" s="1"/>
  <c r="K56" i="69" s="1"/>
  <c r="K56" i="70" s="1"/>
  <c r="K56" i="71" s="1"/>
  <c r="K56" i="72" s="1"/>
  <c r="K56" i="73" s="1"/>
  <c r="K56" i="74" s="1"/>
  <c r="K56" i="43" s="1"/>
  <c r="K56" i="44" s="1"/>
  <c r="K56" i="45" s="1"/>
  <c r="K56" i="46" s="1"/>
  <c r="K56" i="47" s="1"/>
  <c r="K56" i="48" s="1"/>
  <c r="K56" i="49" s="1"/>
  <c r="K56" i="50" s="1"/>
  <c r="K56" i="52" s="1"/>
  <c r="K56" i="78" s="1"/>
  <c r="H56" i="55"/>
  <c r="C56" i="55"/>
  <c r="E56" i="55" s="1"/>
  <c r="C55" i="55"/>
  <c r="E55" i="55" s="1"/>
  <c r="C54" i="55"/>
  <c r="E54" i="55" s="1"/>
  <c r="K53" i="55"/>
  <c r="H53" i="55"/>
  <c r="E53" i="55"/>
  <c r="C53" i="55"/>
  <c r="D52" i="55"/>
  <c r="C52" i="55"/>
  <c r="C51" i="55"/>
  <c r="K50" i="55"/>
  <c r="K50" i="56" s="1"/>
  <c r="K50" i="57" s="1"/>
  <c r="K50" i="58" s="1"/>
  <c r="K50" i="59" s="1"/>
  <c r="K50" i="60" s="1"/>
  <c r="H50" i="55"/>
  <c r="G50" i="55"/>
  <c r="D50" i="55"/>
  <c r="L50" i="55" s="1"/>
  <c r="C50" i="55"/>
  <c r="E49" i="55"/>
  <c r="C48" i="55"/>
  <c r="E48" i="55" s="1"/>
  <c r="K47" i="55"/>
  <c r="K47" i="56" s="1"/>
  <c r="K47" i="57" s="1"/>
  <c r="K47" i="58" s="1"/>
  <c r="K47" i="59" s="1"/>
  <c r="K47" i="60" s="1"/>
  <c r="K47" i="61" s="1"/>
  <c r="K47" i="62" s="1"/>
  <c r="K47" i="63" s="1"/>
  <c r="K47" i="64" s="1"/>
  <c r="K47" i="65" s="1"/>
  <c r="K47" i="66" s="1"/>
  <c r="K47" i="67" s="1"/>
  <c r="K47" i="68" s="1"/>
  <c r="K47" i="69" s="1"/>
  <c r="K47" i="70" s="1"/>
  <c r="K47" i="71" s="1"/>
  <c r="K47" i="72" s="1"/>
  <c r="K47" i="73" s="1"/>
  <c r="K47" i="74" s="1"/>
  <c r="K47" i="43" s="1"/>
  <c r="K47" i="44" s="1"/>
  <c r="K47" i="45" s="1"/>
  <c r="K47" i="46" s="1"/>
  <c r="K47" i="47" s="1"/>
  <c r="K47" i="48" s="1"/>
  <c r="K47" i="49" s="1"/>
  <c r="K47" i="50" s="1"/>
  <c r="K47" i="52" s="1"/>
  <c r="K47" i="78" s="1"/>
  <c r="H47" i="55"/>
  <c r="H47" i="56" s="1"/>
  <c r="H47" i="57" s="1"/>
  <c r="H47" i="58" s="1"/>
  <c r="H47" i="59" s="1"/>
  <c r="H47" i="60" s="1"/>
  <c r="H47" i="61" s="1"/>
  <c r="K46" i="55"/>
  <c r="H46" i="55"/>
  <c r="H46" i="56" s="1"/>
  <c r="H46" i="57" s="1"/>
  <c r="H46" i="58" s="1"/>
  <c r="H46" i="59" s="1"/>
  <c r="H46" i="60" s="1"/>
  <c r="H46" i="61" s="1"/>
  <c r="H46" i="62" s="1"/>
  <c r="H46" i="63" s="1"/>
  <c r="H46" i="64" s="1"/>
  <c r="H46" i="65" s="1"/>
  <c r="H46" i="66" s="1"/>
  <c r="H46" i="67" s="1"/>
  <c r="H46" i="68" s="1"/>
  <c r="H46" i="69" s="1"/>
  <c r="H46" i="70" s="1"/>
  <c r="H46" i="71" s="1"/>
  <c r="H46" i="72" s="1"/>
  <c r="H46" i="73" s="1"/>
  <c r="H46" i="74" s="1"/>
  <c r="H46" i="43" s="1"/>
  <c r="H46" i="44" s="1"/>
  <c r="H46" i="45" s="1"/>
  <c r="H46" i="46" s="1"/>
  <c r="H46" i="47" s="1"/>
  <c r="H46" i="48" s="1"/>
  <c r="H46" i="49" s="1"/>
  <c r="H46" i="50" s="1"/>
  <c r="H46" i="52" s="1"/>
  <c r="H46" i="78" s="1"/>
  <c r="K45" i="55"/>
  <c r="K45" i="56" s="1"/>
  <c r="K45" i="57" s="1"/>
  <c r="K45" i="58" s="1"/>
  <c r="K45" i="59" s="1"/>
  <c r="K45" i="60" s="1"/>
  <c r="K45" i="61" s="1"/>
  <c r="K45" i="62" s="1"/>
  <c r="K45" i="63" s="1"/>
  <c r="K45" i="64" s="1"/>
  <c r="K45" i="65" s="1"/>
  <c r="K45" i="66" s="1"/>
  <c r="K45" i="67" s="1"/>
  <c r="K45" i="68" s="1"/>
  <c r="K45" i="69" s="1"/>
  <c r="K45" i="70" s="1"/>
  <c r="K45" i="71" s="1"/>
  <c r="K45" i="72" s="1"/>
  <c r="K45" i="73" s="1"/>
  <c r="K45" i="74" s="1"/>
  <c r="K45" i="43" s="1"/>
  <c r="K45" i="44" s="1"/>
  <c r="K45" i="45" s="1"/>
  <c r="K45" i="46" s="1"/>
  <c r="K45" i="47" s="1"/>
  <c r="K45" i="48" s="1"/>
  <c r="K45" i="49" s="1"/>
  <c r="K45" i="50" s="1"/>
  <c r="K45" i="52" s="1"/>
  <c r="K45" i="78" s="1"/>
  <c r="H45" i="55"/>
  <c r="H45" i="56" s="1"/>
  <c r="H45" i="57" s="1"/>
  <c r="C44" i="55"/>
  <c r="E44" i="55" s="1"/>
  <c r="C43" i="55"/>
  <c r="E43" i="55" s="1"/>
  <c r="K42" i="55"/>
  <c r="H42" i="55"/>
  <c r="K41" i="55"/>
  <c r="K41" i="56" s="1"/>
  <c r="K41" i="57" s="1"/>
  <c r="K41" i="58" s="1"/>
  <c r="K41" i="59" s="1"/>
  <c r="K41" i="60" s="1"/>
  <c r="K41" i="61" s="1"/>
  <c r="K41" i="62" s="1"/>
  <c r="K41" i="63" s="1"/>
  <c r="K41" i="64" s="1"/>
  <c r="K41" i="65" s="1"/>
  <c r="K41" i="66" s="1"/>
  <c r="K41" i="67" s="1"/>
  <c r="K41" i="68" s="1"/>
  <c r="K41" i="69" s="1"/>
  <c r="K41" i="70" s="1"/>
  <c r="K41" i="71" s="1"/>
  <c r="K41" i="72" s="1"/>
  <c r="K41" i="73" s="1"/>
  <c r="K41" i="74" s="1"/>
  <c r="K41" i="43" s="1"/>
  <c r="K41" i="44" s="1"/>
  <c r="K41" i="45" s="1"/>
  <c r="K41" i="46" s="1"/>
  <c r="K41" i="47" s="1"/>
  <c r="K41" i="48" s="1"/>
  <c r="K41" i="49" s="1"/>
  <c r="K41" i="50" s="1"/>
  <c r="K41" i="52" s="1"/>
  <c r="K41" i="78" s="1"/>
  <c r="H41" i="55"/>
  <c r="H41" i="56" s="1"/>
  <c r="H41" i="57" s="1"/>
  <c r="H41" i="58" s="1"/>
  <c r="H41" i="59" s="1"/>
  <c r="H41" i="60" s="1"/>
  <c r="H41" i="61" s="1"/>
  <c r="H41" i="62" s="1"/>
  <c r="H41" i="63" s="1"/>
  <c r="H41" i="64" s="1"/>
  <c r="H41" i="65" s="1"/>
  <c r="H41" i="66" s="1"/>
  <c r="H41" i="67" s="1"/>
  <c r="H41" i="68" s="1"/>
  <c r="H41" i="69" s="1"/>
  <c r="H41" i="70" s="1"/>
  <c r="H41" i="71" s="1"/>
  <c r="H41" i="72" s="1"/>
  <c r="H41" i="73" s="1"/>
  <c r="H41" i="74" s="1"/>
  <c r="H41" i="43" s="1"/>
  <c r="H41" i="44" s="1"/>
  <c r="H41" i="45" s="1"/>
  <c r="H41" i="46" s="1"/>
  <c r="H41" i="47" s="1"/>
  <c r="H41" i="48" s="1"/>
  <c r="H41" i="49" s="1"/>
  <c r="H41" i="50" s="1"/>
  <c r="H41" i="52" s="1"/>
  <c r="H41" i="78" s="1"/>
  <c r="C4" i="76"/>
  <c r="C38" i="55"/>
  <c r="E38" i="55" s="1"/>
  <c r="C37" i="55"/>
  <c r="C36" i="55"/>
  <c r="F35" i="55"/>
  <c r="A34" i="55"/>
  <c r="A33" i="55"/>
  <c r="G30" i="55"/>
  <c r="F29" i="55"/>
  <c r="F28" i="55"/>
  <c r="A27" i="55"/>
  <c r="A26" i="55"/>
  <c r="G23" i="55"/>
  <c r="G23" i="56" s="1"/>
  <c r="G23" i="57" s="1"/>
  <c r="G23" i="58" s="1"/>
  <c r="G23" i="59" s="1"/>
  <c r="G23" i="60" s="1"/>
  <c r="G23" i="61" s="1"/>
  <c r="G23" i="62" s="1"/>
  <c r="G23" i="63" s="1"/>
  <c r="G23" i="64" s="1"/>
  <c r="G23" i="65" s="1"/>
  <c r="G23" i="66" s="1"/>
  <c r="G23" i="67" s="1"/>
  <c r="G23" i="68" s="1"/>
  <c r="G23" i="69" s="1"/>
  <c r="G23" i="70" s="1"/>
  <c r="G23" i="71" s="1"/>
  <c r="G23" i="72" s="1"/>
  <c r="G23" i="73" s="1"/>
  <c r="G23" i="74" s="1"/>
  <c r="G23" i="43" s="1"/>
  <c r="G23" i="44" s="1"/>
  <c r="G23" i="45" s="1"/>
  <c r="G23" i="46" s="1"/>
  <c r="G23" i="47" s="1"/>
  <c r="G23" i="48" s="1"/>
  <c r="G23" i="49" s="1"/>
  <c r="G23" i="50" s="1"/>
  <c r="G23" i="52" s="1"/>
  <c r="G23" i="78" s="1"/>
  <c r="C23" i="55"/>
  <c r="AD4" i="76"/>
  <c r="C22" i="55"/>
  <c r="C21" i="55"/>
  <c r="A21" i="55"/>
  <c r="C20" i="55"/>
  <c r="C19" i="55"/>
  <c r="A19" i="55"/>
  <c r="H18" i="55"/>
  <c r="I18" i="55" s="1"/>
  <c r="G18" i="55"/>
  <c r="G18" i="56" s="1"/>
  <c r="G18" i="57" s="1"/>
  <c r="G18" i="58" s="1"/>
  <c r="G18" i="59" s="1"/>
  <c r="G18" i="60" s="1"/>
  <c r="G18" i="61" s="1"/>
  <c r="G18" i="62" s="1"/>
  <c r="G18" i="63" s="1"/>
  <c r="G18" i="64" s="1"/>
  <c r="G18" i="65" s="1"/>
  <c r="G18" i="66" s="1"/>
  <c r="G18" i="67" s="1"/>
  <c r="G18" i="68" s="1"/>
  <c r="G18" i="69" s="1"/>
  <c r="G18" i="70" s="1"/>
  <c r="G18" i="71" s="1"/>
  <c r="G18" i="72" s="1"/>
  <c r="G18" i="73" s="1"/>
  <c r="G18" i="74" s="1"/>
  <c r="G18" i="43" s="1"/>
  <c r="G18" i="44" s="1"/>
  <c r="G18" i="45" s="1"/>
  <c r="G18" i="46" s="1"/>
  <c r="G18" i="47" s="1"/>
  <c r="G18" i="48" s="1"/>
  <c r="G18" i="49" s="1"/>
  <c r="G18" i="50" s="1"/>
  <c r="G18" i="52" s="1"/>
  <c r="G18" i="78" s="1"/>
  <c r="C18" i="55"/>
  <c r="G17" i="55"/>
  <c r="G17" i="56" s="1"/>
  <c r="G17" i="57" s="1"/>
  <c r="G17" i="58" s="1"/>
  <c r="G17" i="59" s="1"/>
  <c r="G17" i="60" s="1"/>
  <c r="G17" i="61" s="1"/>
  <c r="G17" i="62" s="1"/>
  <c r="G17" i="63" s="1"/>
  <c r="G17" i="64" s="1"/>
  <c r="G17" i="65" s="1"/>
  <c r="G17" i="66" s="1"/>
  <c r="G17" i="67" s="1"/>
  <c r="G17" i="68" s="1"/>
  <c r="G17" i="69" s="1"/>
  <c r="G17" i="70" s="1"/>
  <c r="G17" i="71" s="1"/>
  <c r="G17" i="72" s="1"/>
  <c r="G17" i="73" s="1"/>
  <c r="G17" i="74" s="1"/>
  <c r="G17" i="43" s="1"/>
  <c r="G17" i="44" s="1"/>
  <c r="G17" i="45" s="1"/>
  <c r="G17" i="46" s="1"/>
  <c r="AA4" i="76"/>
  <c r="C17" i="55"/>
  <c r="C16" i="55"/>
  <c r="H15" i="55"/>
  <c r="G15" i="55"/>
  <c r="I15" i="55" s="1"/>
  <c r="D15" i="55"/>
  <c r="C15" i="55"/>
  <c r="K13" i="55"/>
  <c r="K13" i="56" s="1"/>
  <c r="K13" i="57" s="1"/>
  <c r="K13" i="58" s="1"/>
  <c r="K13" i="59" s="1"/>
  <c r="K13" i="60" s="1"/>
  <c r="K13" i="61" s="1"/>
  <c r="K13" i="62" s="1"/>
  <c r="K13" i="63" s="1"/>
  <c r="K13" i="64" s="1"/>
  <c r="K13" i="65" s="1"/>
  <c r="K13" i="66" s="1"/>
  <c r="K13" i="67" s="1"/>
  <c r="K13" i="68" s="1"/>
  <c r="K13" i="69" s="1"/>
  <c r="K13" i="70" s="1"/>
  <c r="K13" i="71" s="1"/>
  <c r="K13" i="72" s="1"/>
  <c r="K13" i="73" s="1"/>
  <c r="K13" i="74" s="1"/>
  <c r="K13" i="43" s="1"/>
  <c r="K13" i="44" s="1"/>
  <c r="K13" i="45" s="1"/>
  <c r="K13" i="46" s="1"/>
  <c r="K13" i="47" s="1"/>
  <c r="K13" i="48" s="1"/>
  <c r="K13" i="49" s="1"/>
  <c r="K13" i="50" s="1"/>
  <c r="K13" i="52" s="1"/>
  <c r="K13" i="78" s="1"/>
  <c r="H13" i="55"/>
  <c r="K12" i="55"/>
  <c r="G12" i="55"/>
  <c r="E12" i="55"/>
  <c r="G11" i="55"/>
  <c r="G11" i="56" s="1"/>
  <c r="G11" i="57" s="1"/>
  <c r="G11" i="58" s="1"/>
  <c r="G11" i="59" s="1"/>
  <c r="G11" i="60" s="1"/>
  <c r="G11" i="61" s="1"/>
  <c r="G11" i="62" s="1"/>
  <c r="G11" i="63" s="1"/>
  <c r="G11" i="64" s="1"/>
  <c r="G11" i="65" s="1"/>
  <c r="G11" i="66" s="1"/>
  <c r="G11" i="67" s="1"/>
  <c r="G11" i="68" s="1"/>
  <c r="G11" i="69" s="1"/>
  <c r="G11" i="70" s="1"/>
  <c r="G11" i="71" s="1"/>
  <c r="G11" i="72" s="1"/>
  <c r="G11" i="73" s="1"/>
  <c r="G11" i="74" s="1"/>
  <c r="G11" i="43" s="1"/>
  <c r="G11" i="44" s="1"/>
  <c r="G11" i="45" s="1"/>
  <c r="G11" i="46" s="1"/>
  <c r="G11" i="47" s="1"/>
  <c r="G11" i="48" s="1"/>
  <c r="G11" i="49" s="1"/>
  <c r="G11" i="50" s="1"/>
  <c r="G11" i="52" s="1"/>
  <c r="G11" i="78" s="1"/>
  <c r="G10" i="55"/>
  <c r="G10" i="56" s="1"/>
  <c r="G10" i="57" s="1"/>
  <c r="G10" i="58" s="1"/>
  <c r="G10" i="59" s="1"/>
  <c r="G10" i="60" s="1"/>
  <c r="G10" i="61" s="1"/>
  <c r="G10" i="62" s="1"/>
  <c r="G10" i="63" s="1"/>
  <c r="G10" i="64" s="1"/>
  <c r="G10" i="65" s="1"/>
  <c r="G10" i="66" s="1"/>
  <c r="G10" i="67" s="1"/>
  <c r="G10" i="68" s="1"/>
  <c r="G10" i="69" s="1"/>
  <c r="G10" i="70" s="1"/>
  <c r="G10" i="71" s="1"/>
  <c r="G10" i="72" s="1"/>
  <c r="G10" i="73" s="1"/>
  <c r="G10" i="74" s="1"/>
  <c r="G10" i="43" s="1"/>
  <c r="G10" i="44" s="1"/>
  <c r="G10" i="45" s="1"/>
  <c r="G10" i="46" s="1"/>
  <c r="G10" i="47" s="1"/>
  <c r="G10" i="48" s="1"/>
  <c r="G10" i="49" s="1"/>
  <c r="G10" i="50" s="1"/>
  <c r="G10" i="52" s="1"/>
  <c r="G10" i="78" s="1"/>
  <c r="E5" i="55"/>
  <c r="C9" i="55"/>
  <c r="K8" i="55"/>
  <c r="H8" i="55"/>
  <c r="D8" i="55"/>
  <c r="L8" i="55" s="1"/>
  <c r="K7" i="55"/>
  <c r="K7" i="56" s="1"/>
  <c r="K7" i="57" s="1"/>
  <c r="K7" i="58" s="1"/>
  <c r="K7" i="59" s="1"/>
  <c r="K7" i="60" s="1"/>
  <c r="K7" i="61" s="1"/>
  <c r="K7" i="62" s="1"/>
  <c r="K7" i="63" s="1"/>
  <c r="K7" i="64" s="1"/>
  <c r="K7" i="65" s="1"/>
  <c r="K7" i="66" s="1"/>
  <c r="K7" i="67" s="1"/>
  <c r="K7" i="68" s="1"/>
  <c r="K7" i="69" s="1"/>
  <c r="K7" i="70" s="1"/>
  <c r="K7" i="71" s="1"/>
  <c r="K7" i="72" s="1"/>
  <c r="K7" i="73" s="1"/>
  <c r="K7" i="74" s="1"/>
  <c r="K7" i="43" s="1"/>
  <c r="K7" i="44" s="1"/>
  <c r="K7" i="45" s="1"/>
  <c r="K7" i="46" s="1"/>
  <c r="K7" i="47" s="1"/>
  <c r="K7" i="48" s="1"/>
  <c r="K7" i="49" s="1"/>
  <c r="K7" i="50" s="1"/>
  <c r="K7" i="52" s="1"/>
  <c r="K7" i="78" s="1"/>
  <c r="H7" i="55"/>
  <c r="H7" i="56" s="1"/>
  <c r="D7" i="55"/>
  <c r="L7" i="55" s="1"/>
  <c r="K6" i="55"/>
  <c r="K6" i="56" s="1"/>
  <c r="K6" i="57" s="1"/>
  <c r="H6" i="55"/>
  <c r="G6" i="55"/>
  <c r="C6" i="55"/>
  <c r="C5" i="55"/>
  <c r="A1" i="55"/>
  <c r="E149" i="54"/>
  <c r="E142" i="54"/>
  <c r="B141" i="54"/>
  <c r="N131" i="54"/>
  <c r="N131" i="55" s="1"/>
  <c r="N131" i="56" s="1"/>
  <c r="N131" i="57" s="1"/>
  <c r="O131" i="54"/>
  <c r="G131" i="54"/>
  <c r="G122" i="54"/>
  <c r="G122" i="55" s="1"/>
  <c r="G122" i="56" s="1"/>
  <c r="G122" i="57" s="1"/>
  <c r="G122" i="58" s="1"/>
  <c r="G122" i="59" s="1"/>
  <c r="G122" i="60" s="1"/>
  <c r="G122" i="61" s="1"/>
  <c r="G122" i="62" s="1"/>
  <c r="G122" i="63" s="1"/>
  <c r="G122" i="64" s="1"/>
  <c r="G122" i="65" s="1"/>
  <c r="G122" i="66" s="1"/>
  <c r="G122" i="67" s="1"/>
  <c r="G122" i="68" s="1"/>
  <c r="G122" i="69" s="1"/>
  <c r="G122" i="70" s="1"/>
  <c r="G122" i="71" s="1"/>
  <c r="G122" i="72" s="1"/>
  <c r="G122" i="73" s="1"/>
  <c r="G122" i="74" s="1"/>
  <c r="G122" i="43" s="1"/>
  <c r="G122" i="44" s="1"/>
  <c r="G122" i="45" s="1"/>
  <c r="G122" i="46" s="1"/>
  <c r="G122" i="47" s="1"/>
  <c r="G122" i="48" s="1"/>
  <c r="G122" i="49" s="1"/>
  <c r="G122" i="50" s="1"/>
  <c r="G122" i="52" s="1"/>
  <c r="G122" i="78" s="1"/>
  <c r="G121" i="54"/>
  <c r="G121" i="55" s="1"/>
  <c r="G121" i="56" s="1"/>
  <c r="G121" i="57" s="1"/>
  <c r="G121" i="58" s="1"/>
  <c r="G121" i="59" s="1"/>
  <c r="G121" i="60" s="1"/>
  <c r="G121" i="61" s="1"/>
  <c r="G121" i="62" s="1"/>
  <c r="G121" i="63" s="1"/>
  <c r="G121" i="64" s="1"/>
  <c r="G121" i="65" s="1"/>
  <c r="G121" i="66" s="1"/>
  <c r="G121" i="67" s="1"/>
  <c r="G121" i="68" s="1"/>
  <c r="G121" i="69" s="1"/>
  <c r="G121" i="70" s="1"/>
  <c r="G121" i="71" s="1"/>
  <c r="G121" i="72" s="1"/>
  <c r="G121" i="73" s="1"/>
  <c r="G121" i="74" s="1"/>
  <c r="G121" i="43" s="1"/>
  <c r="G121" i="44" s="1"/>
  <c r="G121" i="45" s="1"/>
  <c r="G121" i="46" s="1"/>
  <c r="G121" i="47" s="1"/>
  <c r="G121" i="48" s="1"/>
  <c r="G121" i="49" s="1"/>
  <c r="G121" i="50" s="1"/>
  <c r="G121" i="52" s="1"/>
  <c r="G121" i="78" s="1"/>
  <c r="G120" i="54"/>
  <c r="G120" i="55" s="1"/>
  <c r="G119" i="54"/>
  <c r="G119" i="55" s="1"/>
  <c r="G119" i="56" s="1"/>
  <c r="G119" i="57" s="1"/>
  <c r="G119" i="58" s="1"/>
  <c r="G119" i="59" s="1"/>
  <c r="G119" i="60" s="1"/>
  <c r="G119" i="61" s="1"/>
  <c r="G119" i="62" s="1"/>
  <c r="G119" i="63" s="1"/>
  <c r="G119" i="64" s="1"/>
  <c r="G119" i="65" s="1"/>
  <c r="G119" i="66" s="1"/>
  <c r="G119" i="67" s="1"/>
  <c r="G119" i="68" s="1"/>
  <c r="G119" i="69" s="1"/>
  <c r="G119" i="70" s="1"/>
  <c r="G119" i="71" s="1"/>
  <c r="G119" i="72" s="1"/>
  <c r="G119" i="73" s="1"/>
  <c r="G119" i="74" s="1"/>
  <c r="G119" i="43" s="1"/>
  <c r="G119" i="44" s="1"/>
  <c r="G119" i="45" s="1"/>
  <c r="G119" i="46" s="1"/>
  <c r="G119" i="47" s="1"/>
  <c r="G119" i="48" s="1"/>
  <c r="G119" i="49" s="1"/>
  <c r="G119" i="50" s="1"/>
  <c r="G119" i="52" s="1"/>
  <c r="G119" i="78" s="1"/>
  <c r="G118" i="54"/>
  <c r="G118" i="55" s="1"/>
  <c r="G118" i="56" s="1"/>
  <c r="G118" i="57" s="1"/>
  <c r="G118" i="58" s="1"/>
  <c r="G118" i="59" s="1"/>
  <c r="G118" i="60" s="1"/>
  <c r="G118" i="61" s="1"/>
  <c r="G118" i="62" s="1"/>
  <c r="G118" i="63" s="1"/>
  <c r="G118" i="64" s="1"/>
  <c r="G118" i="65" s="1"/>
  <c r="G118" i="66" s="1"/>
  <c r="G118" i="67" s="1"/>
  <c r="G118" i="68" s="1"/>
  <c r="G118" i="69" s="1"/>
  <c r="G118" i="70" s="1"/>
  <c r="G118" i="71" s="1"/>
  <c r="G118" i="72" s="1"/>
  <c r="G118" i="73" s="1"/>
  <c r="G118" i="74" s="1"/>
  <c r="G118" i="43" s="1"/>
  <c r="G118" i="44" s="1"/>
  <c r="G118" i="45" s="1"/>
  <c r="G118" i="46" s="1"/>
  <c r="G118" i="47" s="1"/>
  <c r="G118" i="48" s="1"/>
  <c r="G118" i="49" s="1"/>
  <c r="G118" i="50" s="1"/>
  <c r="G118" i="52" s="1"/>
  <c r="G118" i="78" s="1"/>
  <c r="G117" i="54"/>
  <c r="G117" i="55" s="1"/>
  <c r="G117" i="56" s="1"/>
  <c r="G117" i="57" s="1"/>
  <c r="G117" i="58" s="1"/>
  <c r="G117" i="59" s="1"/>
  <c r="G117" i="60" s="1"/>
  <c r="G117" i="61" s="1"/>
  <c r="G117" i="62" s="1"/>
  <c r="G117" i="63" s="1"/>
  <c r="G117" i="64" s="1"/>
  <c r="G117" i="65" s="1"/>
  <c r="G117" i="66" s="1"/>
  <c r="G117" i="67" s="1"/>
  <c r="G117" i="68" s="1"/>
  <c r="G117" i="69" s="1"/>
  <c r="G117" i="70" s="1"/>
  <c r="G117" i="71" s="1"/>
  <c r="G117" i="72" s="1"/>
  <c r="G117" i="73" s="1"/>
  <c r="G117" i="74" s="1"/>
  <c r="G117" i="43" s="1"/>
  <c r="G117" i="44" s="1"/>
  <c r="G117" i="45" s="1"/>
  <c r="G117" i="46" s="1"/>
  <c r="G117" i="47" s="1"/>
  <c r="G117" i="48" s="1"/>
  <c r="G117" i="49" s="1"/>
  <c r="G117" i="50" s="1"/>
  <c r="G117" i="52" s="1"/>
  <c r="G117" i="78" s="1"/>
  <c r="G116" i="54"/>
  <c r="G116" i="55" s="1"/>
  <c r="G116" i="56" s="1"/>
  <c r="G116" i="57" s="1"/>
  <c r="G116" i="58" s="1"/>
  <c r="G116" i="59" s="1"/>
  <c r="G116" i="60" s="1"/>
  <c r="G116" i="61" s="1"/>
  <c r="G116" i="62" s="1"/>
  <c r="G116" i="63" s="1"/>
  <c r="G116" i="64" s="1"/>
  <c r="G116" i="65" s="1"/>
  <c r="G116" i="66" s="1"/>
  <c r="G116" i="67" s="1"/>
  <c r="G116" i="68" s="1"/>
  <c r="G116" i="69" s="1"/>
  <c r="G116" i="70" s="1"/>
  <c r="G116" i="71" s="1"/>
  <c r="G116" i="72" s="1"/>
  <c r="G116" i="73" s="1"/>
  <c r="G116" i="74" s="1"/>
  <c r="G116" i="43" s="1"/>
  <c r="G116" i="44" s="1"/>
  <c r="G116" i="45" s="1"/>
  <c r="G116" i="46" s="1"/>
  <c r="G116" i="47" s="1"/>
  <c r="G116" i="48" s="1"/>
  <c r="G116" i="49" s="1"/>
  <c r="G116" i="50" s="1"/>
  <c r="G116" i="52" s="1"/>
  <c r="G116" i="78" s="1"/>
  <c r="G115" i="54"/>
  <c r="G115" i="55" s="1"/>
  <c r="G114" i="54"/>
  <c r="G114" i="55" s="1"/>
  <c r="G114" i="56" s="1"/>
  <c r="G114" i="57" s="1"/>
  <c r="G114" i="58" s="1"/>
  <c r="G114" i="59" s="1"/>
  <c r="G114" i="60" s="1"/>
  <c r="G114" i="61" s="1"/>
  <c r="G114" i="62" s="1"/>
  <c r="G114" i="63" s="1"/>
  <c r="G114" i="64" s="1"/>
  <c r="G114" i="65" s="1"/>
  <c r="G114" i="66" s="1"/>
  <c r="G114" i="67" s="1"/>
  <c r="G114" i="68" s="1"/>
  <c r="G114" i="69" s="1"/>
  <c r="G114" i="70" s="1"/>
  <c r="G114" i="71" s="1"/>
  <c r="G114" i="72" s="1"/>
  <c r="G114" i="73" s="1"/>
  <c r="G114" i="74" s="1"/>
  <c r="G114" i="43" s="1"/>
  <c r="G114" i="44" s="1"/>
  <c r="G114" i="45" s="1"/>
  <c r="G114" i="46" s="1"/>
  <c r="G114" i="47" s="1"/>
  <c r="G114" i="48" s="1"/>
  <c r="G114" i="49" s="1"/>
  <c r="G114" i="50" s="1"/>
  <c r="G114" i="52" s="1"/>
  <c r="G114" i="78" s="1"/>
  <c r="G113" i="54"/>
  <c r="G113" i="55" s="1"/>
  <c r="G113" i="56" s="1"/>
  <c r="G113" i="57" s="1"/>
  <c r="G113" i="58" s="1"/>
  <c r="G113" i="59" s="1"/>
  <c r="G113" i="60" s="1"/>
  <c r="G113" i="61" s="1"/>
  <c r="G113" i="62" s="1"/>
  <c r="G113" i="63" s="1"/>
  <c r="G113" i="64" s="1"/>
  <c r="G113" i="65" s="1"/>
  <c r="G113" i="66" s="1"/>
  <c r="G113" i="67" s="1"/>
  <c r="G113" i="68" s="1"/>
  <c r="G113" i="69" s="1"/>
  <c r="G113" i="70" s="1"/>
  <c r="G113" i="71" s="1"/>
  <c r="G113" i="72" s="1"/>
  <c r="G113" i="73" s="1"/>
  <c r="G113" i="74" s="1"/>
  <c r="G113" i="43" s="1"/>
  <c r="G113" i="44" s="1"/>
  <c r="G113" i="45" s="1"/>
  <c r="G113" i="46" s="1"/>
  <c r="G113" i="47" s="1"/>
  <c r="G113" i="48" s="1"/>
  <c r="G113" i="49" s="1"/>
  <c r="G113" i="50" s="1"/>
  <c r="G113" i="52" s="1"/>
  <c r="G113" i="78" s="1"/>
  <c r="G112" i="54"/>
  <c r="G112" i="55" s="1"/>
  <c r="G111" i="54"/>
  <c r="G111" i="55" s="1"/>
  <c r="G111" i="56" s="1"/>
  <c r="G111" i="57" s="1"/>
  <c r="D110" i="54"/>
  <c r="C110" i="54"/>
  <c r="G109" i="54"/>
  <c r="G109" i="55" s="1"/>
  <c r="G109" i="56" s="1"/>
  <c r="G109" i="57" s="1"/>
  <c r="G109" i="58" s="1"/>
  <c r="G109" i="59" s="1"/>
  <c r="G109" i="60" s="1"/>
  <c r="G109" i="61" s="1"/>
  <c r="G109" i="62" s="1"/>
  <c r="G109" i="63" s="1"/>
  <c r="G109" i="64" s="1"/>
  <c r="G109" i="65" s="1"/>
  <c r="G109" i="66" s="1"/>
  <c r="G109" i="67" s="1"/>
  <c r="G109" i="68" s="1"/>
  <c r="G109" i="69" s="1"/>
  <c r="G109" i="70" s="1"/>
  <c r="G109" i="71" s="1"/>
  <c r="G109" i="72" s="1"/>
  <c r="G109" i="73" s="1"/>
  <c r="G109" i="74" s="1"/>
  <c r="G109" i="43" s="1"/>
  <c r="G109" i="44" s="1"/>
  <c r="G109" i="45" s="1"/>
  <c r="G109" i="46" s="1"/>
  <c r="G109" i="47" s="1"/>
  <c r="G109" i="48" s="1"/>
  <c r="G109" i="49" s="1"/>
  <c r="G109" i="50" s="1"/>
  <c r="G109" i="52" s="1"/>
  <c r="G109" i="78" s="1"/>
  <c r="G108" i="54"/>
  <c r="G108" i="55" s="1"/>
  <c r="G108" i="56" s="1"/>
  <c r="G108" i="57" s="1"/>
  <c r="G108" i="58" s="1"/>
  <c r="G108" i="59" s="1"/>
  <c r="G108" i="60" s="1"/>
  <c r="G108" i="61" s="1"/>
  <c r="G108" i="62" s="1"/>
  <c r="G108" i="63" s="1"/>
  <c r="G108" i="64" s="1"/>
  <c r="G108" i="65" s="1"/>
  <c r="G108" i="66" s="1"/>
  <c r="G108" i="67" s="1"/>
  <c r="G108" i="68" s="1"/>
  <c r="G108" i="69" s="1"/>
  <c r="G108" i="70" s="1"/>
  <c r="G108" i="71" s="1"/>
  <c r="G108" i="72" s="1"/>
  <c r="G108" i="73" s="1"/>
  <c r="G108" i="74" s="1"/>
  <c r="G108" i="43" s="1"/>
  <c r="G108" i="44" s="1"/>
  <c r="G108" i="45" s="1"/>
  <c r="G108" i="46" s="1"/>
  <c r="G108" i="47" s="1"/>
  <c r="G108" i="48" s="1"/>
  <c r="G108" i="49" s="1"/>
  <c r="G108" i="50" s="1"/>
  <c r="G108" i="52" s="1"/>
  <c r="G108" i="78" s="1"/>
  <c r="G107" i="54"/>
  <c r="G107" i="55" s="1"/>
  <c r="G107" i="56" s="1"/>
  <c r="G107" i="57" s="1"/>
  <c r="G107" i="58" s="1"/>
  <c r="G107" i="59" s="1"/>
  <c r="G107" i="60" s="1"/>
  <c r="G107" i="61" s="1"/>
  <c r="G107" i="62" s="1"/>
  <c r="G107" i="63" s="1"/>
  <c r="G107" i="64" s="1"/>
  <c r="G107" i="65" s="1"/>
  <c r="G107" i="66" s="1"/>
  <c r="G107" i="67" s="1"/>
  <c r="G107" i="68" s="1"/>
  <c r="G107" i="69" s="1"/>
  <c r="G107" i="70" s="1"/>
  <c r="G107" i="71" s="1"/>
  <c r="G107" i="72" s="1"/>
  <c r="G107" i="73" s="1"/>
  <c r="G107" i="74" s="1"/>
  <c r="G107" i="43" s="1"/>
  <c r="G107" i="44" s="1"/>
  <c r="G107" i="45" s="1"/>
  <c r="G107" i="46" s="1"/>
  <c r="G107" i="47" s="1"/>
  <c r="G107" i="48" s="1"/>
  <c r="G107" i="49" s="1"/>
  <c r="G107" i="50" s="1"/>
  <c r="G107" i="52" s="1"/>
  <c r="G107" i="78" s="1"/>
  <c r="G106" i="54"/>
  <c r="G106" i="55" s="1"/>
  <c r="G106" i="56" s="1"/>
  <c r="G106" i="57" s="1"/>
  <c r="G106" i="58" s="1"/>
  <c r="G106" i="59" s="1"/>
  <c r="G106" i="60" s="1"/>
  <c r="G106" i="61" s="1"/>
  <c r="G106" i="62" s="1"/>
  <c r="G106" i="63" s="1"/>
  <c r="G106" i="64" s="1"/>
  <c r="G106" i="65" s="1"/>
  <c r="G106" i="66" s="1"/>
  <c r="G106" i="67" s="1"/>
  <c r="G106" i="68" s="1"/>
  <c r="G106" i="69" s="1"/>
  <c r="G106" i="70" s="1"/>
  <c r="G106" i="71" s="1"/>
  <c r="G106" i="72" s="1"/>
  <c r="G106" i="73" s="1"/>
  <c r="G106" i="74" s="1"/>
  <c r="G106" i="43" s="1"/>
  <c r="G106" i="44" s="1"/>
  <c r="G106" i="45" s="1"/>
  <c r="G106" i="46" s="1"/>
  <c r="G106" i="47" s="1"/>
  <c r="G106" i="48" s="1"/>
  <c r="G106" i="49" s="1"/>
  <c r="G106" i="50" s="1"/>
  <c r="G106" i="52" s="1"/>
  <c r="G106" i="78" s="1"/>
  <c r="G105" i="54"/>
  <c r="G105" i="55" s="1"/>
  <c r="G105" i="56" s="1"/>
  <c r="G104" i="54"/>
  <c r="G104" i="55" s="1"/>
  <c r="G104" i="56" s="1"/>
  <c r="G104" i="57" s="1"/>
  <c r="G104" i="58" s="1"/>
  <c r="G104" i="59" s="1"/>
  <c r="G104" i="60" s="1"/>
  <c r="G104" i="61" s="1"/>
  <c r="G104" i="62" s="1"/>
  <c r="G104" i="63" s="1"/>
  <c r="G104" i="64" s="1"/>
  <c r="G104" i="65" s="1"/>
  <c r="G104" i="66" s="1"/>
  <c r="G104" i="67" s="1"/>
  <c r="G104" i="68" s="1"/>
  <c r="G104" i="69" s="1"/>
  <c r="G104" i="70" s="1"/>
  <c r="G104" i="71" s="1"/>
  <c r="G104" i="72" s="1"/>
  <c r="G104" i="73" s="1"/>
  <c r="G104" i="74" s="1"/>
  <c r="G104" i="43" s="1"/>
  <c r="G104" i="44" s="1"/>
  <c r="G104" i="45" s="1"/>
  <c r="G104" i="46" s="1"/>
  <c r="G104" i="47" s="1"/>
  <c r="G104" i="48" s="1"/>
  <c r="G104" i="49" s="1"/>
  <c r="G104" i="50" s="1"/>
  <c r="G104" i="52" s="1"/>
  <c r="G104" i="78" s="1"/>
  <c r="G103" i="54"/>
  <c r="G103" i="55" s="1"/>
  <c r="G103" i="56" s="1"/>
  <c r="G103" i="57" s="1"/>
  <c r="G103" i="58" s="1"/>
  <c r="G103" i="59" s="1"/>
  <c r="G103" i="60" s="1"/>
  <c r="G103" i="61" s="1"/>
  <c r="G103" i="62" s="1"/>
  <c r="G103" i="63" s="1"/>
  <c r="G103" i="64" s="1"/>
  <c r="G103" i="65" s="1"/>
  <c r="G103" i="66" s="1"/>
  <c r="G103" i="67" s="1"/>
  <c r="G103" i="68" s="1"/>
  <c r="G103" i="69" s="1"/>
  <c r="G103" i="70" s="1"/>
  <c r="G103" i="71" s="1"/>
  <c r="G103" i="72" s="1"/>
  <c r="G103" i="73" s="1"/>
  <c r="G103" i="74" s="1"/>
  <c r="G103" i="43" s="1"/>
  <c r="G103" i="44" s="1"/>
  <c r="G103" i="45" s="1"/>
  <c r="G103" i="46" s="1"/>
  <c r="G103" i="47" s="1"/>
  <c r="G103" i="48" s="1"/>
  <c r="G103" i="49" s="1"/>
  <c r="G103" i="50" s="1"/>
  <c r="G103" i="52" s="1"/>
  <c r="G103" i="78" s="1"/>
  <c r="G102" i="54"/>
  <c r="F102" i="54"/>
  <c r="D101" i="54"/>
  <c r="D100" i="54" s="1"/>
  <c r="C101" i="54"/>
  <c r="C100" i="54" s="1"/>
  <c r="K95" i="54"/>
  <c r="K95" i="55" s="1"/>
  <c r="H95" i="54"/>
  <c r="G95" i="54"/>
  <c r="L95" i="54" s="1"/>
  <c r="K94" i="54"/>
  <c r="M94" i="54" s="1"/>
  <c r="H94" i="54"/>
  <c r="G94" i="54"/>
  <c r="L94" i="54" s="1"/>
  <c r="O91" i="54"/>
  <c r="M91" i="54"/>
  <c r="L91" i="54"/>
  <c r="K91" i="54"/>
  <c r="J91" i="54"/>
  <c r="I91" i="54"/>
  <c r="H91" i="54"/>
  <c r="G91" i="54"/>
  <c r="D91" i="54"/>
  <c r="E91" i="54" s="1"/>
  <c r="O88" i="54"/>
  <c r="M88" i="54"/>
  <c r="L88" i="54"/>
  <c r="K88" i="54"/>
  <c r="J88" i="54"/>
  <c r="I88" i="54"/>
  <c r="H88" i="54"/>
  <c r="G88" i="54"/>
  <c r="D88" i="54"/>
  <c r="E88" i="54" s="1"/>
  <c r="O87" i="54"/>
  <c r="M87" i="54"/>
  <c r="L87" i="54"/>
  <c r="K87" i="54"/>
  <c r="J87" i="54"/>
  <c r="I87" i="54"/>
  <c r="H87" i="54"/>
  <c r="G87" i="54"/>
  <c r="D87" i="54"/>
  <c r="E87" i="54" s="1"/>
  <c r="O86" i="54"/>
  <c r="M86" i="54"/>
  <c r="L86" i="54"/>
  <c r="K86" i="54"/>
  <c r="J86" i="54"/>
  <c r="I86" i="54"/>
  <c r="H86" i="54"/>
  <c r="G86" i="54"/>
  <c r="D86" i="54"/>
  <c r="E86" i="54" s="1"/>
  <c r="O85" i="54"/>
  <c r="M85" i="54"/>
  <c r="L85" i="54"/>
  <c r="K85" i="54"/>
  <c r="J85" i="54"/>
  <c r="I85" i="54"/>
  <c r="H85" i="54"/>
  <c r="G85" i="54"/>
  <c r="D85" i="54"/>
  <c r="E85" i="54" s="1"/>
  <c r="M81" i="54"/>
  <c r="L81" i="54"/>
  <c r="J81" i="54"/>
  <c r="H81" i="54"/>
  <c r="G81" i="54"/>
  <c r="E81" i="54"/>
  <c r="M80" i="54"/>
  <c r="L80" i="54"/>
  <c r="J80" i="54"/>
  <c r="H80" i="54"/>
  <c r="G80" i="54"/>
  <c r="E80" i="54"/>
  <c r="L73" i="54"/>
  <c r="K73" i="54"/>
  <c r="H73" i="54"/>
  <c r="K71" i="54"/>
  <c r="K71" i="55" s="1"/>
  <c r="K71" i="56" s="1"/>
  <c r="K71" i="57" s="1"/>
  <c r="K71" i="58" s="1"/>
  <c r="K71" i="59" s="1"/>
  <c r="K71" i="60" s="1"/>
  <c r="K71" i="61" s="1"/>
  <c r="K71" i="62" s="1"/>
  <c r="K71" i="63" s="1"/>
  <c r="K71" i="64" s="1"/>
  <c r="K71" i="65" s="1"/>
  <c r="K71" i="66" s="1"/>
  <c r="K71" i="67" s="1"/>
  <c r="K71" i="68" s="1"/>
  <c r="K71" i="69" s="1"/>
  <c r="K71" i="70" s="1"/>
  <c r="K71" i="71" s="1"/>
  <c r="K71" i="72" s="1"/>
  <c r="K71" i="73" s="1"/>
  <c r="K71" i="74" s="1"/>
  <c r="K71" i="43" s="1"/>
  <c r="K71" i="44" s="1"/>
  <c r="K71" i="45" s="1"/>
  <c r="K71" i="46" s="1"/>
  <c r="K71" i="47" s="1"/>
  <c r="K71" i="48" s="1"/>
  <c r="K71" i="49" s="1"/>
  <c r="K71" i="50" s="1"/>
  <c r="K71" i="52" s="1"/>
  <c r="K71" i="78" s="1"/>
  <c r="H71" i="54"/>
  <c r="H71" i="55" s="1"/>
  <c r="H71" i="56" s="1"/>
  <c r="H71" i="57" s="1"/>
  <c r="H71" i="58" s="1"/>
  <c r="H71" i="59" s="1"/>
  <c r="H71" i="60" s="1"/>
  <c r="H71" i="61" s="1"/>
  <c r="H71" i="62" s="1"/>
  <c r="H71" i="63" s="1"/>
  <c r="H71" i="64" s="1"/>
  <c r="H71" i="65" s="1"/>
  <c r="H71" i="66" s="1"/>
  <c r="H71" i="67" s="1"/>
  <c r="H71" i="68" s="1"/>
  <c r="H71" i="69" s="1"/>
  <c r="H71" i="70" s="1"/>
  <c r="H71" i="71" s="1"/>
  <c r="H71" i="72" s="1"/>
  <c r="H71" i="73" s="1"/>
  <c r="H71" i="74" s="1"/>
  <c r="H71" i="43" s="1"/>
  <c r="H71" i="44" s="1"/>
  <c r="H71" i="45" s="1"/>
  <c r="H71" i="46" s="1"/>
  <c r="H71" i="47" s="1"/>
  <c r="H71" i="48" s="1"/>
  <c r="H71" i="49" s="1"/>
  <c r="H71" i="50" s="1"/>
  <c r="H71" i="52" s="1"/>
  <c r="H71" i="78" s="1"/>
  <c r="K70" i="54"/>
  <c r="K70" i="55" s="1"/>
  <c r="K70" i="56" s="1"/>
  <c r="K70" i="57" s="1"/>
  <c r="K70" i="58" s="1"/>
  <c r="K70" i="59" s="1"/>
  <c r="K70" i="60" s="1"/>
  <c r="K70" i="61" s="1"/>
  <c r="K70" i="62" s="1"/>
  <c r="K70" i="63" s="1"/>
  <c r="K70" i="64" s="1"/>
  <c r="K70" i="65" s="1"/>
  <c r="K70" i="66" s="1"/>
  <c r="K70" i="67" s="1"/>
  <c r="K70" i="68" s="1"/>
  <c r="K70" i="69" s="1"/>
  <c r="K70" i="70" s="1"/>
  <c r="K70" i="71" s="1"/>
  <c r="K70" i="72" s="1"/>
  <c r="K70" i="73" s="1"/>
  <c r="K70" i="74" s="1"/>
  <c r="K70" i="43" s="1"/>
  <c r="K70" i="44" s="1"/>
  <c r="K70" i="45" s="1"/>
  <c r="K70" i="46" s="1"/>
  <c r="K70" i="47" s="1"/>
  <c r="K70" i="48" s="1"/>
  <c r="K70" i="49" s="1"/>
  <c r="K70" i="50" s="1"/>
  <c r="K70" i="52" s="1"/>
  <c r="T3" i="76"/>
  <c r="H69" i="54"/>
  <c r="K68" i="54"/>
  <c r="K68" i="55" s="1"/>
  <c r="K68" i="56" s="1"/>
  <c r="K68" i="57" s="1"/>
  <c r="K68" i="58" s="1"/>
  <c r="K68" i="59" s="1"/>
  <c r="K68" i="60" s="1"/>
  <c r="K68" i="61" s="1"/>
  <c r="K68" i="62" s="1"/>
  <c r="K68" i="63" s="1"/>
  <c r="K68" i="64" s="1"/>
  <c r="K68" i="65" s="1"/>
  <c r="K68" i="66" s="1"/>
  <c r="K68" i="67" s="1"/>
  <c r="K68" i="68" s="1"/>
  <c r="K68" i="69" s="1"/>
  <c r="K68" i="70" s="1"/>
  <c r="K68" i="71" s="1"/>
  <c r="K68" i="72" s="1"/>
  <c r="K68" i="73" s="1"/>
  <c r="K68" i="74" s="1"/>
  <c r="K68" i="43" s="1"/>
  <c r="K68" i="44" s="1"/>
  <c r="K68" i="45" s="1"/>
  <c r="K68" i="46" s="1"/>
  <c r="K68" i="47" s="1"/>
  <c r="K68" i="48" s="1"/>
  <c r="K68" i="49" s="1"/>
  <c r="K68" i="50" s="1"/>
  <c r="K68" i="52" s="1"/>
  <c r="K68" i="78" s="1"/>
  <c r="H68" i="54"/>
  <c r="K67" i="54"/>
  <c r="H67" i="54"/>
  <c r="K66" i="54"/>
  <c r="H66" i="54"/>
  <c r="K65" i="54"/>
  <c r="H65" i="54"/>
  <c r="H65" i="55" s="1"/>
  <c r="H65" i="56" s="1"/>
  <c r="H65" i="57" s="1"/>
  <c r="H65" i="58" s="1"/>
  <c r="H65" i="59" s="1"/>
  <c r="H65" i="60" s="1"/>
  <c r="H65" i="61" s="1"/>
  <c r="H65" i="62" s="1"/>
  <c r="H65" i="63" s="1"/>
  <c r="H65" i="64" s="1"/>
  <c r="H65" i="65" s="1"/>
  <c r="H65" i="66" s="1"/>
  <c r="H65" i="67" s="1"/>
  <c r="H65" i="68" s="1"/>
  <c r="H65" i="69" s="1"/>
  <c r="H65" i="70" s="1"/>
  <c r="H65" i="71" s="1"/>
  <c r="H65" i="72" s="1"/>
  <c r="H65" i="73" s="1"/>
  <c r="H65" i="74" s="1"/>
  <c r="H65" i="43" s="1"/>
  <c r="H65" i="44" s="1"/>
  <c r="H65" i="45" s="1"/>
  <c r="H65" i="46" s="1"/>
  <c r="H65" i="47" s="1"/>
  <c r="H65" i="48" s="1"/>
  <c r="H65" i="49" s="1"/>
  <c r="H65" i="50" s="1"/>
  <c r="H65" i="52" s="1"/>
  <c r="H65" i="78" s="1"/>
  <c r="K64" i="54"/>
  <c r="H64" i="54"/>
  <c r="H64" i="55" s="1"/>
  <c r="H64" i="56" s="1"/>
  <c r="H64" i="57" s="1"/>
  <c r="H64" i="58" s="1"/>
  <c r="H64" i="59" s="1"/>
  <c r="H64" i="60" s="1"/>
  <c r="H64" i="61" s="1"/>
  <c r="H64" i="62" s="1"/>
  <c r="H64" i="63" s="1"/>
  <c r="H64" i="64" s="1"/>
  <c r="H64" i="65" s="1"/>
  <c r="H61" i="54"/>
  <c r="L60" i="54"/>
  <c r="K60" i="54"/>
  <c r="H60" i="54"/>
  <c r="E58" i="54"/>
  <c r="G58" i="54" s="1"/>
  <c r="K57" i="54"/>
  <c r="H57" i="54"/>
  <c r="E57" i="54"/>
  <c r="G57" i="54" s="1"/>
  <c r="I57" i="54" s="1"/>
  <c r="K56" i="54"/>
  <c r="H56" i="54"/>
  <c r="E56" i="54"/>
  <c r="G56" i="54" s="1"/>
  <c r="I56" i="54" s="1"/>
  <c r="D56" i="66"/>
  <c r="E55" i="54"/>
  <c r="G55" i="54" s="1"/>
  <c r="E54" i="54"/>
  <c r="G54" i="54" s="1"/>
  <c r="K53" i="54"/>
  <c r="H53" i="54"/>
  <c r="E53" i="54"/>
  <c r="G53" i="54" s="1"/>
  <c r="I53" i="54" s="1"/>
  <c r="D53" i="55"/>
  <c r="G51" i="54"/>
  <c r="G49" i="54" s="1"/>
  <c r="L50" i="54"/>
  <c r="K50" i="54"/>
  <c r="I50" i="54"/>
  <c r="H50" i="54"/>
  <c r="G50" i="54"/>
  <c r="E49" i="54"/>
  <c r="C49" i="54"/>
  <c r="C49" i="44" s="1"/>
  <c r="C49" i="45" s="1"/>
  <c r="C49" i="46" s="1"/>
  <c r="C49" i="47" s="1"/>
  <c r="C49" i="48" s="1"/>
  <c r="G48" i="54"/>
  <c r="E48" i="54"/>
  <c r="K47" i="54"/>
  <c r="K46" i="54"/>
  <c r="H46" i="54"/>
  <c r="K45" i="54"/>
  <c r="E44" i="54"/>
  <c r="G44" i="54" s="1"/>
  <c r="E43" i="54"/>
  <c r="G43" i="54" s="1"/>
  <c r="K42" i="54"/>
  <c r="H42" i="54"/>
  <c r="K41" i="54"/>
  <c r="H41" i="54"/>
  <c r="C3" i="76"/>
  <c r="E38" i="54"/>
  <c r="G38" i="54" s="1"/>
  <c r="G37" i="54"/>
  <c r="G37" i="55" s="1"/>
  <c r="G37" i="56" s="1"/>
  <c r="G37" i="57" s="1"/>
  <c r="G37" i="58" s="1"/>
  <c r="G37" i="59" s="1"/>
  <c r="G37" i="60" s="1"/>
  <c r="G37" i="61" s="1"/>
  <c r="G37" i="62" s="1"/>
  <c r="G37" i="63" s="1"/>
  <c r="G37" i="64" s="1"/>
  <c r="G37" i="65" s="1"/>
  <c r="G37" i="66" s="1"/>
  <c r="G37" i="67" s="1"/>
  <c r="G37" i="68" s="1"/>
  <c r="G37" i="69" s="1"/>
  <c r="G37" i="70" s="1"/>
  <c r="G37" i="71" s="1"/>
  <c r="G37" i="72" s="1"/>
  <c r="G37" i="73" s="1"/>
  <c r="G37" i="74" s="1"/>
  <c r="G37" i="43" s="1"/>
  <c r="G37" i="44" s="1"/>
  <c r="G37" i="45" s="1"/>
  <c r="G37" i="46" s="1"/>
  <c r="G37" i="47" s="1"/>
  <c r="G37" i="48" s="1"/>
  <c r="G37" i="49" s="1"/>
  <c r="G37" i="50" s="1"/>
  <c r="G37" i="52" s="1"/>
  <c r="G37" i="78" s="1"/>
  <c r="G36" i="54"/>
  <c r="G36" i="55" s="1"/>
  <c r="G36" i="56" s="1"/>
  <c r="G36" i="57" s="1"/>
  <c r="G36" i="58" s="1"/>
  <c r="G36" i="59" s="1"/>
  <c r="G36" i="60" s="1"/>
  <c r="G36" i="61" s="1"/>
  <c r="G36" i="62" s="1"/>
  <c r="G36" i="63" s="1"/>
  <c r="G36" i="64" s="1"/>
  <c r="G36" i="65" s="1"/>
  <c r="G36" i="66" s="1"/>
  <c r="G36" i="67" s="1"/>
  <c r="G36" i="68" s="1"/>
  <c r="G36" i="69" s="1"/>
  <c r="G36" i="70" s="1"/>
  <c r="G36" i="71" s="1"/>
  <c r="G36" i="72" s="1"/>
  <c r="G36" i="73" s="1"/>
  <c r="G36" i="74" s="1"/>
  <c r="G36" i="43" s="1"/>
  <c r="G36" i="44" s="1"/>
  <c r="G36" i="45" s="1"/>
  <c r="G36" i="46" s="1"/>
  <c r="G36" i="47" s="1"/>
  <c r="G36" i="48" s="1"/>
  <c r="G36" i="49" s="1"/>
  <c r="G36" i="50" s="1"/>
  <c r="G36" i="52" s="1"/>
  <c r="G36" i="78" s="1"/>
  <c r="K35" i="54"/>
  <c r="G35" i="54"/>
  <c r="G35" i="55" s="1"/>
  <c r="G35" i="56" s="1"/>
  <c r="G35" i="57" s="1"/>
  <c r="G35" i="58" s="1"/>
  <c r="G35" i="59" s="1"/>
  <c r="G35" i="60" s="1"/>
  <c r="G35" i="61" s="1"/>
  <c r="G35" i="62" s="1"/>
  <c r="G35" i="63" s="1"/>
  <c r="G35" i="64" s="1"/>
  <c r="G35" i="65" s="1"/>
  <c r="G35" i="66" s="1"/>
  <c r="G35" i="67" s="1"/>
  <c r="G35" i="68" s="1"/>
  <c r="G35" i="69" s="1"/>
  <c r="G35" i="70" s="1"/>
  <c r="G35" i="71" s="1"/>
  <c r="G35" i="72" s="1"/>
  <c r="G35" i="73" s="1"/>
  <c r="G35" i="74" s="1"/>
  <c r="G35" i="43" s="1"/>
  <c r="G35" i="44" s="1"/>
  <c r="G35" i="45" s="1"/>
  <c r="G35" i="46" s="1"/>
  <c r="G35" i="47" s="1"/>
  <c r="G35" i="48" s="1"/>
  <c r="G35" i="49" s="1"/>
  <c r="G35" i="50" s="1"/>
  <c r="G35" i="52" s="1"/>
  <c r="G35" i="78" s="1"/>
  <c r="F35" i="54"/>
  <c r="H35" i="54" s="1"/>
  <c r="K34" i="54"/>
  <c r="K34" i="55" s="1"/>
  <c r="K34" i="56" s="1"/>
  <c r="K34" i="57" s="1"/>
  <c r="K34" i="58" s="1"/>
  <c r="K34" i="59" s="1"/>
  <c r="K34" i="60" s="1"/>
  <c r="K34" i="61" s="1"/>
  <c r="K34" i="62" s="1"/>
  <c r="K34" i="63" s="1"/>
  <c r="K34" i="64" s="1"/>
  <c r="K34" i="65" s="1"/>
  <c r="K34" i="66" s="1"/>
  <c r="K34" i="67" s="1"/>
  <c r="K34" i="68" s="1"/>
  <c r="K34" i="69" s="1"/>
  <c r="K34" i="70" s="1"/>
  <c r="K34" i="71" s="1"/>
  <c r="K34" i="72" s="1"/>
  <c r="K34" i="73" s="1"/>
  <c r="K34" i="74" s="1"/>
  <c r="K34" i="43" s="1"/>
  <c r="K34" i="44" s="1"/>
  <c r="K34" i="45" s="1"/>
  <c r="K34" i="46" s="1"/>
  <c r="K34" i="47" s="1"/>
  <c r="K34" i="48" s="1"/>
  <c r="K34" i="49" s="1"/>
  <c r="K34" i="50" s="1"/>
  <c r="K34" i="52" s="1"/>
  <c r="K34" i="78" s="1"/>
  <c r="H34" i="54"/>
  <c r="G34" i="54"/>
  <c r="G34" i="55" s="1"/>
  <c r="G34" i="56" s="1"/>
  <c r="G34" i="57" s="1"/>
  <c r="G34" i="58" s="1"/>
  <c r="G34" i="59" s="1"/>
  <c r="G34" i="60" s="1"/>
  <c r="G34" i="61" s="1"/>
  <c r="G34" i="62" s="1"/>
  <c r="G34" i="63" s="1"/>
  <c r="G34" i="64" s="1"/>
  <c r="G34" i="65" s="1"/>
  <c r="G34" i="66" s="1"/>
  <c r="G34" i="67" s="1"/>
  <c r="G34" i="68" s="1"/>
  <c r="G34" i="69" s="1"/>
  <c r="G34" i="70" s="1"/>
  <c r="G34" i="71" s="1"/>
  <c r="G34" i="72" s="1"/>
  <c r="G34" i="73" s="1"/>
  <c r="G34" i="74" s="1"/>
  <c r="G34" i="43" s="1"/>
  <c r="G34" i="44" s="1"/>
  <c r="G34" i="45" s="1"/>
  <c r="G34" i="46" s="1"/>
  <c r="G34" i="47" s="1"/>
  <c r="G34" i="48" s="1"/>
  <c r="G34" i="49" s="1"/>
  <c r="G34" i="50" s="1"/>
  <c r="G34" i="52" s="1"/>
  <c r="G34" i="78" s="1"/>
  <c r="G33" i="54"/>
  <c r="G33" i="55" s="1"/>
  <c r="G33" i="56" s="1"/>
  <c r="G33" i="57" s="1"/>
  <c r="G33" i="58" s="1"/>
  <c r="G33" i="59" s="1"/>
  <c r="G33" i="60" s="1"/>
  <c r="G33" i="61" s="1"/>
  <c r="G33" i="62" s="1"/>
  <c r="G33" i="63" s="1"/>
  <c r="G33" i="64" s="1"/>
  <c r="G33" i="65" s="1"/>
  <c r="G33" i="66" s="1"/>
  <c r="G33" i="67" s="1"/>
  <c r="G33" i="68" s="1"/>
  <c r="G33" i="69" s="1"/>
  <c r="G33" i="70" s="1"/>
  <c r="G33" i="71" s="1"/>
  <c r="G33" i="72" s="1"/>
  <c r="G33" i="73" s="1"/>
  <c r="G33" i="74" s="1"/>
  <c r="G33" i="43" s="1"/>
  <c r="G33" i="44" s="1"/>
  <c r="G33" i="45" s="1"/>
  <c r="G33" i="46" s="1"/>
  <c r="G33" i="47" s="1"/>
  <c r="G33" i="48" s="1"/>
  <c r="G33" i="49" s="1"/>
  <c r="G33" i="50" s="1"/>
  <c r="G33" i="52" s="1"/>
  <c r="G33" i="78" s="1"/>
  <c r="H33" i="54"/>
  <c r="G32" i="54"/>
  <c r="G32" i="55" s="1"/>
  <c r="G32" i="56" s="1"/>
  <c r="G32" i="57" s="1"/>
  <c r="G32" i="58" s="1"/>
  <c r="G32" i="59" s="1"/>
  <c r="G32" i="60" s="1"/>
  <c r="G32" i="61" s="1"/>
  <c r="G32" i="62" s="1"/>
  <c r="G32" i="63" s="1"/>
  <c r="G32" i="64" s="1"/>
  <c r="G32" i="65" s="1"/>
  <c r="G32" i="66" s="1"/>
  <c r="G32" i="67" s="1"/>
  <c r="G32" i="68" s="1"/>
  <c r="G32" i="69" s="1"/>
  <c r="G32" i="70" s="1"/>
  <c r="G32" i="71" s="1"/>
  <c r="G32" i="72" s="1"/>
  <c r="G32" i="73" s="1"/>
  <c r="G32" i="74" s="1"/>
  <c r="G32" i="43" s="1"/>
  <c r="G32" i="44" s="1"/>
  <c r="G32" i="45" s="1"/>
  <c r="G32" i="46" s="1"/>
  <c r="G32" i="47" s="1"/>
  <c r="G32" i="48" s="1"/>
  <c r="G32" i="49" s="1"/>
  <c r="G32" i="50" s="1"/>
  <c r="G32" i="52" s="1"/>
  <c r="G32" i="78" s="1"/>
  <c r="H32" i="54"/>
  <c r="T31" i="54"/>
  <c r="G31" i="54"/>
  <c r="G31" i="55" s="1"/>
  <c r="G31" i="56" s="1"/>
  <c r="G31" i="57" s="1"/>
  <c r="G31" i="58" s="1"/>
  <c r="G31" i="59" s="1"/>
  <c r="G31" i="60" s="1"/>
  <c r="G31" i="61" s="1"/>
  <c r="G31" i="62" s="1"/>
  <c r="G31" i="63" s="1"/>
  <c r="G31" i="64" s="1"/>
  <c r="G31" i="65" s="1"/>
  <c r="G31" i="66" s="1"/>
  <c r="G31" i="67" s="1"/>
  <c r="G31" i="68" s="1"/>
  <c r="G31" i="69" s="1"/>
  <c r="G31" i="70" s="1"/>
  <c r="G31" i="71" s="1"/>
  <c r="G31" i="72" s="1"/>
  <c r="G31" i="73" s="1"/>
  <c r="G31" i="74" s="1"/>
  <c r="G31" i="43" s="1"/>
  <c r="G31" i="44" s="1"/>
  <c r="G31" i="45" s="1"/>
  <c r="G31" i="46" s="1"/>
  <c r="G31" i="47" s="1"/>
  <c r="G31" i="48" s="1"/>
  <c r="G31" i="49" s="1"/>
  <c r="G31" i="50" s="1"/>
  <c r="G31" i="52" s="1"/>
  <c r="G31" i="78" s="1"/>
  <c r="H31" i="54"/>
  <c r="G30" i="54"/>
  <c r="K29" i="54"/>
  <c r="K29" i="55" s="1"/>
  <c r="K29" i="56" s="1"/>
  <c r="K29" i="57" s="1"/>
  <c r="K29" i="58" s="1"/>
  <c r="K29" i="59" s="1"/>
  <c r="K29" i="60" s="1"/>
  <c r="K29" i="61" s="1"/>
  <c r="K29" i="62" s="1"/>
  <c r="K29" i="63" s="1"/>
  <c r="K29" i="64" s="1"/>
  <c r="K29" i="65" s="1"/>
  <c r="K29" i="66" s="1"/>
  <c r="K29" i="67" s="1"/>
  <c r="K29" i="68" s="1"/>
  <c r="K29" i="69" s="1"/>
  <c r="K29" i="70" s="1"/>
  <c r="K29" i="71" s="1"/>
  <c r="K29" i="72" s="1"/>
  <c r="K29" i="73" s="1"/>
  <c r="K29" i="74" s="1"/>
  <c r="K29" i="43" s="1"/>
  <c r="K29" i="44" s="1"/>
  <c r="K29" i="45" s="1"/>
  <c r="K29" i="46" s="1"/>
  <c r="K29" i="47" s="1"/>
  <c r="K29" i="48" s="1"/>
  <c r="K29" i="49" s="1"/>
  <c r="K29" i="50" s="1"/>
  <c r="K29" i="52" s="1"/>
  <c r="K29" i="78" s="1"/>
  <c r="G29" i="54"/>
  <c r="G29" i="55" s="1"/>
  <c r="G29" i="56" s="1"/>
  <c r="G29" i="57" s="1"/>
  <c r="G29" i="58" s="1"/>
  <c r="G29" i="59" s="1"/>
  <c r="G29" i="60" s="1"/>
  <c r="G29" i="61" s="1"/>
  <c r="G29" i="62" s="1"/>
  <c r="G29" i="63" s="1"/>
  <c r="G29" i="64" s="1"/>
  <c r="G29" i="65" s="1"/>
  <c r="G29" i="66" s="1"/>
  <c r="G29" i="67" s="1"/>
  <c r="G29" i="68" s="1"/>
  <c r="G29" i="69" s="1"/>
  <c r="G29" i="70" s="1"/>
  <c r="G29" i="71" s="1"/>
  <c r="G29" i="72" s="1"/>
  <c r="G29" i="73" s="1"/>
  <c r="G29" i="74" s="1"/>
  <c r="G29" i="43" s="1"/>
  <c r="G29" i="44" s="1"/>
  <c r="G29" i="45" s="1"/>
  <c r="G29" i="46" s="1"/>
  <c r="G29" i="47" s="1"/>
  <c r="G29" i="48" s="1"/>
  <c r="G29" i="49" s="1"/>
  <c r="G29" i="50" s="1"/>
  <c r="G29" i="52" s="1"/>
  <c r="G29" i="78" s="1"/>
  <c r="F29" i="54"/>
  <c r="H29" i="54" s="1"/>
  <c r="K28" i="54"/>
  <c r="K28" i="55" s="1"/>
  <c r="G28" i="54"/>
  <c r="G28" i="55" s="1"/>
  <c r="G28" i="56" s="1"/>
  <c r="G28" i="57" s="1"/>
  <c r="G28" i="58" s="1"/>
  <c r="G28" i="59" s="1"/>
  <c r="G28" i="60" s="1"/>
  <c r="G28" i="61" s="1"/>
  <c r="G28" i="62" s="1"/>
  <c r="G28" i="63" s="1"/>
  <c r="G28" i="64" s="1"/>
  <c r="G28" i="65" s="1"/>
  <c r="G28" i="66" s="1"/>
  <c r="G28" i="67" s="1"/>
  <c r="G28" i="68" s="1"/>
  <c r="G28" i="69" s="1"/>
  <c r="G28" i="70" s="1"/>
  <c r="G28" i="71" s="1"/>
  <c r="G28" i="72" s="1"/>
  <c r="G28" i="73" s="1"/>
  <c r="G28" i="74" s="1"/>
  <c r="G28" i="43" s="1"/>
  <c r="G28" i="44" s="1"/>
  <c r="G28" i="45" s="1"/>
  <c r="G28" i="46" s="1"/>
  <c r="G28" i="47" s="1"/>
  <c r="G28" i="48" s="1"/>
  <c r="G28" i="49" s="1"/>
  <c r="G28" i="50" s="1"/>
  <c r="G28" i="52" s="1"/>
  <c r="G28" i="78" s="1"/>
  <c r="F28" i="54"/>
  <c r="H28" i="54" s="1"/>
  <c r="H28" i="55" s="1"/>
  <c r="H28" i="56" s="1"/>
  <c r="K27" i="54"/>
  <c r="K27" i="55" s="1"/>
  <c r="K27" i="56" s="1"/>
  <c r="K27" i="57" s="1"/>
  <c r="K27" i="58" s="1"/>
  <c r="K27" i="59" s="1"/>
  <c r="K27" i="60" s="1"/>
  <c r="K27" i="61" s="1"/>
  <c r="K27" i="62" s="1"/>
  <c r="K27" i="63" s="1"/>
  <c r="K27" i="64" s="1"/>
  <c r="K27" i="65" s="1"/>
  <c r="K27" i="66" s="1"/>
  <c r="K27" i="67" s="1"/>
  <c r="K27" i="68" s="1"/>
  <c r="K27" i="69" s="1"/>
  <c r="K27" i="70" s="1"/>
  <c r="K27" i="71" s="1"/>
  <c r="K27" i="72" s="1"/>
  <c r="K27" i="73" s="1"/>
  <c r="K27" i="74" s="1"/>
  <c r="K27" i="43" s="1"/>
  <c r="K27" i="44" s="1"/>
  <c r="K27" i="45" s="1"/>
  <c r="K27" i="46" s="1"/>
  <c r="K27" i="47" s="1"/>
  <c r="K27" i="48" s="1"/>
  <c r="K27" i="49" s="1"/>
  <c r="K27" i="50" s="1"/>
  <c r="K27" i="52" s="1"/>
  <c r="K27" i="78" s="1"/>
  <c r="G27" i="54"/>
  <c r="G27" i="55" s="1"/>
  <c r="G27" i="56" s="1"/>
  <c r="G27" i="57" s="1"/>
  <c r="G27" i="58" s="1"/>
  <c r="G27" i="59" s="1"/>
  <c r="G27" i="60" s="1"/>
  <c r="G27" i="61" s="1"/>
  <c r="G27" i="62" s="1"/>
  <c r="G27" i="63" s="1"/>
  <c r="G27" i="64" s="1"/>
  <c r="G27" i="65" s="1"/>
  <c r="G27" i="66" s="1"/>
  <c r="G27" i="67" s="1"/>
  <c r="G27" i="68" s="1"/>
  <c r="G27" i="69" s="1"/>
  <c r="G27" i="70" s="1"/>
  <c r="G27" i="71" s="1"/>
  <c r="G27" i="72" s="1"/>
  <c r="G27" i="73" s="1"/>
  <c r="G27" i="74" s="1"/>
  <c r="G27" i="43" s="1"/>
  <c r="G27" i="44" s="1"/>
  <c r="G27" i="45" s="1"/>
  <c r="G27" i="46" s="1"/>
  <c r="G27" i="47" s="1"/>
  <c r="G27" i="48" s="1"/>
  <c r="G27" i="49" s="1"/>
  <c r="G27" i="50" s="1"/>
  <c r="G27" i="52" s="1"/>
  <c r="G27" i="78" s="1"/>
  <c r="H27" i="54"/>
  <c r="G26" i="54"/>
  <c r="G26" i="55" s="1"/>
  <c r="G26" i="56" s="1"/>
  <c r="G26" i="57" s="1"/>
  <c r="G26" i="58" s="1"/>
  <c r="G26" i="59" s="1"/>
  <c r="G26" i="60" s="1"/>
  <c r="G26" i="61" s="1"/>
  <c r="G26" i="62" s="1"/>
  <c r="G26" i="63" s="1"/>
  <c r="G26" i="64" s="1"/>
  <c r="G26" i="65" s="1"/>
  <c r="G26" i="66" s="1"/>
  <c r="G26" i="67" s="1"/>
  <c r="G26" i="68" s="1"/>
  <c r="G26" i="69" s="1"/>
  <c r="G26" i="70" s="1"/>
  <c r="G26" i="71" s="1"/>
  <c r="G26" i="72" s="1"/>
  <c r="G26" i="73" s="1"/>
  <c r="G26" i="74" s="1"/>
  <c r="G26" i="43" s="1"/>
  <c r="G26" i="44" s="1"/>
  <c r="G26" i="45" s="1"/>
  <c r="G26" i="46" s="1"/>
  <c r="G26" i="47" s="1"/>
  <c r="G26" i="48" s="1"/>
  <c r="G26" i="49" s="1"/>
  <c r="G26" i="50" s="1"/>
  <c r="G26" i="52" s="1"/>
  <c r="G26" i="78" s="1"/>
  <c r="H26" i="54"/>
  <c r="G25" i="54"/>
  <c r="G25" i="55" s="1"/>
  <c r="G25" i="56" s="1"/>
  <c r="G25" i="57" s="1"/>
  <c r="G25" i="58" s="1"/>
  <c r="G25" i="59" s="1"/>
  <c r="G25" i="60" s="1"/>
  <c r="G25" i="61" s="1"/>
  <c r="G25" i="62" s="1"/>
  <c r="G25" i="63" s="1"/>
  <c r="G25" i="64" s="1"/>
  <c r="G25" i="65" s="1"/>
  <c r="G25" i="66" s="1"/>
  <c r="G25" i="67" s="1"/>
  <c r="G25" i="68" s="1"/>
  <c r="G25" i="69" s="1"/>
  <c r="G25" i="70" s="1"/>
  <c r="G25" i="71" s="1"/>
  <c r="G25" i="72" s="1"/>
  <c r="G25" i="73" s="1"/>
  <c r="G25" i="74" s="1"/>
  <c r="G25" i="43" s="1"/>
  <c r="G25" i="44" s="1"/>
  <c r="G25" i="45" s="1"/>
  <c r="G25" i="46" s="1"/>
  <c r="G25" i="47" s="1"/>
  <c r="G25" i="48" s="1"/>
  <c r="G25" i="49" s="1"/>
  <c r="G25" i="50" s="1"/>
  <c r="G25" i="52" s="1"/>
  <c r="G25" i="78" s="1"/>
  <c r="G24" i="54"/>
  <c r="G24" i="55" s="1"/>
  <c r="G24" i="56" s="1"/>
  <c r="G24" i="57" s="1"/>
  <c r="G24" i="58" s="1"/>
  <c r="G24" i="59" s="1"/>
  <c r="G24" i="60" s="1"/>
  <c r="G24" i="61" s="1"/>
  <c r="G24" i="62" s="1"/>
  <c r="G24" i="63" s="1"/>
  <c r="G24" i="64" s="1"/>
  <c r="G24" i="65" s="1"/>
  <c r="G24" i="66" s="1"/>
  <c r="G24" i="67" s="1"/>
  <c r="G24" i="68" s="1"/>
  <c r="G24" i="69" s="1"/>
  <c r="G24" i="70" s="1"/>
  <c r="G24" i="71" s="1"/>
  <c r="G24" i="72" s="1"/>
  <c r="G24" i="73" s="1"/>
  <c r="G24" i="74" s="1"/>
  <c r="G24" i="43" s="1"/>
  <c r="G24" i="44" s="1"/>
  <c r="G24" i="45" s="1"/>
  <c r="G24" i="46" s="1"/>
  <c r="G24" i="47" s="1"/>
  <c r="G24" i="48" s="1"/>
  <c r="G24" i="49" s="1"/>
  <c r="G24" i="50" s="1"/>
  <c r="G24" i="52" s="1"/>
  <c r="G24" i="78" s="1"/>
  <c r="H24" i="54"/>
  <c r="G23" i="54"/>
  <c r="G22" i="54"/>
  <c r="G22" i="55" s="1"/>
  <c r="G22" i="56" s="1"/>
  <c r="G22" i="57" s="1"/>
  <c r="G22" i="58" s="1"/>
  <c r="G22" i="59" s="1"/>
  <c r="G22" i="60" s="1"/>
  <c r="G22" i="61" s="1"/>
  <c r="G22" i="62" s="1"/>
  <c r="G22" i="63" s="1"/>
  <c r="G22" i="64" s="1"/>
  <c r="G22" i="65" s="1"/>
  <c r="G22" i="66" s="1"/>
  <c r="G22" i="67" s="1"/>
  <c r="G22" i="68" s="1"/>
  <c r="G22" i="69" s="1"/>
  <c r="G22" i="70" s="1"/>
  <c r="G22" i="71" s="1"/>
  <c r="G22" i="72" s="1"/>
  <c r="G22" i="73" s="1"/>
  <c r="G22" i="74" s="1"/>
  <c r="G22" i="43" s="1"/>
  <c r="G22" i="44" s="1"/>
  <c r="G22" i="45" s="1"/>
  <c r="G22" i="46" s="1"/>
  <c r="G22" i="47" s="1"/>
  <c r="G21" i="54"/>
  <c r="G20" i="54"/>
  <c r="G20" i="55" s="1"/>
  <c r="G20" i="56" s="1"/>
  <c r="G20" i="57" s="1"/>
  <c r="G20" i="58" s="1"/>
  <c r="G20" i="59" s="1"/>
  <c r="G20" i="60" s="1"/>
  <c r="G20" i="61" s="1"/>
  <c r="G20" i="62" s="1"/>
  <c r="G20" i="63" s="1"/>
  <c r="G20" i="64" s="1"/>
  <c r="G20" i="65" s="1"/>
  <c r="G20" i="66" s="1"/>
  <c r="G20" i="67" s="1"/>
  <c r="G20" i="68" s="1"/>
  <c r="G20" i="69" s="1"/>
  <c r="G20" i="70" s="1"/>
  <c r="G20" i="71" s="1"/>
  <c r="G20" i="72" s="1"/>
  <c r="G20" i="73" s="1"/>
  <c r="G20" i="74" s="1"/>
  <c r="G20" i="43" s="1"/>
  <c r="G20" i="44" s="1"/>
  <c r="G20" i="45" s="1"/>
  <c r="G20" i="46" s="1"/>
  <c r="G20" i="47" s="1"/>
  <c r="G20" i="48" s="1"/>
  <c r="G20" i="49" s="1"/>
  <c r="G20" i="50" s="1"/>
  <c r="G20" i="52" s="1"/>
  <c r="G20" i="78" s="1"/>
  <c r="G19" i="54"/>
  <c r="I18" i="54"/>
  <c r="H18" i="54"/>
  <c r="G18" i="54"/>
  <c r="G17" i="54"/>
  <c r="G16" i="54"/>
  <c r="G16" i="55" s="1"/>
  <c r="K15" i="54"/>
  <c r="L15" i="54" s="1"/>
  <c r="I15" i="54"/>
  <c r="H15" i="54"/>
  <c r="G15" i="54"/>
  <c r="E14" i="54"/>
  <c r="C14" i="54"/>
  <c r="K13" i="54"/>
  <c r="H13" i="54"/>
  <c r="K12" i="54"/>
  <c r="H12" i="54"/>
  <c r="I12" i="54" s="1"/>
  <c r="G12" i="54"/>
  <c r="E12" i="54"/>
  <c r="H11" i="54"/>
  <c r="H11" i="55" s="1"/>
  <c r="H11" i="56" s="1"/>
  <c r="H11" i="57" s="1"/>
  <c r="H11" i="58" s="1"/>
  <c r="H11" i="59" s="1"/>
  <c r="H11" i="60" s="1"/>
  <c r="H11" i="61" s="1"/>
  <c r="H11" i="62" s="1"/>
  <c r="H11" i="63" s="1"/>
  <c r="H11" i="64" s="1"/>
  <c r="H11" i="65" s="1"/>
  <c r="H11" i="66" s="1"/>
  <c r="H11" i="67" s="1"/>
  <c r="H11" i="68" s="1"/>
  <c r="H11" i="69" s="1"/>
  <c r="H11" i="70" s="1"/>
  <c r="H11" i="71" s="1"/>
  <c r="H11" i="72" s="1"/>
  <c r="H11" i="73" s="1"/>
  <c r="H11" i="74" s="1"/>
  <c r="H11" i="43" s="1"/>
  <c r="H11" i="44" s="1"/>
  <c r="H11" i="45" s="1"/>
  <c r="H11" i="46" s="1"/>
  <c r="G11" i="54"/>
  <c r="G10" i="54"/>
  <c r="G9" i="54"/>
  <c r="G5" i="54" s="1"/>
  <c r="L8" i="54"/>
  <c r="K8" i="54"/>
  <c r="H8" i="54"/>
  <c r="L7" i="54"/>
  <c r="K7" i="54"/>
  <c r="H7" i="54"/>
  <c r="K6" i="54"/>
  <c r="H6" i="54"/>
  <c r="G6" i="54"/>
  <c r="E5" i="54"/>
  <c r="C5" i="54"/>
  <c r="A1" i="54"/>
  <c r="H12" i="55" l="1"/>
  <c r="G51" i="55"/>
  <c r="G51" i="56" s="1"/>
  <c r="G51" i="57" s="1"/>
  <c r="G51" i="58" s="1"/>
  <c r="G51" i="59" s="1"/>
  <c r="G51" i="60" s="1"/>
  <c r="G51" i="61" s="1"/>
  <c r="G51" i="62" s="1"/>
  <c r="G51" i="63" s="1"/>
  <c r="G51" i="64" s="1"/>
  <c r="G51" i="65" s="1"/>
  <c r="G51" i="66" s="1"/>
  <c r="G51" i="67" s="1"/>
  <c r="G51" i="68" s="1"/>
  <c r="G51" i="69" s="1"/>
  <c r="G51" i="70" s="1"/>
  <c r="G51" i="71" s="1"/>
  <c r="G51" i="72" s="1"/>
  <c r="G51" i="73" s="1"/>
  <c r="G51" i="74" s="1"/>
  <c r="G51" i="43" s="1"/>
  <c r="G51" i="44" s="1"/>
  <c r="G51" i="45" s="1"/>
  <c r="G51" i="46" s="1"/>
  <c r="C5" i="56"/>
  <c r="C44" i="45"/>
  <c r="C5" i="46"/>
  <c r="C5" i="50"/>
  <c r="G44" i="55"/>
  <c r="C14" i="63"/>
  <c r="C5" i="65"/>
  <c r="C14" i="72"/>
  <c r="G14" i="54"/>
  <c r="C14" i="71"/>
  <c r="C101" i="71"/>
  <c r="C5" i="67"/>
  <c r="C14" i="44"/>
  <c r="C14" i="50"/>
  <c r="C14" i="65"/>
  <c r="C110" i="67"/>
  <c r="C110" i="44"/>
  <c r="C14" i="69"/>
  <c r="C5" i="64"/>
  <c r="C5" i="70"/>
  <c r="C110" i="45"/>
  <c r="L95" i="55"/>
  <c r="L95" i="56" s="1"/>
  <c r="L95" i="57" s="1"/>
  <c r="L95" i="58" s="1"/>
  <c r="L95" i="59" s="1"/>
  <c r="L95" i="60" s="1"/>
  <c r="L95" i="61" s="1"/>
  <c r="L95" i="62" s="1"/>
  <c r="L95" i="63" s="1"/>
  <c r="L95" i="64" s="1"/>
  <c r="L95" i="65" s="1"/>
  <c r="L95" i="66" s="1"/>
  <c r="L95" i="67" s="1"/>
  <c r="L95" i="68" s="1"/>
  <c r="L95" i="69" s="1"/>
  <c r="L95" i="70" s="1"/>
  <c r="L95" i="71" s="1"/>
  <c r="L95" i="72" s="1"/>
  <c r="L95" i="73" s="1"/>
  <c r="L95" i="74" s="1"/>
  <c r="L95" i="43" s="1"/>
  <c r="L95" i="44" s="1"/>
  <c r="L95" i="45" s="1"/>
  <c r="L95" i="46" s="1"/>
  <c r="L95" i="47" s="1"/>
  <c r="L95" i="48" s="1"/>
  <c r="L95" i="49" s="1"/>
  <c r="L95" i="50" s="1"/>
  <c r="L95" i="52" s="1"/>
  <c r="L95" i="78" s="1"/>
  <c r="M95" i="54"/>
  <c r="L94" i="55"/>
  <c r="L94" i="56" s="1"/>
  <c r="L94" i="57" s="1"/>
  <c r="L94" i="58" s="1"/>
  <c r="L94" i="59" s="1"/>
  <c r="L94" i="60" s="1"/>
  <c r="L94" i="61" s="1"/>
  <c r="L94" i="62" s="1"/>
  <c r="L94" i="63" s="1"/>
  <c r="L94" i="64" s="1"/>
  <c r="L94" i="65" s="1"/>
  <c r="L94" i="66" s="1"/>
  <c r="L94" i="67" s="1"/>
  <c r="L94" i="68" s="1"/>
  <c r="L94" i="69" s="1"/>
  <c r="L94" i="70" s="1"/>
  <c r="L94" i="71" s="1"/>
  <c r="L94" i="72" s="1"/>
  <c r="L94" i="73" s="1"/>
  <c r="L94" i="74" s="1"/>
  <c r="L94" i="43" s="1"/>
  <c r="L94" i="44" s="1"/>
  <c r="L94" i="45" s="1"/>
  <c r="L94" i="46" s="1"/>
  <c r="L94" i="47" s="1"/>
  <c r="L94" i="48" s="1"/>
  <c r="L94" i="49" s="1"/>
  <c r="L94" i="50" s="1"/>
  <c r="L94" i="52" s="1"/>
  <c r="L94" i="78" s="1"/>
  <c r="K94" i="55"/>
  <c r="K94" i="56" s="1"/>
  <c r="M94" i="56" s="1"/>
  <c r="M95" i="55"/>
  <c r="K95" i="56"/>
  <c r="K95" i="57" s="1"/>
  <c r="H67" i="74"/>
  <c r="H67" i="43" s="1"/>
  <c r="H67" i="44" s="1"/>
  <c r="H67" i="45" s="1"/>
  <c r="H67" i="46" s="1"/>
  <c r="H67" i="47" s="1"/>
  <c r="H67" i="48" s="1"/>
  <c r="H67" i="49" s="1"/>
  <c r="H67" i="50" s="1"/>
  <c r="G56" i="56"/>
  <c r="I56" i="56" s="1"/>
  <c r="G53" i="55"/>
  <c r="G53" i="56" s="1"/>
  <c r="G56" i="55"/>
  <c r="I56" i="55" s="1"/>
  <c r="G55" i="55"/>
  <c r="G55" i="56" s="1"/>
  <c r="G55" i="57" s="1"/>
  <c r="G55" i="58" s="1"/>
  <c r="G55" i="59" s="1"/>
  <c r="G55" i="60" s="1"/>
  <c r="G55" i="61" s="1"/>
  <c r="G55" i="62" s="1"/>
  <c r="G55" i="63" s="1"/>
  <c r="G55" i="64" s="1"/>
  <c r="G55" i="65" s="1"/>
  <c r="G55" i="66" s="1"/>
  <c r="G55" i="67" s="1"/>
  <c r="G55" i="68" s="1"/>
  <c r="G55" i="69" s="1"/>
  <c r="G55" i="70" s="1"/>
  <c r="G55" i="71" s="1"/>
  <c r="G55" i="72" s="1"/>
  <c r="G55" i="73" s="1"/>
  <c r="G55" i="74" s="1"/>
  <c r="G55" i="43" s="1"/>
  <c r="G57" i="55"/>
  <c r="G57" i="56" s="1"/>
  <c r="G57" i="57" s="1"/>
  <c r="G57" i="58" s="1"/>
  <c r="G57" i="59" s="1"/>
  <c r="G57" i="60" s="1"/>
  <c r="G57" i="61" s="1"/>
  <c r="G57" i="62" s="1"/>
  <c r="G57" i="63" s="1"/>
  <c r="G57" i="64" s="1"/>
  <c r="G57" i="65" s="1"/>
  <c r="G57" i="66" s="1"/>
  <c r="G57" i="67" s="1"/>
  <c r="G57" i="68" s="1"/>
  <c r="G57" i="69" s="1"/>
  <c r="G57" i="70" s="1"/>
  <c r="G57" i="71" s="1"/>
  <c r="G57" i="72" s="1"/>
  <c r="G57" i="73" s="1"/>
  <c r="G57" i="74" s="1"/>
  <c r="G57" i="43" s="1"/>
  <c r="G57" i="44" s="1"/>
  <c r="G57" i="45" s="1"/>
  <c r="C55" i="46"/>
  <c r="C55" i="47" s="1"/>
  <c r="E55" i="45"/>
  <c r="C58" i="47"/>
  <c r="E58" i="47" s="1"/>
  <c r="E58" i="46"/>
  <c r="G43" i="55"/>
  <c r="G43" i="56" s="1"/>
  <c r="G43" i="57" s="1"/>
  <c r="G43" i="58" s="1"/>
  <c r="G43" i="59" s="1"/>
  <c r="G43" i="60" s="1"/>
  <c r="G43" i="61" s="1"/>
  <c r="G43" i="62" s="1"/>
  <c r="G43" i="63" s="1"/>
  <c r="G43" i="64" s="1"/>
  <c r="G43" i="65" s="1"/>
  <c r="G43" i="66" s="1"/>
  <c r="G43" i="67" s="1"/>
  <c r="G43" i="68" s="1"/>
  <c r="G43" i="69" s="1"/>
  <c r="G43" i="70" s="1"/>
  <c r="G43" i="71" s="1"/>
  <c r="G43" i="72" s="1"/>
  <c r="G43" i="73" s="1"/>
  <c r="G43" i="74" s="1"/>
  <c r="G43" i="43" s="1"/>
  <c r="C14" i="61"/>
  <c r="E58" i="45"/>
  <c r="C110" i="55"/>
  <c r="C110" i="59"/>
  <c r="C110" i="61"/>
  <c r="C101" i="46"/>
  <c r="C14" i="57"/>
  <c r="C101" i="65"/>
  <c r="C49" i="78"/>
  <c r="C5" i="61"/>
  <c r="C101" i="74"/>
  <c r="C49" i="43"/>
  <c r="C48" i="45"/>
  <c r="C48" i="46" s="1"/>
  <c r="C110" i="48"/>
  <c r="C101" i="52"/>
  <c r="C110" i="68"/>
  <c r="C14" i="60"/>
  <c r="C110" i="62"/>
  <c r="C110" i="63"/>
  <c r="C14" i="67"/>
  <c r="E38" i="46"/>
  <c r="C49" i="52"/>
  <c r="C101" i="64"/>
  <c r="C14" i="66"/>
  <c r="C14" i="68"/>
  <c r="C49" i="50"/>
  <c r="C110" i="73"/>
  <c r="E55" i="44"/>
  <c r="G38" i="55"/>
  <c r="G38" i="56" s="1"/>
  <c r="G38" i="57" s="1"/>
  <c r="G38" i="58" s="1"/>
  <c r="G38" i="59" s="1"/>
  <c r="G38" i="60" s="1"/>
  <c r="G38" i="61" s="1"/>
  <c r="G38" i="62" s="1"/>
  <c r="G38" i="63" s="1"/>
  <c r="G38" i="64" s="1"/>
  <c r="G38" i="65" s="1"/>
  <c r="G38" i="66" s="1"/>
  <c r="G38" i="67" s="1"/>
  <c r="G38" i="68" s="1"/>
  <c r="G38" i="69" s="1"/>
  <c r="G38" i="70" s="1"/>
  <c r="G38" i="71" s="1"/>
  <c r="G38" i="72" s="1"/>
  <c r="G38" i="73" s="1"/>
  <c r="G38" i="74" s="1"/>
  <c r="G38" i="43" s="1"/>
  <c r="G38" i="44" s="1"/>
  <c r="G38" i="45" s="1"/>
  <c r="G38" i="46" s="1"/>
  <c r="G48" i="55"/>
  <c r="G48" i="56" s="1"/>
  <c r="G48" i="57" s="1"/>
  <c r="G48" i="58" s="1"/>
  <c r="G48" i="59" s="1"/>
  <c r="G48" i="60" s="1"/>
  <c r="G48" i="61" s="1"/>
  <c r="G48" i="62" s="1"/>
  <c r="G48" i="63" s="1"/>
  <c r="G48" i="64" s="1"/>
  <c r="G48" i="65" s="1"/>
  <c r="G48" i="66" s="1"/>
  <c r="G48" i="67" s="1"/>
  <c r="G48" i="68" s="1"/>
  <c r="G48" i="69" s="1"/>
  <c r="G48" i="70" s="1"/>
  <c r="G48" i="71" s="1"/>
  <c r="G48" i="72" s="1"/>
  <c r="G48" i="73" s="1"/>
  <c r="G48" i="74" s="1"/>
  <c r="G48" i="43" s="1"/>
  <c r="G48" i="44" s="1"/>
  <c r="G58" i="55"/>
  <c r="G58" i="56" s="1"/>
  <c r="G58" i="57" s="1"/>
  <c r="G58" i="58" s="1"/>
  <c r="G58" i="59" s="1"/>
  <c r="G58" i="60" s="1"/>
  <c r="G58" i="61" s="1"/>
  <c r="G58" i="62" s="1"/>
  <c r="G58" i="63" s="1"/>
  <c r="G58" i="64" s="1"/>
  <c r="G58" i="65" s="1"/>
  <c r="G58" i="66" s="1"/>
  <c r="G58" i="67" s="1"/>
  <c r="G58" i="68" s="1"/>
  <c r="G58" i="69" s="1"/>
  <c r="G58" i="70" s="1"/>
  <c r="G58" i="71" s="1"/>
  <c r="G58" i="72" s="1"/>
  <c r="G58" i="73" s="1"/>
  <c r="G58" i="74" s="1"/>
  <c r="G58" i="43" s="1"/>
  <c r="G58" i="44" s="1"/>
  <c r="C14" i="56"/>
  <c r="C101" i="57"/>
  <c r="C14" i="58"/>
  <c r="C14" i="78"/>
  <c r="C49" i="56"/>
  <c r="C5" i="66"/>
  <c r="C14" i="73"/>
  <c r="C101" i="44"/>
  <c r="C100" i="44" s="1"/>
  <c r="C49" i="49"/>
  <c r="G9" i="55"/>
  <c r="C49" i="55"/>
  <c r="G54" i="55"/>
  <c r="G54" i="56" s="1"/>
  <c r="G54" i="57" s="1"/>
  <c r="G54" i="58" s="1"/>
  <c r="G54" i="59" s="1"/>
  <c r="G54" i="60" s="1"/>
  <c r="G54" i="61" s="1"/>
  <c r="G54" i="62" s="1"/>
  <c r="G54" i="63" s="1"/>
  <c r="G54" i="64" s="1"/>
  <c r="G54" i="65" s="1"/>
  <c r="G54" i="66" s="1"/>
  <c r="G54" i="67" s="1"/>
  <c r="G54" i="68" s="1"/>
  <c r="G54" i="69" s="1"/>
  <c r="G54" i="70" s="1"/>
  <c r="G54" i="71" s="1"/>
  <c r="G54" i="72" s="1"/>
  <c r="G54" i="73" s="1"/>
  <c r="G54" i="74" s="1"/>
  <c r="G54" i="43" s="1"/>
  <c r="F23" i="65"/>
  <c r="C101" i="72"/>
  <c r="C101" i="66"/>
  <c r="C101" i="68"/>
  <c r="C101" i="47"/>
  <c r="C101" i="55"/>
  <c r="C101" i="58"/>
  <c r="C101" i="56"/>
  <c r="C100" i="56" s="1"/>
  <c r="C101" i="49"/>
  <c r="C101" i="78"/>
  <c r="G101" i="54"/>
  <c r="L35" i="54"/>
  <c r="H35" i="55"/>
  <c r="K35" i="55"/>
  <c r="K35" i="56" s="1"/>
  <c r="K35" i="57" s="1"/>
  <c r="K35" i="58" s="1"/>
  <c r="K35" i="59" s="1"/>
  <c r="K35" i="60" s="1"/>
  <c r="K35" i="61" s="1"/>
  <c r="K35" i="62" s="1"/>
  <c r="K35" i="63" s="1"/>
  <c r="K35" i="64" s="1"/>
  <c r="K35" i="65" s="1"/>
  <c r="K35" i="66" s="1"/>
  <c r="K35" i="67" s="1"/>
  <c r="K35" i="68" s="1"/>
  <c r="K35" i="69" s="1"/>
  <c r="K35" i="70" s="1"/>
  <c r="K35" i="71" s="1"/>
  <c r="K35" i="72" s="1"/>
  <c r="K35" i="73" s="1"/>
  <c r="K35" i="74" s="1"/>
  <c r="K35" i="43" s="1"/>
  <c r="K35" i="44" s="1"/>
  <c r="K35" i="45" s="1"/>
  <c r="K35" i="46" s="1"/>
  <c r="K35" i="47" s="1"/>
  <c r="K35" i="48" s="1"/>
  <c r="K35" i="49" s="1"/>
  <c r="K35" i="50" s="1"/>
  <c r="K35" i="52" s="1"/>
  <c r="K35" i="78" s="1"/>
  <c r="L29" i="54"/>
  <c r="H29" i="55"/>
  <c r="L29" i="55" s="1"/>
  <c r="F23" i="56"/>
  <c r="F23" i="60"/>
  <c r="F23" i="57"/>
  <c r="H34" i="55"/>
  <c r="H34" i="56" s="1"/>
  <c r="H34" i="57" s="1"/>
  <c r="H34" i="58" s="1"/>
  <c r="H34" i="59" s="1"/>
  <c r="H34" i="60" s="1"/>
  <c r="H34" i="61" s="1"/>
  <c r="H34" i="62" s="1"/>
  <c r="H34" i="63" s="1"/>
  <c r="H34" i="64" s="1"/>
  <c r="H34" i="65" s="1"/>
  <c r="H34" i="66" s="1"/>
  <c r="H34" i="67" s="1"/>
  <c r="H34" i="68" s="1"/>
  <c r="H34" i="69" s="1"/>
  <c r="H34" i="70" s="1"/>
  <c r="H34" i="71" s="1"/>
  <c r="H34" i="72" s="1"/>
  <c r="H34" i="73" s="1"/>
  <c r="H34" i="74" s="1"/>
  <c r="H34" i="43" s="1"/>
  <c r="H34" i="44" s="1"/>
  <c r="H34" i="45" s="1"/>
  <c r="H34" i="46" s="1"/>
  <c r="H34" i="47" s="1"/>
  <c r="H34" i="48" s="1"/>
  <c r="H34" i="49" s="1"/>
  <c r="H34" i="50" s="1"/>
  <c r="H34" i="52" s="1"/>
  <c r="H34" i="78" s="1"/>
  <c r="F23" i="61"/>
  <c r="F23" i="52"/>
  <c r="L53" i="54"/>
  <c r="F23" i="54"/>
  <c r="F23" i="66"/>
  <c r="F23" i="47"/>
  <c r="F23" i="45"/>
  <c r="F23" i="64"/>
  <c r="F23" i="74"/>
  <c r="F23" i="71"/>
  <c r="F23" i="67"/>
  <c r="F23" i="69"/>
  <c r="F23" i="43"/>
  <c r="F23" i="46"/>
  <c r="F23" i="62"/>
  <c r="F23" i="73"/>
  <c r="F23" i="68"/>
  <c r="F23" i="72"/>
  <c r="F23" i="78"/>
  <c r="F23" i="70"/>
  <c r="F23" i="49"/>
  <c r="F23" i="50"/>
  <c r="H27" i="55"/>
  <c r="H27" i="56" s="1"/>
  <c r="H27" i="57" s="1"/>
  <c r="H27" i="58" s="1"/>
  <c r="H27" i="59" s="1"/>
  <c r="H27" i="60" s="1"/>
  <c r="H27" i="61" s="1"/>
  <c r="H27" i="62" s="1"/>
  <c r="H27" i="63" s="1"/>
  <c r="H27" i="64" s="1"/>
  <c r="H27" i="65" s="1"/>
  <c r="H27" i="66" s="1"/>
  <c r="H27" i="67" s="1"/>
  <c r="H27" i="68" s="1"/>
  <c r="H27" i="69" s="1"/>
  <c r="H27" i="70" s="1"/>
  <c r="H27" i="71" s="1"/>
  <c r="H27" i="72" s="1"/>
  <c r="H27" i="73" s="1"/>
  <c r="H27" i="74" s="1"/>
  <c r="H27" i="43" s="1"/>
  <c r="H27" i="44" s="1"/>
  <c r="H27" i="45" s="1"/>
  <c r="H27" i="46" s="1"/>
  <c r="H27" i="47" s="1"/>
  <c r="H27" i="48" s="1"/>
  <c r="H27" i="49" s="1"/>
  <c r="H27" i="50" s="1"/>
  <c r="H27" i="52" s="1"/>
  <c r="H27" i="78" s="1"/>
  <c r="F23" i="58"/>
  <c r="F23" i="59"/>
  <c r="F23" i="63"/>
  <c r="F23" i="44"/>
  <c r="O131" i="47"/>
  <c r="AG28" i="76" s="1"/>
  <c r="H30" i="54"/>
  <c r="I30" i="54" s="1"/>
  <c r="H31" i="55"/>
  <c r="H31" i="56" s="1"/>
  <c r="H31" i="57" s="1"/>
  <c r="H25" i="54"/>
  <c r="H25" i="55" s="1"/>
  <c r="H25" i="56" s="1"/>
  <c r="H25" i="57" s="1"/>
  <c r="H25" i="58" s="1"/>
  <c r="H25" i="59" s="1"/>
  <c r="H25" i="60" s="1"/>
  <c r="H25" i="61" s="1"/>
  <c r="H25" i="62" s="1"/>
  <c r="H25" i="63" s="1"/>
  <c r="H25" i="64" s="1"/>
  <c r="H25" i="65" s="1"/>
  <c r="H25" i="66" s="1"/>
  <c r="H25" i="67" s="1"/>
  <c r="H25" i="68" s="1"/>
  <c r="H25" i="69" s="1"/>
  <c r="H25" i="70" s="1"/>
  <c r="H25" i="71" s="1"/>
  <c r="H25" i="72" s="1"/>
  <c r="H25" i="73" s="1"/>
  <c r="H25" i="74" s="1"/>
  <c r="H25" i="43" s="1"/>
  <c r="H25" i="44" s="1"/>
  <c r="H25" i="45" s="1"/>
  <c r="H25" i="46" s="1"/>
  <c r="H25" i="47" s="1"/>
  <c r="H25" i="48" s="1"/>
  <c r="H25" i="49" s="1"/>
  <c r="H25" i="50" s="1"/>
  <c r="H25" i="52" s="1"/>
  <c r="H25" i="78" s="1"/>
  <c r="H26" i="55"/>
  <c r="H26" i="56" s="1"/>
  <c r="H26" i="57" s="1"/>
  <c r="H26" i="58" s="1"/>
  <c r="H26" i="59" s="1"/>
  <c r="H26" i="60" s="1"/>
  <c r="H26" i="61" s="1"/>
  <c r="H26" i="62" s="1"/>
  <c r="H26" i="63" s="1"/>
  <c r="H26" i="64" s="1"/>
  <c r="H26" i="65" s="1"/>
  <c r="H26" i="66" s="1"/>
  <c r="H26" i="67" s="1"/>
  <c r="H26" i="68" s="1"/>
  <c r="H26" i="69" s="1"/>
  <c r="H26" i="70" s="1"/>
  <c r="H26" i="71" s="1"/>
  <c r="H26" i="72" s="1"/>
  <c r="H26" i="73" s="1"/>
  <c r="H26" i="74" s="1"/>
  <c r="H26" i="43" s="1"/>
  <c r="H26" i="44" s="1"/>
  <c r="H26" i="45" s="1"/>
  <c r="H26" i="46" s="1"/>
  <c r="H26" i="47" s="1"/>
  <c r="H26" i="48" s="1"/>
  <c r="H26" i="49" s="1"/>
  <c r="H26" i="50" s="1"/>
  <c r="H26" i="52" s="1"/>
  <c r="H26" i="78" s="1"/>
  <c r="F23" i="55"/>
  <c r="H33" i="55"/>
  <c r="H33" i="56" s="1"/>
  <c r="H33" i="57" s="1"/>
  <c r="H33" i="58" s="1"/>
  <c r="H33" i="59" s="1"/>
  <c r="H33" i="60" s="1"/>
  <c r="H33" i="61" s="1"/>
  <c r="H33" i="62" s="1"/>
  <c r="H33" i="63" s="1"/>
  <c r="H33" i="64" s="1"/>
  <c r="H33" i="65" s="1"/>
  <c r="H33" i="66" s="1"/>
  <c r="H33" i="67" s="1"/>
  <c r="H33" i="68" s="1"/>
  <c r="H33" i="69" s="1"/>
  <c r="H33" i="70" s="1"/>
  <c r="H33" i="71" s="1"/>
  <c r="H33" i="72" s="1"/>
  <c r="H33" i="73" s="1"/>
  <c r="H33" i="74" s="1"/>
  <c r="H33" i="43" s="1"/>
  <c r="H33" i="44" s="1"/>
  <c r="H33" i="45" s="1"/>
  <c r="H33" i="46" s="1"/>
  <c r="H33" i="47" s="1"/>
  <c r="H33" i="48" s="1"/>
  <c r="H33" i="49" s="1"/>
  <c r="H33" i="50" s="1"/>
  <c r="H33" i="52" s="1"/>
  <c r="H33" i="78" s="1"/>
  <c r="H32" i="55"/>
  <c r="H32" i="56" s="1"/>
  <c r="H32" i="57" s="1"/>
  <c r="H32" i="58" s="1"/>
  <c r="H32" i="59" s="1"/>
  <c r="H32" i="60" s="1"/>
  <c r="H32" i="61" s="1"/>
  <c r="H32" i="62" s="1"/>
  <c r="H32" i="63" s="1"/>
  <c r="H32" i="64" s="1"/>
  <c r="H32" i="65" s="1"/>
  <c r="H32" i="66" s="1"/>
  <c r="H32" i="67" s="1"/>
  <c r="H32" i="68" s="1"/>
  <c r="H32" i="69" s="1"/>
  <c r="H32" i="70" s="1"/>
  <c r="H32" i="71" s="1"/>
  <c r="H32" i="72" s="1"/>
  <c r="H32" i="73" s="1"/>
  <c r="H32" i="74" s="1"/>
  <c r="H32" i="43" s="1"/>
  <c r="H32" i="44" s="1"/>
  <c r="H32" i="45" s="1"/>
  <c r="H32" i="46" s="1"/>
  <c r="H32" i="47" s="1"/>
  <c r="H32" i="48" s="1"/>
  <c r="H32" i="49" s="1"/>
  <c r="H32" i="50" s="1"/>
  <c r="H32" i="52" s="1"/>
  <c r="H32" i="78" s="1"/>
  <c r="H24" i="55"/>
  <c r="J72" i="63"/>
  <c r="O131" i="67"/>
  <c r="AG16" i="76" s="1"/>
  <c r="J72" i="78"/>
  <c r="O131" i="64"/>
  <c r="AG13" i="76" s="1"/>
  <c r="J72" i="70"/>
  <c r="J72" i="44"/>
  <c r="O131" i="61"/>
  <c r="AG10" i="76" s="1"/>
  <c r="O131" i="73"/>
  <c r="AG22" i="76" s="1"/>
  <c r="J72" i="54"/>
  <c r="K72" i="54" s="1"/>
  <c r="J72" i="45"/>
  <c r="O131" i="69"/>
  <c r="AG18" i="76" s="1"/>
  <c r="H102" i="54"/>
  <c r="I102" i="54" s="1"/>
  <c r="O131" i="56"/>
  <c r="AG5" i="76" s="1"/>
  <c r="J72" i="56"/>
  <c r="O131" i="60"/>
  <c r="AG9" i="76" s="1"/>
  <c r="J72" i="60"/>
  <c r="O131" i="74"/>
  <c r="AG23" i="76" s="1"/>
  <c r="J72" i="74"/>
  <c r="O131" i="55"/>
  <c r="AG4" i="76" s="1"/>
  <c r="J72" i="55"/>
  <c r="K69" i="54"/>
  <c r="O131" i="57"/>
  <c r="AG6" i="76" s="1"/>
  <c r="J72" i="57"/>
  <c r="O131" i="52"/>
  <c r="AG32" i="76" s="1"/>
  <c r="K66" i="63"/>
  <c r="K66" i="64" s="1"/>
  <c r="K66" i="65" s="1"/>
  <c r="K66" i="66" s="1"/>
  <c r="K66" i="67" s="1"/>
  <c r="K66" i="68" s="1"/>
  <c r="K66" i="69" s="1"/>
  <c r="K66" i="70" s="1"/>
  <c r="K66" i="71" s="1"/>
  <c r="K66" i="72" s="1"/>
  <c r="K66" i="73" s="1"/>
  <c r="K66" i="74" s="1"/>
  <c r="K66" i="43" s="1"/>
  <c r="K66" i="44" s="1"/>
  <c r="K66" i="45" s="1"/>
  <c r="K66" i="46" s="1"/>
  <c r="K66" i="47" s="1"/>
  <c r="K66" i="48" s="1"/>
  <c r="K66" i="49" s="1"/>
  <c r="K66" i="50" s="1"/>
  <c r="K66" i="52" s="1"/>
  <c r="K66" i="78" s="1"/>
  <c r="J72" i="50"/>
  <c r="O131" i="46"/>
  <c r="AG27" i="76" s="1"/>
  <c r="J72" i="72"/>
  <c r="K28" i="56"/>
  <c r="K28" i="57" s="1"/>
  <c r="K28" i="58" s="1"/>
  <c r="K28" i="59" s="1"/>
  <c r="K28" i="60" s="1"/>
  <c r="K28" i="61" s="1"/>
  <c r="K28" i="62" s="1"/>
  <c r="K28" i="63" s="1"/>
  <c r="K28" i="64" s="1"/>
  <c r="K28" i="65" s="1"/>
  <c r="K28" i="66" s="1"/>
  <c r="K28" i="67" s="1"/>
  <c r="K28" i="68" s="1"/>
  <c r="K28" i="69" s="1"/>
  <c r="K28" i="70" s="1"/>
  <c r="K28" i="71" s="1"/>
  <c r="K28" i="72" s="1"/>
  <c r="K28" i="73" s="1"/>
  <c r="K28" i="74" s="1"/>
  <c r="K28" i="43" s="1"/>
  <c r="K28" i="44" s="1"/>
  <c r="K28" i="45" s="1"/>
  <c r="K28" i="46" s="1"/>
  <c r="K28" i="47" s="1"/>
  <c r="K28" i="48" s="1"/>
  <c r="K28" i="49" s="1"/>
  <c r="K28" i="50" s="1"/>
  <c r="K28" i="52" s="1"/>
  <c r="K28" i="78" s="1"/>
  <c r="L28" i="55"/>
  <c r="G110" i="54"/>
  <c r="K15" i="55"/>
  <c r="L28" i="54"/>
  <c r="G101" i="55"/>
  <c r="D53" i="57"/>
  <c r="L53" i="57" s="1"/>
  <c r="D53" i="59"/>
  <c r="O131" i="68"/>
  <c r="AG17" i="76" s="1"/>
  <c r="H70" i="54"/>
  <c r="F102" i="43"/>
  <c r="F102" i="48"/>
  <c r="F102" i="56"/>
  <c r="F102" i="62"/>
  <c r="F102" i="67"/>
  <c r="AG3" i="76"/>
  <c r="O132" i="54"/>
  <c r="J72" i="71"/>
  <c r="O131" i="71"/>
  <c r="J72" i="59"/>
  <c r="O131" i="59"/>
  <c r="O131" i="62"/>
  <c r="H40" i="54"/>
  <c r="H40" i="55" s="1"/>
  <c r="H40" i="56" s="1"/>
  <c r="H40" i="57" s="1"/>
  <c r="H40" i="58" s="1"/>
  <c r="H40" i="59" s="1"/>
  <c r="H40" i="60" s="1"/>
  <c r="H40" i="61" s="1"/>
  <c r="H40" i="62" s="1"/>
  <c r="H40" i="63" s="1"/>
  <c r="H40" i="64" s="1"/>
  <c r="H40" i="65" s="1"/>
  <c r="H40" i="66" s="1"/>
  <c r="H40" i="67" s="1"/>
  <c r="H40" i="68" s="1"/>
  <c r="H40" i="69" s="1"/>
  <c r="H40" i="70" s="1"/>
  <c r="H40" i="71" s="1"/>
  <c r="H40" i="72" s="1"/>
  <c r="H40" i="73" s="1"/>
  <c r="H40" i="74" s="1"/>
  <c r="H40" i="43" s="1"/>
  <c r="H40" i="44" s="1"/>
  <c r="H40" i="45" s="1"/>
  <c r="H40" i="46" s="1"/>
  <c r="H40" i="47" s="1"/>
  <c r="H40" i="48" s="1"/>
  <c r="H40" i="49" s="1"/>
  <c r="H40" i="50" s="1"/>
  <c r="H40" i="52" s="1"/>
  <c r="H40" i="78" s="1"/>
  <c r="O131" i="58"/>
  <c r="J72" i="58"/>
  <c r="O131" i="65"/>
  <c r="AG19" i="76"/>
  <c r="J72" i="66"/>
  <c r="O131" i="49"/>
  <c r="J72" i="49"/>
  <c r="AG25" i="76"/>
  <c r="AG31" i="76"/>
  <c r="AG24" i="76"/>
  <c r="J72" i="43"/>
  <c r="AG26" i="76"/>
  <c r="J72" i="48"/>
  <c r="O87" i="59"/>
  <c r="I87" i="58"/>
  <c r="J87" i="58" s="1"/>
  <c r="I47" i="52"/>
  <c r="H47" i="78"/>
  <c r="I47" i="78" s="1"/>
  <c r="L7" i="56"/>
  <c r="H7" i="57"/>
  <c r="I91" i="57"/>
  <c r="J91" i="57" s="1"/>
  <c r="O91" i="58"/>
  <c r="K64" i="58"/>
  <c r="AC4" i="76"/>
  <c r="G21" i="55"/>
  <c r="G21" i="56" s="1"/>
  <c r="G21" i="57" s="1"/>
  <c r="G21" i="58" s="1"/>
  <c r="G21" i="59" s="1"/>
  <c r="G21" i="60" s="1"/>
  <c r="G21" i="61" s="1"/>
  <c r="G21" i="62" s="1"/>
  <c r="G21" i="63" s="1"/>
  <c r="G21" i="64" s="1"/>
  <c r="G21" i="65" s="1"/>
  <c r="G21" i="66" s="1"/>
  <c r="G21" i="67" s="1"/>
  <c r="G21" i="68" s="1"/>
  <c r="G21" i="69" s="1"/>
  <c r="G21" i="70" s="1"/>
  <c r="G21" i="71" s="1"/>
  <c r="G21" i="72" s="1"/>
  <c r="G21" i="73" s="1"/>
  <c r="G21" i="74" s="1"/>
  <c r="G21" i="43" s="1"/>
  <c r="G21" i="44" s="1"/>
  <c r="G21" i="45" s="1"/>
  <c r="G21" i="46" s="1"/>
  <c r="G21" i="47" s="1"/>
  <c r="G21" i="48" s="1"/>
  <c r="G21" i="49" s="1"/>
  <c r="G21" i="50" s="1"/>
  <c r="G21" i="52" s="1"/>
  <c r="G21" i="78" s="1"/>
  <c r="M85" i="58"/>
  <c r="K85" i="59"/>
  <c r="C14" i="55"/>
  <c r="C100" i="55"/>
  <c r="H53" i="57"/>
  <c r="K65" i="57"/>
  <c r="K65" i="58" s="1"/>
  <c r="K65" i="59" s="1"/>
  <c r="K65" i="60" s="1"/>
  <c r="K65" i="61" s="1"/>
  <c r="K65" i="62" s="1"/>
  <c r="K65" i="63" s="1"/>
  <c r="K65" i="64" s="1"/>
  <c r="K65" i="65" s="1"/>
  <c r="K65" i="66" s="1"/>
  <c r="K65" i="67" s="1"/>
  <c r="K65" i="68" s="1"/>
  <c r="K65" i="69" s="1"/>
  <c r="K65" i="70" s="1"/>
  <c r="K65" i="71" s="1"/>
  <c r="K65" i="72" s="1"/>
  <c r="K65" i="73" s="1"/>
  <c r="K65" i="74" s="1"/>
  <c r="K65" i="43" s="1"/>
  <c r="K65" i="44" s="1"/>
  <c r="K65" i="45" s="1"/>
  <c r="K65" i="46" s="1"/>
  <c r="K65" i="47" s="1"/>
  <c r="K65" i="48" s="1"/>
  <c r="K65" i="49" s="1"/>
  <c r="K65" i="50" s="1"/>
  <c r="K65" i="52" s="1"/>
  <c r="K65" i="78" s="1"/>
  <c r="K86" i="56"/>
  <c r="M86" i="56" s="1"/>
  <c r="K86" i="57"/>
  <c r="M86" i="55"/>
  <c r="I91" i="56"/>
  <c r="J91" i="56" s="1"/>
  <c r="G56" i="57"/>
  <c r="G56" i="58" s="1"/>
  <c r="G56" i="59" s="1"/>
  <c r="G56" i="60" s="1"/>
  <c r="G56" i="61" s="1"/>
  <c r="G56" i="62" s="1"/>
  <c r="G56" i="63" s="1"/>
  <c r="G56" i="64" s="1"/>
  <c r="G56" i="65" s="1"/>
  <c r="G56" i="66" s="1"/>
  <c r="G56" i="67" s="1"/>
  <c r="G56" i="68" s="1"/>
  <c r="G56" i="69" s="1"/>
  <c r="G56" i="70" s="1"/>
  <c r="G56" i="71" s="1"/>
  <c r="G56" i="72" s="1"/>
  <c r="G56" i="73" s="1"/>
  <c r="G56" i="74" s="1"/>
  <c r="G56" i="43" s="1"/>
  <c r="M85" i="57"/>
  <c r="E14" i="55"/>
  <c r="H73" i="57"/>
  <c r="L73" i="56"/>
  <c r="L86" i="57"/>
  <c r="L86" i="58" s="1"/>
  <c r="L86" i="59" s="1"/>
  <c r="L86" i="60" s="1"/>
  <c r="L86" i="61" s="1"/>
  <c r="L86" i="62" s="1"/>
  <c r="L86" i="63" s="1"/>
  <c r="L86" i="64" s="1"/>
  <c r="L86" i="65" s="1"/>
  <c r="L86" i="66" s="1"/>
  <c r="L86" i="67" s="1"/>
  <c r="L86" i="68" s="1"/>
  <c r="L86" i="69" s="1"/>
  <c r="L86" i="70" s="1"/>
  <c r="L86" i="71" s="1"/>
  <c r="L86" i="72" s="1"/>
  <c r="L86" i="73" s="1"/>
  <c r="L86" i="74" s="1"/>
  <c r="L86" i="43" s="1"/>
  <c r="L86" i="44" s="1"/>
  <c r="L86" i="45" s="1"/>
  <c r="L86" i="46" s="1"/>
  <c r="L86" i="47" s="1"/>
  <c r="L86" i="48" s="1"/>
  <c r="L86" i="49" s="1"/>
  <c r="L86" i="50" s="1"/>
  <c r="L86" i="52" s="1"/>
  <c r="L86" i="78" s="1"/>
  <c r="S86" i="78" s="1"/>
  <c r="L86" i="56"/>
  <c r="K50" i="61"/>
  <c r="I88" i="57"/>
  <c r="J88" i="57" s="1"/>
  <c r="O88" i="58"/>
  <c r="G16" i="56"/>
  <c r="G16" i="57" s="1"/>
  <c r="G16" i="58" s="1"/>
  <c r="G16" i="59" s="1"/>
  <c r="G16" i="60" s="1"/>
  <c r="G16" i="61" s="1"/>
  <c r="G16" i="62" s="1"/>
  <c r="G16" i="63" s="1"/>
  <c r="G16" i="64" s="1"/>
  <c r="G16" i="65" s="1"/>
  <c r="G16" i="66" s="1"/>
  <c r="G16" i="67" s="1"/>
  <c r="G16" i="68" s="1"/>
  <c r="G16" i="69" s="1"/>
  <c r="G16" i="70" s="1"/>
  <c r="G16" i="71" s="1"/>
  <c r="G16" i="72" s="1"/>
  <c r="G16" i="73" s="1"/>
  <c r="G16" i="74" s="1"/>
  <c r="AB4" i="76"/>
  <c r="G19" i="55"/>
  <c r="G19" i="56" s="1"/>
  <c r="G19" i="57" s="1"/>
  <c r="G19" i="58" s="1"/>
  <c r="G19" i="59" s="1"/>
  <c r="G19" i="60" s="1"/>
  <c r="G19" i="61" s="1"/>
  <c r="G19" i="62" s="1"/>
  <c r="G19" i="63" s="1"/>
  <c r="G19" i="64" s="1"/>
  <c r="G19" i="65" s="1"/>
  <c r="G19" i="66" s="1"/>
  <c r="G19" i="67" s="1"/>
  <c r="G19" i="68" s="1"/>
  <c r="G19" i="69" s="1"/>
  <c r="G19" i="70" s="1"/>
  <c r="G19" i="71" s="1"/>
  <c r="G19" i="72" s="1"/>
  <c r="G19" i="73" s="1"/>
  <c r="G19" i="74" s="1"/>
  <c r="G19" i="43" s="1"/>
  <c r="G19" i="44" s="1"/>
  <c r="G19" i="45" s="1"/>
  <c r="G19" i="46" s="1"/>
  <c r="G19" i="47" s="1"/>
  <c r="G19" i="48" s="1"/>
  <c r="G19" i="49" s="1"/>
  <c r="G19" i="50" s="1"/>
  <c r="G19" i="52" s="1"/>
  <c r="G19" i="78" s="1"/>
  <c r="G49" i="56"/>
  <c r="G50" i="57"/>
  <c r="H6" i="60"/>
  <c r="H15" i="57"/>
  <c r="K87" i="59"/>
  <c r="H61" i="57"/>
  <c r="I15" i="56"/>
  <c r="L85" i="46"/>
  <c r="L85" i="45"/>
  <c r="L8" i="59"/>
  <c r="G105" i="57"/>
  <c r="G105" i="58" s="1"/>
  <c r="G105" i="59" s="1"/>
  <c r="G105" i="60" s="1"/>
  <c r="G105" i="61" s="1"/>
  <c r="G105" i="62" s="1"/>
  <c r="G105" i="63" s="1"/>
  <c r="G105" i="64" s="1"/>
  <c r="G105" i="65" s="1"/>
  <c r="G105" i="66" s="1"/>
  <c r="G105" i="67" s="1"/>
  <c r="G105" i="68" s="1"/>
  <c r="G105" i="69" s="1"/>
  <c r="G105" i="70" s="1"/>
  <c r="G105" i="71" s="1"/>
  <c r="G105" i="72" s="1"/>
  <c r="G105" i="73" s="1"/>
  <c r="G105" i="74" s="1"/>
  <c r="G105" i="43" s="1"/>
  <c r="G105" i="44" s="1"/>
  <c r="G105" i="45" s="1"/>
  <c r="G105" i="46" s="1"/>
  <c r="G105" i="47" s="1"/>
  <c r="G105" i="48" s="1"/>
  <c r="G105" i="49" s="1"/>
  <c r="G105" i="50" s="1"/>
  <c r="G105" i="52" s="1"/>
  <c r="G105" i="78" s="1"/>
  <c r="G44" i="56"/>
  <c r="L8" i="60"/>
  <c r="H8" i="61"/>
  <c r="I57" i="55"/>
  <c r="I88" i="56"/>
  <c r="J88" i="56" s="1"/>
  <c r="G111" i="58"/>
  <c r="G101" i="56"/>
  <c r="G102" i="57"/>
  <c r="H56" i="58"/>
  <c r="I87" i="57"/>
  <c r="J87" i="57" s="1"/>
  <c r="K6" i="58"/>
  <c r="L35" i="55"/>
  <c r="H35" i="56"/>
  <c r="I86" i="56"/>
  <c r="J86" i="56" s="1"/>
  <c r="H28" i="57"/>
  <c r="G15" i="58"/>
  <c r="J81" i="61"/>
  <c r="E81" i="61"/>
  <c r="I50" i="56"/>
  <c r="O86" i="57"/>
  <c r="I86" i="55"/>
  <c r="J86" i="55" s="1"/>
  <c r="I88" i="55"/>
  <c r="J88" i="55" s="1"/>
  <c r="H60" i="56"/>
  <c r="H60" i="57" s="1"/>
  <c r="H60" i="58" s="1"/>
  <c r="G112" i="56"/>
  <c r="G112" i="57" s="1"/>
  <c r="G112" i="58" s="1"/>
  <c r="G112" i="59" s="1"/>
  <c r="G112" i="60" s="1"/>
  <c r="G112" i="61" s="1"/>
  <c r="G112" i="62" s="1"/>
  <c r="G112" i="63" s="1"/>
  <c r="G112" i="64" s="1"/>
  <c r="G112" i="65" s="1"/>
  <c r="G112" i="66" s="1"/>
  <c r="G112" i="67" s="1"/>
  <c r="G112" i="68" s="1"/>
  <c r="G112" i="69" s="1"/>
  <c r="G112" i="70" s="1"/>
  <c r="G112" i="71" s="1"/>
  <c r="G112" i="72" s="1"/>
  <c r="G112" i="73" s="1"/>
  <c r="G112" i="74" s="1"/>
  <c r="G112" i="43" s="1"/>
  <c r="G112" i="44" s="1"/>
  <c r="G112" i="45" s="1"/>
  <c r="G112" i="46" s="1"/>
  <c r="G112" i="47" s="1"/>
  <c r="G112" i="48" s="1"/>
  <c r="G112" i="49" s="1"/>
  <c r="G112" i="50" s="1"/>
  <c r="G112" i="52" s="1"/>
  <c r="G112" i="78" s="1"/>
  <c r="I50" i="55"/>
  <c r="G110" i="55"/>
  <c r="O85" i="56"/>
  <c r="C110" i="60"/>
  <c r="M88" i="58"/>
  <c r="K88" i="59"/>
  <c r="K87" i="56"/>
  <c r="M87" i="56" s="1"/>
  <c r="J81" i="57"/>
  <c r="E81" i="57"/>
  <c r="I53" i="55"/>
  <c r="C14" i="59"/>
  <c r="C101" i="59"/>
  <c r="C100" i="59" s="1"/>
  <c r="C49" i="61"/>
  <c r="I91" i="55"/>
  <c r="J91" i="55" s="1"/>
  <c r="G115" i="56"/>
  <c r="G115" i="57" s="1"/>
  <c r="G115" i="58" s="1"/>
  <c r="G115" i="59" s="1"/>
  <c r="G115" i="60" s="1"/>
  <c r="G115" i="61" s="1"/>
  <c r="G115" i="62" s="1"/>
  <c r="G115" i="63" s="1"/>
  <c r="G115" i="64" s="1"/>
  <c r="G115" i="65" s="1"/>
  <c r="G115" i="66" s="1"/>
  <c r="G115" i="67" s="1"/>
  <c r="G115" i="68" s="1"/>
  <c r="G115" i="69" s="1"/>
  <c r="G115" i="70" s="1"/>
  <c r="G115" i="71" s="1"/>
  <c r="G115" i="72" s="1"/>
  <c r="G115" i="73" s="1"/>
  <c r="G115" i="74" s="1"/>
  <c r="G115" i="43" s="1"/>
  <c r="G115" i="44" s="1"/>
  <c r="G115" i="45" s="1"/>
  <c r="G115" i="46" s="1"/>
  <c r="G115" i="47" s="1"/>
  <c r="G115" i="48" s="1"/>
  <c r="G115" i="49" s="1"/>
  <c r="G115" i="50" s="1"/>
  <c r="G115" i="52" s="1"/>
  <c r="G115" i="78" s="1"/>
  <c r="I87" i="55"/>
  <c r="J87" i="55" s="1"/>
  <c r="H57" i="56"/>
  <c r="G120" i="56"/>
  <c r="G120" i="57" s="1"/>
  <c r="G120" i="58" s="1"/>
  <c r="G120" i="59" s="1"/>
  <c r="G120" i="60" s="1"/>
  <c r="G120" i="61" s="1"/>
  <c r="G120" i="62" s="1"/>
  <c r="G120" i="63" s="1"/>
  <c r="G120" i="64" s="1"/>
  <c r="G120" i="65" s="1"/>
  <c r="G120" i="66" s="1"/>
  <c r="G120" i="67" s="1"/>
  <c r="G120" i="68" s="1"/>
  <c r="G120" i="69" s="1"/>
  <c r="G120" i="70" s="1"/>
  <c r="G120" i="71" s="1"/>
  <c r="G120" i="72" s="1"/>
  <c r="G120" i="73" s="1"/>
  <c r="G120" i="74" s="1"/>
  <c r="G120" i="43" s="1"/>
  <c r="G120" i="44" s="1"/>
  <c r="G120" i="45" s="1"/>
  <c r="G120" i="46" s="1"/>
  <c r="G120" i="47" s="1"/>
  <c r="G120" i="48" s="1"/>
  <c r="G120" i="49" s="1"/>
  <c r="G120" i="50" s="1"/>
  <c r="G120" i="52" s="1"/>
  <c r="G120" i="78" s="1"/>
  <c r="H50" i="57"/>
  <c r="C110" i="57"/>
  <c r="C100" i="57" s="1"/>
  <c r="L87" i="57"/>
  <c r="L87" i="58" s="1"/>
  <c r="L87" i="59" s="1"/>
  <c r="L87" i="60" s="1"/>
  <c r="L87" i="61" s="1"/>
  <c r="L87" i="62" s="1"/>
  <c r="L87" i="63" s="1"/>
  <c r="L87" i="64" s="1"/>
  <c r="L87" i="65" s="1"/>
  <c r="L87" i="66" s="1"/>
  <c r="L87" i="67" s="1"/>
  <c r="L87" i="68" s="1"/>
  <c r="L87" i="69" s="1"/>
  <c r="L87" i="70" s="1"/>
  <c r="L87" i="71" s="1"/>
  <c r="L87" i="72" s="1"/>
  <c r="L87" i="73" s="1"/>
  <c r="L87" i="74" s="1"/>
  <c r="L87" i="43" s="1"/>
  <c r="L87" i="44" s="1"/>
  <c r="L87" i="45" s="1"/>
  <c r="L87" i="46" s="1"/>
  <c r="L87" i="47" s="1"/>
  <c r="L87" i="48" s="1"/>
  <c r="L87" i="49" s="1"/>
  <c r="L87" i="50" s="1"/>
  <c r="L87" i="52" s="1"/>
  <c r="L87" i="78" s="1"/>
  <c r="S87" i="78" s="1"/>
  <c r="L87" i="56"/>
  <c r="M91" i="55"/>
  <c r="J81" i="58"/>
  <c r="E81" i="58"/>
  <c r="C110" i="58"/>
  <c r="G6" i="60"/>
  <c r="M87" i="55"/>
  <c r="C5" i="60"/>
  <c r="K91" i="59"/>
  <c r="C101" i="60"/>
  <c r="C100" i="60" s="1"/>
  <c r="C101" i="61"/>
  <c r="C101" i="62"/>
  <c r="C100" i="62" s="1"/>
  <c r="K67" i="63"/>
  <c r="K67" i="64" s="1"/>
  <c r="K67" i="65" s="1"/>
  <c r="K67" i="66" s="1"/>
  <c r="K67" i="67" s="1"/>
  <c r="K67" i="68" s="1"/>
  <c r="K67" i="69" s="1"/>
  <c r="K67" i="70" s="1"/>
  <c r="K67" i="71" s="1"/>
  <c r="K67" i="72" s="1"/>
  <c r="K67" i="73" s="1"/>
  <c r="K67" i="74" s="1"/>
  <c r="K67" i="43" s="1"/>
  <c r="K67" i="44" s="1"/>
  <c r="K67" i="45" s="1"/>
  <c r="K67" i="46" s="1"/>
  <c r="K67" i="47" s="1"/>
  <c r="K67" i="48" s="1"/>
  <c r="K67" i="49" s="1"/>
  <c r="K67" i="50" s="1"/>
  <c r="K67" i="52" s="1"/>
  <c r="K67" i="78" s="1"/>
  <c r="C14" i="64"/>
  <c r="L53" i="55"/>
  <c r="E81" i="62"/>
  <c r="J81" i="62"/>
  <c r="C110" i="65"/>
  <c r="C110" i="64"/>
  <c r="C101" i="63"/>
  <c r="C100" i="63" s="1"/>
  <c r="C101" i="69"/>
  <c r="C14" i="62"/>
  <c r="E80" i="68"/>
  <c r="J80" i="68"/>
  <c r="J81" i="65"/>
  <c r="E81" i="65"/>
  <c r="C110" i="66"/>
  <c r="C100" i="66" s="1"/>
  <c r="E81" i="63"/>
  <c r="E80" i="62"/>
  <c r="E81" i="66"/>
  <c r="J80" i="71"/>
  <c r="E80" i="71"/>
  <c r="H64" i="66"/>
  <c r="H64" i="67" s="1"/>
  <c r="C101" i="67"/>
  <c r="C100" i="67" s="1"/>
  <c r="C5" i="68"/>
  <c r="C14" i="70"/>
  <c r="J81" i="70"/>
  <c r="C110" i="70"/>
  <c r="G15" i="45"/>
  <c r="E80" i="74"/>
  <c r="C101" i="70"/>
  <c r="C110" i="69"/>
  <c r="C110" i="71"/>
  <c r="C110" i="72"/>
  <c r="E81" i="73"/>
  <c r="C89" i="44"/>
  <c r="C54" i="45"/>
  <c r="E54" i="44"/>
  <c r="C5" i="73"/>
  <c r="C49" i="74"/>
  <c r="C14" i="43"/>
  <c r="C43" i="45"/>
  <c r="E43" i="44"/>
  <c r="C14" i="74"/>
  <c r="J80" i="72"/>
  <c r="E80" i="72"/>
  <c r="C101" i="73"/>
  <c r="C101" i="45"/>
  <c r="C100" i="45" s="1"/>
  <c r="C14" i="45"/>
  <c r="C90" i="44"/>
  <c r="G12" i="48"/>
  <c r="G12" i="49" s="1"/>
  <c r="G12" i="50" s="1"/>
  <c r="G12" i="52" s="1"/>
  <c r="G12" i="78" s="1"/>
  <c r="C110" i="43"/>
  <c r="C110" i="74"/>
  <c r="D73" i="46"/>
  <c r="D61" i="45"/>
  <c r="AA28" i="76"/>
  <c r="E14" i="47"/>
  <c r="G17" i="47"/>
  <c r="G17" i="48" s="1"/>
  <c r="G17" i="49" s="1"/>
  <c r="G17" i="50" s="1"/>
  <c r="G17" i="52" s="1"/>
  <c r="G17" i="78" s="1"/>
  <c r="C110" i="46"/>
  <c r="C100" i="46" s="1"/>
  <c r="E80" i="44"/>
  <c r="E53" i="45"/>
  <c r="C101" i="43"/>
  <c r="C100" i="43" s="1"/>
  <c r="C5" i="44"/>
  <c r="C15" i="47"/>
  <c r="C14" i="46"/>
  <c r="C5" i="45"/>
  <c r="C6" i="48"/>
  <c r="C5" i="48" s="1"/>
  <c r="C5" i="47"/>
  <c r="C53" i="47"/>
  <c r="E53" i="46"/>
  <c r="E56" i="45"/>
  <c r="C56" i="46"/>
  <c r="C44" i="46"/>
  <c r="E44" i="45"/>
  <c r="E53" i="44"/>
  <c r="E56" i="44"/>
  <c r="O85" i="49"/>
  <c r="I85" i="48"/>
  <c r="J85" i="48" s="1"/>
  <c r="E14" i="48"/>
  <c r="C57" i="47"/>
  <c r="E57" i="46"/>
  <c r="G51" i="47"/>
  <c r="G51" i="48" s="1"/>
  <c r="G51" i="49" s="1"/>
  <c r="G51" i="50" s="1"/>
  <c r="G51" i="52" s="1"/>
  <c r="G51" i="78" s="1"/>
  <c r="E49" i="47"/>
  <c r="D50" i="46"/>
  <c r="D15" i="48"/>
  <c r="C28" i="76"/>
  <c r="C34" i="76" s="1"/>
  <c r="F23" i="48"/>
  <c r="AC28" i="76"/>
  <c r="C38" i="48"/>
  <c r="E38" i="48" s="1"/>
  <c r="E38" i="47"/>
  <c r="AA29" i="76"/>
  <c r="K85" i="48"/>
  <c r="C101" i="48"/>
  <c r="C100" i="48" s="1"/>
  <c r="I85" i="47"/>
  <c r="J85" i="47" s="1"/>
  <c r="AB28" i="76"/>
  <c r="C110" i="47"/>
  <c r="C100" i="47" s="1"/>
  <c r="C110" i="49"/>
  <c r="AD29" i="76"/>
  <c r="G22" i="48"/>
  <c r="G22" i="49" s="1"/>
  <c r="G22" i="50" s="1"/>
  <c r="G22" i="52" s="1"/>
  <c r="G22" i="78" s="1"/>
  <c r="E80" i="52"/>
  <c r="J80" i="47"/>
  <c r="E80" i="47"/>
  <c r="C110" i="50"/>
  <c r="C110" i="52"/>
  <c r="E80" i="49"/>
  <c r="C110" i="78"/>
  <c r="V34" i="76"/>
  <c r="C101" i="50"/>
  <c r="C14" i="52"/>
  <c r="W34" i="76"/>
  <c r="C14" i="49"/>
  <c r="G30" i="83"/>
  <c r="G14" i="83"/>
  <c r="G23" i="83"/>
  <c r="G7" i="83"/>
  <c r="G32" i="83"/>
  <c r="G16" i="83"/>
  <c r="G25" i="83"/>
  <c r="G9" i="83"/>
  <c r="G34" i="83"/>
  <c r="G18" i="83"/>
  <c r="G27" i="83"/>
  <c r="G11" i="83"/>
  <c r="G20" i="83"/>
  <c r="G29" i="83"/>
  <c r="G13" i="83"/>
  <c r="G22" i="83"/>
  <c r="G6" i="83"/>
  <c r="G24" i="83"/>
  <c r="G8" i="83"/>
  <c r="G33" i="83"/>
  <c r="G26" i="83"/>
  <c r="L47" i="52"/>
  <c r="G21" i="83"/>
  <c r="G19" i="83"/>
  <c r="G35" i="83"/>
  <c r="Y34" i="76"/>
  <c r="E9" i="80"/>
  <c r="E27" i="80"/>
  <c r="I28" i="82"/>
  <c r="I12" i="82"/>
  <c r="I35" i="82"/>
  <c r="I19" i="82"/>
  <c r="I26" i="82"/>
  <c r="I10" i="82"/>
  <c r="I33" i="82"/>
  <c r="I17" i="82"/>
  <c r="I24" i="82"/>
  <c r="I8" i="82"/>
  <c r="I31" i="82"/>
  <c r="I15" i="82"/>
  <c r="I22" i="82"/>
  <c r="I6" i="82"/>
  <c r="I29" i="82"/>
  <c r="I13" i="82"/>
  <c r="I20" i="82"/>
  <c r="I34" i="82"/>
  <c r="I18" i="82"/>
  <c r="I25" i="82"/>
  <c r="I9" i="82"/>
  <c r="I14" i="82"/>
  <c r="I32" i="82"/>
  <c r="L47" i="78"/>
  <c r="K70" i="78"/>
  <c r="I27" i="82"/>
  <c r="E7" i="80"/>
  <c r="E25" i="80"/>
  <c r="G12" i="83"/>
  <c r="G17" i="83"/>
  <c r="E22" i="81"/>
  <c r="E6" i="81"/>
  <c r="E29" i="81"/>
  <c r="E13" i="81"/>
  <c r="E20" i="81"/>
  <c r="E27" i="81"/>
  <c r="E11" i="81"/>
  <c r="E34" i="81"/>
  <c r="E18" i="81"/>
  <c r="E25" i="81"/>
  <c r="E9" i="81"/>
  <c r="E32" i="81"/>
  <c r="E16" i="81"/>
  <c r="E23" i="81"/>
  <c r="E7" i="81"/>
  <c r="E30" i="81"/>
  <c r="E14" i="81"/>
  <c r="E28" i="81"/>
  <c r="E12" i="81"/>
  <c r="E35" i="81"/>
  <c r="E19" i="81"/>
  <c r="E24" i="81"/>
  <c r="E26" i="81"/>
  <c r="G15" i="83"/>
  <c r="I30" i="82"/>
  <c r="E20" i="80"/>
  <c r="E29" i="80"/>
  <c r="E13" i="80"/>
  <c r="E22" i="80"/>
  <c r="E6" i="80"/>
  <c r="E31" i="80"/>
  <c r="E15" i="80"/>
  <c r="E24" i="80"/>
  <c r="E8" i="80"/>
  <c r="E33" i="80"/>
  <c r="E17" i="80"/>
  <c r="E26" i="80"/>
  <c r="E10" i="80"/>
  <c r="E35" i="80"/>
  <c r="E19" i="80"/>
  <c r="E28" i="80"/>
  <c r="E12" i="80"/>
  <c r="E30" i="80"/>
  <c r="E14" i="80"/>
  <c r="E18" i="80"/>
  <c r="H67" i="52"/>
  <c r="H67" i="78" s="1"/>
  <c r="G14" i="80"/>
  <c r="G30" i="80"/>
  <c r="E20" i="83"/>
  <c r="I10" i="81"/>
  <c r="G12" i="81"/>
  <c r="I26" i="81"/>
  <c r="G28" i="81"/>
  <c r="G6" i="82"/>
  <c r="E8" i="82"/>
  <c r="G22" i="82"/>
  <c r="E24" i="82"/>
  <c r="G21" i="80"/>
  <c r="E11" i="83"/>
  <c r="E27" i="83"/>
  <c r="I19" i="81"/>
  <c r="G21" i="81"/>
  <c r="I35" i="81"/>
  <c r="G15" i="82"/>
  <c r="E17" i="82"/>
  <c r="G31" i="82"/>
  <c r="E33" i="82"/>
  <c r="E18" i="83"/>
  <c r="E34" i="83"/>
  <c r="I12" i="81"/>
  <c r="G14" i="81"/>
  <c r="I28" i="81"/>
  <c r="G30" i="81"/>
  <c r="G8" i="82"/>
  <c r="E10" i="82"/>
  <c r="G24" i="82"/>
  <c r="E26" i="82"/>
  <c r="I21" i="81"/>
  <c r="E19" i="82"/>
  <c r="E35" i="82"/>
  <c r="I14" i="81"/>
  <c r="I30" i="81"/>
  <c r="E12" i="82"/>
  <c r="E28" i="82"/>
  <c r="I7" i="81"/>
  <c r="I23" i="81"/>
  <c r="E21" i="82"/>
  <c r="I16" i="81"/>
  <c r="I32" i="81"/>
  <c r="E14" i="82"/>
  <c r="E30" i="82"/>
  <c r="E21" i="83"/>
  <c r="I9" i="81"/>
  <c r="I25" i="81"/>
  <c r="E7" i="82"/>
  <c r="G21" i="82"/>
  <c r="E23" i="82"/>
  <c r="G6" i="80"/>
  <c r="E12" i="83"/>
  <c r="I18" i="81"/>
  <c r="G14" i="82"/>
  <c r="E16" i="82"/>
  <c r="D56" i="49"/>
  <c r="D56" i="44"/>
  <c r="D56" i="50"/>
  <c r="D56" i="73"/>
  <c r="D56" i="78"/>
  <c r="D56" i="52"/>
  <c r="D56" i="71"/>
  <c r="D56" i="65"/>
  <c r="D56" i="72"/>
  <c r="D56" i="74"/>
  <c r="D56" i="70"/>
  <c r="D56" i="64"/>
  <c r="D56" i="62"/>
  <c r="D56" i="58"/>
  <c r="L56" i="58" s="1"/>
  <c r="D56" i="43"/>
  <c r="D56" i="61"/>
  <c r="D56" i="56"/>
  <c r="L56" i="56" s="1"/>
  <c r="D56" i="57"/>
  <c r="L56" i="57" s="1"/>
  <c r="D56" i="59"/>
  <c r="D56" i="69"/>
  <c r="D56" i="63"/>
  <c r="D56" i="55"/>
  <c r="L56" i="55" s="1"/>
  <c r="D56" i="68"/>
  <c r="L56" i="54"/>
  <c r="D56" i="67"/>
  <c r="D56" i="60"/>
  <c r="D53" i="61"/>
  <c r="D53" i="43"/>
  <c r="D53" i="52"/>
  <c r="D53" i="49"/>
  <c r="D53" i="44"/>
  <c r="D53" i="71"/>
  <c r="D53" i="65"/>
  <c r="D53" i="78"/>
  <c r="D53" i="50"/>
  <c r="D53" i="69"/>
  <c r="D53" i="68"/>
  <c r="D53" i="66"/>
  <c r="D53" i="73"/>
  <c r="D53" i="63"/>
  <c r="D53" i="70"/>
  <c r="D53" i="64"/>
  <c r="D53" i="62"/>
  <c r="D53" i="58"/>
  <c r="D53" i="67"/>
  <c r="D53" i="72"/>
  <c r="D53" i="56"/>
  <c r="L53" i="56" s="1"/>
  <c r="D53" i="60"/>
  <c r="D53" i="74"/>
  <c r="T4" i="76"/>
  <c r="X12" i="76"/>
  <c r="X30" i="76"/>
  <c r="K94" i="57" l="1"/>
  <c r="M94" i="57" s="1"/>
  <c r="M95" i="56"/>
  <c r="M94" i="55"/>
  <c r="I12" i="55"/>
  <c r="H12" i="56"/>
  <c r="H12" i="57" s="1"/>
  <c r="C100" i="74"/>
  <c r="G55" i="44"/>
  <c r="G55" i="45" s="1"/>
  <c r="C100" i="78"/>
  <c r="E48" i="45"/>
  <c r="C100" i="49"/>
  <c r="C58" i="48"/>
  <c r="E58" i="48" s="1"/>
  <c r="C100" i="73"/>
  <c r="G14" i="57"/>
  <c r="C100" i="72"/>
  <c r="C100" i="71"/>
  <c r="C100" i="52"/>
  <c r="E55" i="46"/>
  <c r="C100" i="68"/>
  <c r="G49" i="55"/>
  <c r="H29" i="56"/>
  <c r="H29" i="57" s="1"/>
  <c r="K94" i="58"/>
  <c r="M94" i="58" s="1"/>
  <c r="G53" i="57"/>
  <c r="G53" i="58" s="1"/>
  <c r="G53" i="59" s="1"/>
  <c r="G53" i="60" s="1"/>
  <c r="G53" i="61" s="1"/>
  <c r="G53" i="62" s="1"/>
  <c r="G53" i="63" s="1"/>
  <c r="G53" i="64" s="1"/>
  <c r="G53" i="65" s="1"/>
  <c r="G53" i="66" s="1"/>
  <c r="G53" i="67" s="1"/>
  <c r="G53" i="68" s="1"/>
  <c r="G53" i="69" s="1"/>
  <c r="G53" i="70" s="1"/>
  <c r="G53" i="71" s="1"/>
  <c r="G53" i="72" s="1"/>
  <c r="G53" i="73" s="1"/>
  <c r="G53" i="74" s="1"/>
  <c r="G53" i="43" s="1"/>
  <c r="I53" i="56"/>
  <c r="G58" i="45"/>
  <c r="G58" i="46" s="1"/>
  <c r="G100" i="55"/>
  <c r="C100" i="61"/>
  <c r="C100" i="50"/>
  <c r="C100" i="64"/>
  <c r="C100" i="65"/>
  <c r="C100" i="70"/>
  <c r="C100" i="58"/>
  <c r="G5" i="55"/>
  <c r="G9" i="56"/>
  <c r="G100" i="54"/>
  <c r="H102" i="55"/>
  <c r="H102" i="56" s="1"/>
  <c r="I102" i="56" s="1"/>
  <c r="K72" i="55"/>
  <c r="K72" i="56" s="1"/>
  <c r="K72" i="57" s="1"/>
  <c r="K72" i="58" s="1"/>
  <c r="K72" i="59" s="1"/>
  <c r="K72" i="60" s="1"/>
  <c r="K72" i="61" s="1"/>
  <c r="K72" i="62" s="1"/>
  <c r="K72" i="63" s="1"/>
  <c r="K72" i="64" s="1"/>
  <c r="K72" i="65" s="1"/>
  <c r="K72" i="66" s="1"/>
  <c r="K72" i="67" s="1"/>
  <c r="K72" i="68" s="1"/>
  <c r="K72" i="69" s="1"/>
  <c r="K72" i="70" s="1"/>
  <c r="K72" i="71" s="1"/>
  <c r="K72" i="72" s="1"/>
  <c r="K72" i="73" s="1"/>
  <c r="K72" i="74" s="1"/>
  <c r="K72" i="43" s="1"/>
  <c r="K72" i="44" s="1"/>
  <c r="K72" i="45" s="1"/>
  <c r="K72" i="46" s="1"/>
  <c r="K72" i="47" s="1"/>
  <c r="K72" i="48" s="1"/>
  <c r="K72" i="49" s="1"/>
  <c r="K72" i="50" s="1"/>
  <c r="K72" i="52" s="1"/>
  <c r="K72" i="78" s="1"/>
  <c r="H24" i="56"/>
  <c r="H23" i="55"/>
  <c r="I23" i="55" s="1"/>
  <c r="H23" i="54"/>
  <c r="I23" i="54" s="1"/>
  <c r="H70" i="55"/>
  <c r="O132" i="57"/>
  <c r="O132" i="58" s="1"/>
  <c r="K15" i="56"/>
  <c r="L15" i="55"/>
  <c r="L28" i="56"/>
  <c r="AG11" i="76"/>
  <c r="AG7" i="76"/>
  <c r="AG20" i="76"/>
  <c r="O132" i="55"/>
  <c r="O132" i="56" s="1"/>
  <c r="AG30" i="76"/>
  <c r="AG14" i="76"/>
  <c r="AG8" i="76"/>
  <c r="D50" i="47"/>
  <c r="G58" i="47"/>
  <c r="G58" i="48" s="1"/>
  <c r="G58" i="49" s="1"/>
  <c r="G58" i="50" s="1"/>
  <c r="G58" i="52" s="1"/>
  <c r="G58" i="78" s="1"/>
  <c r="C44" i="47"/>
  <c r="E44" i="46"/>
  <c r="G6" i="61"/>
  <c r="G14" i="58"/>
  <c r="G15" i="59"/>
  <c r="G49" i="57"/>
  <c r="G50" i="58"/>
  <c r="C56" i="47"/>
  <c r="E56" i="46"/>
  <c r="H57" i="57"/>
  <c r="I57" i="56"/>
  <c r="H60" i="59"/>
  <c r="L60" i="58"/>
  <c r="C90" i="45"/>
  <c r="G110" i="58"/>
  <c r="G111" i="59"/>
  <c r="H8" i="62"/>
  <c r="L8" i="61"/>
  <c r="I15" i="57"/>
  <c r="H15" i="58"/>
  <c r="K86" i="58"/>
  <c r="M86" i="57"/>
  <c r="H7" i="58"/>
  <c r="L7" i="57"/>
  <c r="M88" i="59"/>
  <c r="K88" i="60"/>
  <c r="C43" i="46"/>
  <c r="E43" i="45"/>
  <c r="L60" i="57"/>
  <c r="O87" i="60"/>
  <c r="I87" i="59"/>
  <c r="J87" i="59" s="1"/>
  <c r="O85" i="50"/>
  <c r="C53" i="48"/>
  <c r="E53" i="48" s="1"/>
  <c r="E53" i="47"/>
  <c r="G15" i="46"/>
  <c r="G101" i="57"/>
  <c r="G102" i="58"/>
  <c r="G110" i="57"/>
  <c r="L56" i="59"/>
  <c r="O91" i="59"/>
  <c r="I91" i="58"/>
  <c r="J91" i="58" s="1"/>
  <c r="C89" i="45"/>
  <c r="M85" i="48"/>
  <c r="K85" i="49"/>
  <c r="G100" i="56"/>
  <c r="G43" i="44"/>
  <c r="D61" i="46"/>
  <c r="I56" i="57"/>
  <c r="I87" i="56"/>
  <c r="J87" i="56" s="1"/>
  <c r="H61" i="58"/>
  <c r="D73" i="47"/>
  <c r="G54" i="44"/>
  <c r="G14" i="56"/>
  <c r="H56" i="59"/>
  <c r="I56" i="58"/>
  <c r="G44" i="57"/>
  <c r="G44" i="58" s="1"/>
  <c r="G44" i="59" s="1"/>
  <c r="G44" i="60" s="1"/>
  <c r="G44" i="61" s="1"/>
  <c r="G44" i="62" s="1"/>
  <c r="G44" i="63" s="1"/>
  <c r="G44" i="64" s="1"/>
  <c r="G44" i="65" s="1"/>
  <c r="G44" i="66" s="1"/>
  <c r="G44" i="67" s="1"/>
  <c r="G44" i="68" s="1"/>
  <c r="G44" i="69" s="1"/>
  <c r="G44" i="70" s="1"/>
  <c r="G44" i="71" s="1"/>
  <c r="G44" i="72" s="1"/>
  <c r="G44" i="73" s="1"/>
  <c r="G44" i="74" s="1"/>
  <c r="G44" i="43" s="1"/>
  <c r="G44" i="44" s="1"/>
  <c r="G44" i="45" s="1"/>
  <c r="M85" i="59"/>
  <c r="K85" i="60"/>
  <c r="G57" i="46"/>
  <c r="C54" i="46"/>
  <c r="E54" i="45"/>
  <c r="O86" i="58"/>
  <c r="I86" i="57"/>
  <c r="J86" i="57" s="1"/>
  <c r="K6" i="59"/>
  <c r="E57" i="47"/>
  <c r="C57" i="48"/>
  <c r="E57" i="48" s="1"/>
  <c r="K87" i="60"/>
  <c r="M87" i="59"/>
  <c r="L60" i="56"/>
  <c r="K50" i="62"/>
  <c r="G38" i="47"/>
  <c r="G38" i="48" s="1"/>
  <c r="G38" i="49" s="1"/>
  <c r="G38" i="50" s="1"/>
  <c r="G38" i="52" s="1"/>
  <c r="G38" i="78" s="1"/>
  <c r="G55" i="46"/>
  <c r="M91" i="59"/>
  <c r="K91" i="60"/>
  <c r="I85" i="56"/>
  <c r="J85" i="56" s="1"/>
  <c r="O85" i="57"/>
  <c r="H31" i="58"/>
  <c r="H73" i="58"/>
  <c r="L73" i="57"/>
  <c r="K64" i="59"/>
  <c r="I88" i="58"/>
  <c r="J88" i="58" s="1"/>
  <c r="O88" i="59"/>
  <c r="G56" i="44"/>
  <c r="G56" i="45" s="1"/>
  <c r="C55" i="48"/>
  <c r="E55" i="48" s="1"/>
  <c r="E55" i="47"/>
  <c r="G48" i="45"/>
  <c r="M95" i="57"/>
  <c r="K95" i="58"/>
  <c r="H28" i="58"/>
  <c r="L28" i="57"/>
  <c r="G14" i="55"/>
  <c r="G53" i="44"/>
  <c r="G53" i="45" s="1"/>
  <c r="G53" i="46" s="1"/>
  <c r="E48" i="46"/>
  <c r="C48" i="47"/>
  <c r="C100" i="69"/>
  <c r="I50" i="57"/>
  <c r="H50" i="58"/>
  <c r="L50" i="57"/>
  <c r="H6" i="61"/>
  <c r="G14" i="74"/>
  <c r="G16" i="43"/>
  <c r="H35" i="57"/>
  <c r="L35" i="56"/>
  <c r="C15" i="48"/>
  <c r="C14" i="48" s="1"/>
  <c r="C14" i="47"/>
  <c r="G110" i="56"/>
  <c r="H53" i="58"/>
  <c r="L53" i="58" s="1"/>
  <c r="I53" i="57"/>
  <c r="D56" i="45"/>
  <c r="D53" i="45"/>
  <c r="H64" i="68"/>
  <c r="K94" i="59" l="1"/>
  <c r="H12" i="58"/>
  <c r="I12" i="57"/>
  <c r="L29" i="56"/>
  <c r="G5" i="56"/>
  <c r="G9" i="57"/>
  <c r="G54" i="45"/>
  <c r="G43" i="45"/>
  <c r="G55" i="47"/>
  <c r="G55" i="48" s="1"/>
  <c r="G55" i="49" s="1"/>
  <c r="G55" i="50" s="1"/>
  <c r="G55" i="52" s="1"/>
  <c r="G55" i="78" s="1"/>
  <c r="H102" i="57"/>
  <c r="I102" i="57" s="1"/>
  <c r="I102" i="55"/>
  <c r="H70" i="56"/>
  <c r="H24" i="57"/>
  <c r="H24" i="58" s="1"/>
  <c r="H24" i="59" s="1"/>
  <c r="H24" i="60" s="1"/>
  <c r="H23" i="56"/>
  <c r="I23" i="56" s="1"/>
  <c r="G100" i="57"/>
  <c r="K15" i="57"/>
  <c r="L15" i="56"/>
  <c r="D61" i="47"/>
  <c r="G53" i="47"/>
  <c r="G53" i="48" s="1"/>
  <c r="G53" i="49" s="1"/>
  <c r="G53" i="50" s="1"/>
  <c r="G53" i="52" s="1"/>
  <c r="G53" i="78" s="1"/>
  <c r="H60" i="60"/>
  <c r="L60" i="59"/>
  <c r="O86" i="59"/>
  <c r="I86" i="58"/>
  <c r="J86" i="58" s="1"/>
  <c r="H6" i="62"/>
  <c r="K85" i="50"/>
  <c r="M85" i="49"/>
  <c r="D73" i="48"/>
  <c r="D50" i="48"/>
  <c r="C89" i="46"/>
  <c r="I87" i="60"/>
  <c r="J87" i="60" s="1"/>
  <c r="O87" i="61"/>
  <c r="I15" i="58"/>
  <c r="H15" i="59"/>
  <c r="G44" i="46"/>
  <c r="I85" i="50"/>
  <c r="J85" i="50" s="1"/>
  <c r="O85" i="52"/>
  <c r="H31" i="59"/>
  <c r="K87" i="61"/>
  <c r="M87" i="60"/>
  <c r="G57" i="48"/>
  <c r="G57" i="49" s="1"/>
  <c r="G57" i="50" s="1"/>
  <c r="G57" i="52" s="1"/>
  <c r="G57" i="78" s="1"/>
  <c r="H57" i="58"/>
  <c r="I57" i="57"/>
  <c r="G49" i="58"/>
  <c r="G50" i="59"/>
  <c r="C44" i="48"/>
  <c r="E44" i="48" s="1"/>
  <c r="E44" i="47"/>
  <c r="G44" i="47" s="1"/>
  <c r="K50" i="63"/>
  <c r="M85" i="60"/>
  <c r="K85" i="61"/>
  <c r="K94" i="60"/>
  <c r="M94" i="59"/>
  <c r="M88" i="60"/>
  <c r="K88" i="61"/>
  <c r="O85" i="58"/>
  <c r="I85" i="57"/>
  <c r="J85" i="57" s="1"/>
  <c r="G57" i="47"/>
  <c r="C90" i="46"/>
  <c r="G14" i="59"/>
  <c r="G15" i="60"/>
  <c r="E54" i="46"/>
  <c r="G54" i="46" s="1"/>
  <c r="C54" i="47"/>
  <c r="C43" i="47"/>
  <c r="E43" i="46"/>
  <c r="G43" i="46" s="1"/>
  <c r="K95" i="59"/>
  <c r="M95" i="58"/>
  <c r="G102" i="59"/>
  <c r="G101" i="58"/>
  <c r="G100" i="58" s="1"/>
  <c r="M86" i="58"/>
  <c r="K86" i="59"/>
  <c r="I56" i="59"/>
  <c r="H56" i="60"/>
  <c r="O91" i="60"/>
  <c r="I91" i="59"/>
  <c r="J91" i="59" s="1"/>
  <c r="G56" i="46"/>
  <c r="G6" i="62"/>
  <c r="I85" i="49"/>
  <c r="J85" i="49" s="1"/>
  <c r="K64" i="60"/>
  <c r="H73" i="59"/>
  <c r="L73" i="58"/>
  <c r="K6" i="60"/>
  <c r="G15" i="47"/>
  <c r="H8" i="63"/>
  <c r="L8" i="62"/>
  <c r="C56" i="48"/>
  <c r="E56" i="48" s="1"/>
  <c r="E56" i="47"/>
  <c r="O132" i="59"/>
  <c r="H35" i="58"/>
  <c r="L35" i="57"/>
  <c r="H28" i="59"/>
  <c r="L28" i="58"/>
  <c r="C48" i="48"/>
  <c r="E48" i="48" s="1"/>
  <c r="E48" i="47"/>
  <c r="G48" i="46"/>
  <c r="H29" i="58"/>
  <c r="L29" i="57"/>
  <c r="H50" i="59"/>
  <c r="I50" i="58"/>
  <c r="L50" i="58"/>
  <c r="M91" i="60"/>
  <c r="K91" i="61"/>
  <c r="H61" i="59"/>
  <c r="H7" i="59"/>
  <c r="L7" i="58"/>
  <c r="H53" i="59"/>
  <c r="I53" i="58"/>
  <c r="G16" i="44"/>
  <c r="G14" i="43"/>
  <c r="I88" i="59"/>
  <c r="J88" i="59" s="1"/>
  <c r="O88" i="60"/>
  <c r="G110" i="59"/>
  <c r="G111" i="60"/>
  <c r="D56" i="46"/>
  <c r="D53" i="46"/>
  <c r="H64" i="69"/>
  <c r="I12" i="58" l="1"/>
  <c r="H12" i="59"/>
  <c r="G56" i="47"/>
  <c r="G56" i="48"/>
  <c r="G56" i="49" s="1"/>
  <c r="G56" i="50" s="1"/>
  <c r="G56" i="52" s="1"/>
  <c r="G56" i="78" s="1"/>
  <c r="H102" i="58"/>
  <c r="H102" i="59" s="1"/>
  <c r="I102" i="59" s="1"/>
  <c r="G9" i="58"/>
  <c r="G5" i="57"/>
  <c r="H70" i="57"/>
  <c r="H23" i="57"/>
  <c r="I23" i="57" s="1"/>
  <c r="K15" i="58"/>
  <c r="L15" i="57"/>
  <c r="I56" i="60"/>
  <c r="H56" i="61"/>
  <c r="L56" i="60"/>
  <c r="K88" i="62"/>
  <c r="M88" i="61"/>
  <c r="O88" i="61"/>
  <c r="I88" i="60"/>
  <c r="J88" i="60" s="1"/>
  <c r="H73" i="60"/>
  <c r="L73" i="59"/>
  <c r="G102" i="60"/>
  <c r="G101" i="59"/>
  <c r="G100" i="59" s="1"/>
  <c r="I87" i="61"/>
  <c r="J87" i="61" s="1"/>
  <c r="O87" i="62"/>
  <c r="K87" i="62"/>
  <c r="M87" i="61"/>
  <c r="C89" i="47"/>
  <c r="K64" i="61"/>
  <c r="H8" i="64"/>
  <c r="L8" i="63"/>
  <c r="G15" i="48"/>
  <c r="I53" i="59"/>
  <c r="H53" i="60"/>
  <c r="L53" i="59"/>
  <c r="K86" i="60"/>
  <c r="M86" i="59"/>
  <c r="D61" i="48"/>
  <c r="L50" i="59"/>
  <c r="I50" i="59"/>
  <c r="H50" i="60"/>
  <c r="G15" i="61"/>
  <c r="G14" i="60"/>
  <c r="K94" i="61"/>
  <c r="M94" i="60"/>
  <c r="I57" i="58"/>
  <c r="H57" i="59"/>
  <c r="L60" i="60"/>
  <c r="G48" i="47"/>
  <c r="G48" i="48" s="1"/>
  <c r="G48" i="49" s="1"/>
  <c r="G48" i="50" s="1"/>
  <c r="G48" i="52" s="1"/>
  <c r="G48" i="78" s="1"/>
  <c r="E43" i="47"/>
  <c r="G43" i="47" s="1"/>
  <c r="C43" i="48"/>
  <c r="E43" i="48" s="1"/>
  <c r="G43" i="48" s="1"/>
  <c r="G43" i="49" s="1"/>
  <c r="G43" i="50" s="1"/>
  <c r="G43" i="52" s="1"/>
  <c r="G43" i="78" s="1"/>
  <c r="M85" i="50"/>
  <c r="K85" i="52"/>
  <c r="H6" i="63"/>
  <c r="L28" i="59"/>
  <c r="H28" i="60"/>
  <c r="H35" i="59"/>
  <c r="L35" i="58"/>
  <c r="O91" i="61"/>
  <c r="I91" i="60"/>
  <c r="J91" i="60" s="1"/>
  <c r="M95" i="59"/>
  <c r="K95" i="60"/>
  <c r="K85" i="62"/>
  <c r="M85" i="61"/>
  <c r="H7" i="60"/>
  <c r="L7" i="59"/>
  <c r="O132" i="60"/>
  <c r="C90" i="47"/>
  <c r="K6" i="61"/>
  <c r="O86" i="60"/>
  <c r="I86" i="59"/>
  <c r="J86" i="59" s="1"/>
  <c r="G6" i="63"/>
  <c r="L29" i="58"/>
  <c r="H29" i="59"/>
  <c r="K50" i="64"/>
  <c r="G110" i="60"/>
  <c r="G111" i="61"/>
  <c r="G16" i="45"/>
  <c r="G14" i="44"/>
  <c r="H31" i="60"/>
  <c r="M91" i="61"/>
  <c r="K91" i="62"/>
  <c r="E54" i="47"/>
  <c r="G54" i="47" s="1"/>
  <c r="C54" i="48"/>
  <c r="E54" i="48" s="1"/>
  <c r="G54" i="48" s="1"/>
  <c r="G54" i="49" s="1"/>
  <c r="G54" i="50" s="1"/>
  <c r="G54" i="52" s="1"/>
  <c r="G54" i="78" s="1"/>
  <c r="H24" i="61"/>
  <c r="I85" i="58"/>
  <c r="J85" i="58" s="1"/>
  <c r="O85" i="59"/>
  <c r="G44" i="48"/>
  <c r="G44" i="49" s="1"/>
  <c r="G44" i="50" s="1"/>
  <c r="G44" i="52" s="1"/>
  <c r="G44" i="78" s="1"/>
  <c r="I15" i="59"/>
  <c r="H15" i="60"/>
  <c r="O85" i="78"/>
  <c r="I85" i="52"/>
  <c r="J85" i="52" s="1"/>
  <c r="H61" i="60"/>
  <c r="G49" i="59"/>
  <c r="G50" i="60"/>
  <c r="H23" i="58"/>
  <c r="I23" i="58" s="1"/>
  <c r="D56" i="47"/>
  <c r="D53" i="47"/>
  <c r="H64" i="70"/>
  <c r="I12" i="59" l="1"/>
  <c r="H12" i="60"/>
  <c r="I102" i="58"/>
  <c r="H102" i="60"/>
  <c r="H102" i="61" s="1"/>
  <c r="G9" i="59"/>
  <c r="G5" i="58"/>
  <c r="H70" i="58"/>
  <c r="H70" i="59" s="1"/>
  <c r="K15" i="59"/>
  <c r="L15" i="58"/>
  <c r="H35" i="60"/>
  <c r="L35" i="59"/>
  <c r="O88" i="62"/>
  <c r="I88" i="61"/>
  <c r="J88" i="61" s="1"/>
  <c r="I87" i="62"/>
  <c r="J87" i="62" s="1"/>
  <c r="O87" i="63"/>
  <c r="H57" i="60"/>
  <c r="I57" i="59"/>
  <c r="H61" i="61"/>
  <c r="H29" i="60"/>
  <c r="L29" i="59"/>
  <c r="K85" i="78"/>
  <c r="M85" i="78" s="1"/>
  <c r="M85" i="52"/>
  <c r="I85" i="78"/>
  <c r="J85" i="78" s="1"/>
  <c r="I85" i="59"/>
  <c r="J85" i="59" s="1"/>
  <c r="O85" i="60"/>
  <c r="H23" i="59"/>
  <c r="I23" i="59" s="1"/>
  <c r="G15" i="62"/>
  <c r="G14" i="61"/>
  <c r="M87" i="62"/>
  <c r="K87" i="63"/>
  <c r="H8" i="65"/>
  <c r="L8" i="64"/>
  <c r="G16" i="46"/>
  <c r="G14" i="45"/>
  <c r="O132" i="61"/>
  <c r="H50" i="61"/>
  <c r="I50" i="60"/>
  <c r="L50" i="60"/>
  <c r="K86" i="61"/>
  <c r="M86" i="60"/>
  <c r="K64" i="62"/>
  <c r="H31" i="61"/>
  <c r="K94" i="62"/>
  <c r="M94" i="61"/>
  <c r="K6" i="62"/>
  <c r="H24" i="62"/>
  <c r="K85" i="63"/>
  <c r="M85" i="62"/>
  <c r="H53" i="61"/>
  <c r="I53" i="60"/>
  <c r="L53" i="60"/>
  <c r="M88" i="62"/>
  <c r="K88" i="63"/>
  <c r="K50" i="65"/>
  <c r="H6" i="64"/>
  <c r="C89" i="48"/>
  <c r="H15" i="61"/>
  <c r="I15" i="60"/>
  <c r="L28" i="60"/>
  <c r="H28" i="61"/>
  <c r="M91" i="62"/>
  <c r="K91" i="63"/>
  <c r="G6" i="64"/>
  <c r="M95" i="60"/>
  <c r="K95" i="61"/>
  <c r="G49" i="60"/>
  <c r="G50" i="61"/>
  <c r="G111" i="62"/>
  <c r="G110" i="61"/>
  <c r="H7" i="61"/>
  <c r="L7" i="60"/>
  <c r="G15" i="49"/>
  <c r="G101" i="60"/>
  <c r="G100" i="60" s="1"/>
  <c r="G102" i="61"/>
  <c r="C90" i="48"/>
  <c r="I86" i="60"/>
  <c r="J86" i="60" s="1"/>
  <c r="O86" i="61"/>
  <c r="H56" i="62"/>
  <c r="I56" i="61"/>
  <c r="L56" i="61"/>
  <c r="O91" i="62"/>
  <c r="I91" i="61"/>
  <c r="J91" i="61" s="1"/>
  <c r="H73" i="61"/>
  <c r="L73" i="60"/>
  <c r="D53" i="48"/>
  <c r="D56" i="48"/>
  <c r="H64" i="71"/>
  <c r="I102" i="60" l="1"/>
  <c r="H12" i="61"/>
  <c r="I12" i="60"/>
  <c r="G9" i="60"/>
  <c r="G5" i="59"/>
  <c r="L15" i="59"/>
  <c r="K15" i="60"/>
  <c r="H15" i="62"/>
  <c r="I15" i="61"/>
  <c r="H31" i="62"/>
  <c r="I50" i="61"/>
  <c r="H50" i="62"/>
  <c r="L50" i="61"/>
  <c r="G15" i="63"/>
  <c r="G14" i="62"/>
  <c r="G102" i="62"/>
  <c r="G101" i="61"/>
  <c r="G100" i="61" s="1"/>
  <c r="K85" i="64"/>
  <c r="M85" i="63"/>
  <c r="G16" i="47"/>
  <c r="G14" i="46"/>
  <c r="G49" i="61"/>
  <c r="G50" i="62"/>
  <c r="H56" i="63"/>
  <c r="I56" i="62"/>
  <c r="L56" i="62"/>
  <c r="K91" i="64"/>
  <c r="M91" i="63"/>
  <c r="L29" i="60"/>
  <c r="H29" i="61"/>
  <c r="K88" i="64"/>
  <c r="M88" i="63"/>
  <c r="G15" i="50"/>
  <c r="H53" i="62"/>
  <c r="I53" i="61"/>
  <c r="L53" i="61"/>
  <c r="H61" i="62"/>
  <c r="L35" i="60"/>
  <c r="H35" i="61"/>
  <c r="K50" i="66"/>
  <c r="K50" i="67" s="1"/>
  <c r="I86" i="61"/>
  <c r="J86" i="61" s="1"/>
  <c r="O86" i="62"/>
  <c r="H28" i="62"/>
  <c r="L28" i="61"/>
  <c r="K64" i="63"/>
  <c r="I88" i="62"/>
  <c r="J88" i="62" s="1"/>
  <c r="O88" i="63"/>
  <c r="H24" i="63"/>
  <c r="H73" i="62"/>
  <c r="L73" i="61"/>
  <c r="H23" i="60"/>
  <c r="I23" i="60" s="1"/>
  <c r="H7" i="62"/>
  <c r="L7" i="61"/>
  <c r="H102" i="62"/>
  <c r="I102" i="61"/>
  <c r="I85" i="60"/>
  <c r="J85" i="60" s="1"/>
  <c r="O85" i="61"/>
  <c r="I57" i="60"/>
  <c r="H57" i="61"/>
  <c r="O132" i="62"/>
  <c r="K6" i="63"/>
  <c r="K86" i="62"/>
  <c r="M86" i="61"/>
  <c r="H8" i="66"/>
  <c r="L8" i="65"/>
  <c r="G111" i="63"/>
  <c r="G110" i="62"/>
  <c r="M95" i="61"/>
  <c r="K95" i="62"/>
  <c r="H6" i="65"/>
  <c r="G6" i="65"/>
  <c r="K94" i="63"/>
  <c r="M94" i="62"/>
  <c r="O87" i="64"/>
  <c r="I87" i="63"/>
  <c r="J87" i="63" s="1"/>
  <c r="I91" i="62"/>
  <c r="J91" i="62" s="1"/>
  <c r="O91" i="63"/>
  <c r="K87" i="64"/>
  <c r="M87" i="63"/>
  <c r="H64" i="72"/>
  <c r="H12" i="62" l="1"/>
  <c r="I12" i="61"/>
  <c r="G9" i="61"/>
  <c r="G5" i="60"/>
  <c r="L15" i="60"/>
  <c r="K15" i="61"/>
  <c r="H61" i="63"/>
  <c r="H56" i="64"/>
  <c r="I56" i="63"/>
  <c r="L56" i="63"/>
  <c r="K91" i="65"/>
  <c r="M91" i="64"/>
  <c r="G102" i="63"/>
  <c r="G101" i="62"/>
  <c r="G100" i="62" s="1"/>
  <c r="M94" i="63"/>
  <c r="K94" i="64"/>
  <c r="K86" i="63"/>
  <c r="M86" i="62"/>
  <c r="H7" i="63"/>
  <c r="L7" i="62"/>
  <c r="I15" i="62"/>
  <c r="H15" i="63"/>
  <c r="K85" i="65"/>
  <c r="M85" i="64"/>
  <c r="G49" i="62"/>
  <c r="G50" i="63"/>
  <c r="O86" i="63"/>
  <c r="I86" i="62"/>
  <c r="J86" i="62" s="1"/>
  <c r="H6" i="66"/>
  <c r="G15" i="64"/>
  <c r="G14" i="63"/>
  <c r="K95" i="63"/>
  <c r="M95" i="62"/>
  <c r="K6" i="64"/>
  <c r="K64" i="64"/>
  <c r="H29" i="62"/>
  <c r="L29" i="61"/>
  <c r="O87" i="65"/>
  <c r="I87" i="64"/>
  <c r="J87" i="64" s="1"/>
  <c r="K88" i="65"/>
  <c r="M88" i="64"/>
  <c r="O91" i="64"/>
  <c r="I91" i="63"/>
  <c r="J91" i="63" s="1"/>
  <c r="H8" i="67"/>
  <c r="L8" i="66"/>
  <c r="O132" i="63"/>
  <c r="K50" i="68"/>
  <c r="K87" i="65"/>
  <c r="M87" i="64"/>
  <c r="G111" i="64"/>
  <c r="G110" i="63"/>
  <c r="H73" i="63"/>
  <c r="L73" i="62"/>
  <c r="G16" i="48"/>
  <c r="G14" i="47"/>
  <c r="H31" i="63"/>
  <c r="H102" i="63"/>
  <c r="I102" i="62"/>
  <c r="H53" i="63"/>
  <c r="I53" i="62"/>
  <c r="L53" i="62"/>
  <c r="H24" i="64"/>
  <c r="H28" i="63"/>
  <c r="L28" i="62"/>
  <c r="L35" i="61"/>
  <c r="H35" i="62"/>
  <c r="H50" i="63"/>
  <c r="I50" i="62"/>
  <c r="L50" i="62"/>
  <c r="G6" i="66"/>
  <c r="H57" i="62"/>
  <c r="I57" i="61"/>
  <c r="O85" i="62"/>
  <c r="I85" i="61"/>
  <c r="J85" i="61" s="1"/>
  <c r="O88" i="64"/>
  <c r="I88" i="63"/>
  <c r="J88" i="63" s="1"/>
  <c r="G15" i="52"/>
  <c r="H23" i="61"/>
  <c r="I23" i="61" s="1"/>
  <c r="H64" i="73"/>
  <c r="H12" i="63" l="1"/>
  <c r="I12" i="62"/>
  <c r="G9" i="62"/>
  <c r="G5" i="61"/>
  <c r="K15" i="62"/>
  <c r="L15" i="61"/>
  <c r="G50" i="64"/>
  <c r="G49" i="63"/>
  <c r="I57" i="62"/>
  <c r="H57" i="63"/>
  <c r="H8" i="68"/>
  <c r="L8" i="67"/>
  <c r="K6" i="65"/>
  <c r="G16" i="49"/>
  <c r="G14" i="48"/>
  <c r="M86" i="63"/>
  <c r="K86" i="64"/>
  <c r="I15" i="63"/>
  <c r="H15" i="64"/>
  <c r="G102" i="64"/>
  <c r="G101" i="63"/>
  <c r="G100" i="63" s="1"/>
  <c r="M91" i="65"/>
  <c r="K91" i="66"/>
  <c r="I53" i="63"/>
  <c r="H53" i="64"/>
  <c r="L53" i="63"/>
  <c r="G14" i="64"/>
  <c r="G15" i="65"/>
  <c r="I91" i="64"/>
  <c r="J91" i="64" s="1"/>
  <c r="O91" i="65"/>
  <c r="H31" i="64"/>
  <c r="H28" i="64"/>
  <c r="L28" i="63"/>
  <c r="G15" i="78"/>
  <c r="G110" i="64"/>
  <c r="G111" i="65"/>
  <c r="K50" i="69"/>
  <c r="H6" i="67"/>
  <c r="K87" i="66"/>
  <c r="M87" i="65"/>
  <c r="H24" i="65"/>
  <c r="O132" i="64"/>
  <c r="K64" i="65"/>
  <c r="K88" i="66"/>
  <c r="M88" i="65"/>
  <c r="M85" i="65"/>
  <c r="K85" i="66"/>
  <c r="K94" i="65"/>
  <c r="M94" i="64"/>
  <c r="O88" i="65"/>
  <c r="I88" i="64"/>
  <c r="J88" i="64" s="1"/>
  <c r="L29" i="62"/>
  <c r="H29" i="63"/>
  <c r="H23" i="62"/>
  <c r="I23" i="62" s="1"/>
  <c r="H56" i="65"/>
  <c r="I56" i="64"/>
  <c r="L56" i="64"/>
  <c r="M95" i="63"/>
  <c r="K95" i="64"/>
  <c r="H102" i="64"/>
  <c r="I102" i="63"/>
  <c r="H61" i="64"/>
  <c r="L35" i="62"/>
  <c r="H35" i="63"/>
  <c r="O87" i="66"/>
  <c r="I87" i="65"/>
  <c r="J87" i="65" s="1"/>
  <c r="G6" i="67"/>
  <c r="L50" i="63"/>
  <c r="H50" i="64"/>
  <c r="I50" i="63"/>
  <c r="I85" i="62"/>
  <c r="J85" i="62" s="1"/>
  <c r="O85" i="63"/>
  <c r="H73" i="64"/>
  <c r="L73" i="63"/>
  <c r="O86" i="64"/>
  <c r="I86" i="63"/>
  <c r="J86" i="63" s="1"/>
  <c r="H7" i="64"/>
  <c r="L7" i="63"/>
  <c r="H64" i="74"/>
  <c r="I12" i="63" l="1"/>
  <c r="H12" i="64"/>
  <c r="G9" i="63"/>
  <c r="G5" i="62"/>
  <c r="K15" i="63"/>
  <c r="L15" i="62"/>
  <c r="I85" i="63"/>
  <c r="J85" i="63" s="1"/>
  <c r="O85" i="64"/>
  <c r="K87" i="67"/>
  <c r="M87" i="66"/>
  <c r="K6" i="66"/>
  <c r="H8" i="69"/>
  <c r="L8" i="68"/>
  <c r="H7" i="65"/>
  <c r="L7" i="64"/>
  <c r="H56" i="66"/>
  <c r="I56" i="65"/>
  <c r="L56" i="65"/>
  <c r="I88" i="65"/>
  <c r="J88" i="65" s="1"/>
  <c r="O88" i="66"/>
  <c r="O87" i="67"/>
  <c r="I87" i="66"/>
  <c r="J87" i="66" s="1"/>
  <c r="K86" i="65"/>
  <c r="M86" i="64"/>
  <c r="K64" i="66"/>
  <c r="I57" i="63"/>
  <c r="H57" i="64"/>
  <c r="H50" i="65"/>
  <c r="I50" i="64"/>
  <c r="L50" i="64"/>
  <c r="K95" i="65"/>
  <c r="M95" i="64"/>
  <c r="G15" i="66"/>
  <c r="G14" i="65"/>
  <c r="G16" i="50"/>
  <c r="G14" i="49"/>
  <c r="H6" i="68"/>
  <c r="K50" i="70"/>
  <c r="H24" i="66"/>
  <c r="G110" i="65"/>
  <c r="G111" i="66"/>
  <c r="H28" i="65"/>
  <c r="L28" i="64"/>
  <c r="H31" i="65"/>
  <c r="H53" i="65"/>
  <c r="I53" i="64"/>
  <c r="L53" i="64"/>
  <c r="G50" i="65"/>
  <c r="G49" i="64"/>
  <c r="K88" i="67"/>
  <c r="M88" i="66"/>
  <c r="G102" i="65"/>
  <c r="G101" i="64"/>
  <c r="G100" i="64" s="1"/>
  <c r="H15" i="65"/>
  <c r="I15" i="64"/>
  <c r="H61" i="65"/>
  <c r="H102" i="65"/>
  <c r="I102" i="64"/>
  <c r="K85" i="67"/>
  <c r="M85" i="66"/>
  <c r="H35" i="64"/>
  <c r="L35" i="63"/>
  <c r="O86" i="65"/>
  <c r="I86" i="64"/>
  <c r="J86" i="64" s="1"/>
  <c r="O132" i="65"/>
  <c r="H73" i="65"/>
  <c r="L73" i="64"/>
  <c r="G6" i="68"/>
  <c r="H29" i="64"/>
  <c r="L29" i="63"/>
  <c r="O91" i="66"/>
  <c r="I91" i="65"/>
  <c r="J91" i="65" s="1"/>
  <c r="K91" i="67"/>
  <c r="M91" i="66"/>
  <c r="M94" i="65"/>
  <c r="K94" i="66"/>
  <c r="H23" i="63"/>
  <c r="I23" i="63" s="1"/>
  <c r="H64" i="43"/>
  <c r="I12" i="64" l="1"/>
  <c r="H12" i="65"/>
  <c r="G9" i="64"/>
  <c r="G5" i="63"/>
  <c r="L15" i="63"/>
  <c r="K15" i="64"/>
  <c r="H102" i="66"/>
  <c r="I102" i="65"/>
  <c r="H61" i="66"/>
  <c r="H28" i="66"/>
  <c r="L28" i="65"/>
  <c r="G16" i="52"/>
  <c r="G14" i="50"/>
  <c r="H35" i="65"/>
  <c r="L35" i="64"/>
  <c r="G15" i="67"/>
  <c r="G14" i="66"/>
  <c r="O85" i="65"/>
  <c r="I85" i="64"/>
  <c r="J85" i="64" s="1"/>
  <c r="H24" i="67"/>
  <c r="H15" i="66"/>
  <c r="I15" i="65"/>
  <c r="G6" i="69"/>
  <c r="H73" i="66"/>
  <c r="L73" i="65"/>
  <c r="G102" i="66"/>
  <c r="G101" i="65"/>
  <c r="G100" i="65" s="1"/>
  <c r="O91" i="67"/>
  <c r="I91" i="66"/>
  <c r="J91" i="66" s="1"/>
  <c r="H56" i="67"/>
  <c r="I56" i="66"/>
  <c r="L56" i="66"/>
  <c r="H8" i="70"/>
  <c r="L8" i="69"/>
  <c r="H29" i="65"/>
  <c r="H23" i="65" s="1"/>
  <c r="I23" i="65" s="1"/>
  <c r="L29" i="64"/>
  <c r="H23" i="64"/>
  <c r="I23" i="64" s="1"/>
  <c r="K95" i="66"/>
  <c r="M95" i="65"/>
  <c r="O132" i="66"/>
  <c r="K88" i="68"/>
  <c r="M88" i="67"/>
  <c r="I87" i="67"/>
  <c r="J87" i="67" s="1"/>
  <c r="O87" i="68"/>
  <c r="G111" i="67"/>
  <c r="G110" i="66"/>
  <c r="M87" i="67"/>
  <c r="K87" i="68"/>
  <c r="H31" i="66"/>
  <c r="K86" i="66"/>
  <c r="M86" i="65"/>
  <c r="K94" i="67"/>
  <c r="M94" i="66"/>
  <c r="K85" i="68"/>
  <c r="M85" i="67"/>
  <c r="I50" i="65"/>
  <c r="H50" i="66"/>
  <c r="L50" i="65"/>
  <c r="M91" i="67"/>
  <c r="K91" i="68"/>
  <c r="O86" i="66"/>
  <c r="I86" i="65"/>
  <c r="J86" i="65" s="1"/>
  <c r="G50" i="66"/>
  <c r="G49" i="65"/>
  <c r="K50" i="71"/>
  <c r="I57" i="64"/>
  <c r="H57" i="65"/>
  <c r="H53" i="66"/>
  <c r="I53" i="65"/>
  <c r="L53" i="65"/>
  <c r="K64" i="67"/>
  <c r="O88" i="67"/>
  <c r="I88" i="66"/>
  <c r="J88" i="66" s="1"/>
  <c r="H6" i="69"/>
  <c r="L7" i="65"/>
  <c r="H7" i="66"/>
  <c r="K6" i="67"/>
  <c r="H64" i="44"/>
  <c r="I12" i="65" l="1"/>
  <c r="H12" i="66"/>
  <c r="G9" i="65"/>
  <c r="G5" i="64"/>
  <c r="L15" i="64"/>
  <c r="K15" i="65"/>
  <c r="H6" i="70"/>
  <c r="K91" i="69"/>
  <c r="M91" i="68"/>
  <c r="K87" i="69"/>
  <c r="M87" i="68"/>
  <c r="K95" i="67"/>
  <c r="M95" i="66"/>
  <c r="I86" i="66"/>
  <c r="J86" i="66" s="1"/>
  <c r="O86" i="67"/>
  <c r="M85" i="68"/>
  <c r="K85" i="69"/>
  <c r="I57" i="65"/>
  <c r="H57" i="66"/>
  <c r="H35" i="66"/>
  <c r="L35" i="65"/>
  <c r="K94" i="68"/>
  <c r="M94" i="67"/>
  <c r="G6" i="70"/>
  <c r="I85" i="65"/>
  <c r="J85" i="65" s="1"/>
  <c r="O85" i="66"/>
  <c r="O132" i="67"/>
  <c r="G102" i="67"/>
  <c r="G101" i="66"/>
  <c r="G100" i="66" s="1"/>
  <c r="H61" i="67"/>
  <c r="H7" i="67"/>
  <c r="L7" i="66"/>
  <c r="O88" i="68"/>
  <c r="I88" i="67"/>
  <c r="J88" i="67" s="1"/>
  <c r="I87" i="68"/>
  <c r="J87" i="68" s="1"/>
  <c r="O87" i="69"/>
  <c r="H29" i="66"/>
  <c r="L29" i="65"/>
  <c r="K50" i="72"/>
  <c r="I91" i="67"/>
  <c r="J91" i="67" s="1"/>
  <c r="O91" i="68"/>
  <c r="H73" i="67"/>
  <c r="L73" i="66"/>
  <c r="H31" i="67"/>
  <c r="L28" i="66"/>
  <c r="H28" i="67"/>
  <c r="K64" i="68"/>
  <c r="H15" i="67"/>
  <c r="I15" i="66"/>
  <c r="H56" i="68"/>
  <c r="I56" i="67"/>
  <c r="L56" i="67"/>
  <c r="G16" i="78"/>
  <c r="G14" i="78" s="1"/>
  <c r="G14" i="52"/>
  <c r="G111" i="68"/>
  <c r="G110" i="67"/>
  <c r="K6" i="68"/>
  <c r="G50" i="67"/>
  <c r="G49" i="66"/>
  <c r="H8" i="71"/>
  <c r="L8" i="70"/>
  <c r="H24" i="68"/>
  <c r="M86" i="66"/>
  <c r="K86" i="67"/>
  <c r="K88" i="69"/>
  <c r="M88" i="68"/>
  <c r="H50" i="67"/>
  <c r="I50" i="66"/>
  <c r="L50" i="66"/>
  <c r="H53" i="67"/>
  <c r="I53" i="66"/>
  <c r="L53" i="66"/>
  <c r="G14" i="67"/>
  <c r="G15" i="68"/>
  <c r="H102" i="67"/>
  <c r="I102" i="66"/>
  <c r="H64" i="45"/>
  <c r="I12" i="66" l="1"/>
  <c r="H12" i="67"/>
  <c r="G9" i="66"/>
  <c r="G5" i="65"/>
  <c r="L15" i="65"/>
  <c r="K15" i="66"/>
  <c r="H61" i="68"/>
  <c r="H31" i="68"/>
  <c r="I86" i="67"/>
  <c r="J86" i="67" s="1"/>
  <c r="O86" i="68"/>
  <c r="M94" i="68"/>
  <c r="K94" i="69"/>
  <c r="H8" i="72"/>
  <c r="L8" i="71"/>
  <c r="K95" i="68"/>
  <c r="M95" i="67"/>
  <c r="I56" i="68"/>
  <c r="H56" i="69"/>
  <c r="L56" i="68"/>
  <c r="H57" i="67"/>
  <c r="I57" i="66"/>
  <c r="I50" i="67"/>
  <c r="H50" i="68"/>
  <c r="L50" i="67"/>
  <c r="G101" i="67"/>
  <c r="G100" i="67" s="1"/>
  <c r="G102" i="68"/>
  <c r="I102" i="67"/>
  <c r="H102" i="68"/>
  <c r="K85" i="70"/>
  <c r="M85" i="69"/>
  <c r="K91" i="70"/>
  <c r="M91" i="69"/>
  <c r="H53" i="68"/>
  <c r="I53" i="67"/>
  <c r="L53" i="67"/>
  <c r="I87" i="69"/>
  <c r="J87" i="69" s="1"/>
  <c r="O87" i="70"/>
  <c r="O132" i="68"/>
  <c r="H6" i="71"/>
  <c r="K87" i="70"/>
  <c r="M87" i="69"/>
  <c r="G50" i="68"/>
  <c r="G49" i="67"/>
  <c r="I88" i="68"/>
  <c r="J88" i="68" s="1"/>
  <c r="O88" i="69"/>
  <c r="G14" i="68"/>
  <c r="G15" i="69"/>
  <c r="H24" i="69"/>
  <c r="K6" i="69"/>
  <c r="H7" i="68"/>
  <c r="L7" i="67"/>
  <c r="K88" i="70"/>
  <c r="M88" i="69"/>
  <c r="K86" i="68"/>
  <c r="M86" i="67"/>
  <c r="L29" i="66"/>
  <c r="H29" i="67"/>
  <c r="H28" i="68"/>
  <c r="L28" i="67"/>
  <c r="O85" i="67"/>
  <c r="I85" i="66"/>
  <c r="J85" i="66" s="1"/>
  <c r="I91" i="68"/>
  <c r="J91" i="68" s="1"/>
  <c r="O91" i="69"/>
  <c r="H15" i="68"/>
  <c r="I15" i="67"/>
  <c r="K50" i="73"/>
  <c r="L35" i="66"/>
  <c r="H35" i="67"/>
  <c r="K64" i="69"/>
  <c r="H23" i="66"/>
  <c r="I23" i="66" s="1"/>
  <c r="G110" i="68"/>
  <c r="G111" i="69"/>
  <c r="H73" i="68"/>
  <c r="L73" i="67"/>
  <c r="G6" i="71"/>
  <c r="H64" i="46"/>
  <c r="I12" i="67" l="1"/>
  <c r="H12" i="68"/>
  <c r="G9" i="67"/>
  <c r="G5" i="66"/>
  <c r="L15" i="66"/>
  <c r="K15" i="67"/>
  <c r="I91" i="69"/>
  <c r="J91" i="69" s="1"/>
  <c r="O91" i="70"/>
  <c r="H6" i="72"/>
  <c r="H31" i="69"/>
  <c r="H73" i="69"/>
  <c r="L73" i="68"/>
  <c r="K6" i="70"/>
  <c r="I53" i="68"/>
  <c r="H53" i="69"/>
  <c r="L53" i="68"/>
  <c r="K95" i="69"/>
  <c r="M95" i="68"/>
  <c r="K64" i="70"/>
  <c r="H15" i="69"/>
  <c r="I15" i="68"/>
  <c r="H8" i="73"/>
  <c r="L8" i="72"/>
  <c r="M94" i="69"/>
  <c r="K94" i="70"/>
  <c r="K88" i="71"/>
  <c r="M88" i="70"/>
  <c r="O85" i="68"/>
  <c r="I85" i="67"/>
  <c r="J85" i="67" s="1"/>
  <c r="I87" i="70"/>
  <c r="J87" i="70" s="1"/>
  <c r="O87" i="71"/>
  <c r="K85" i="71"/>
  <c r="M85" i="70"/>
  <c r="H24" i="70"/>
  <c r="L50" i="68"/>
  <c r="I50" i="68"/>
  <c r="H50" i="69"/>
  <c r="H61" i="69"/>
  <c r="G102" i="69"/>
  <c r="G101" i="68"/>
  <c r="G100" i="68" s="1"/>
  <c r="I88" i="69"/>
  <c r="J88" i="69" s="1"/>
  <c r="O88" i="70"/>
  <c r="I86" i="68"/>
  <c r="J86" i="68" s="1"/>
  <c r="O86" i="69"/>
  <c r="I56" i="69"/>
  <c r="H56" i="70"/>
  <c r="L56" i="69"/>
  <c r="K86" i="69"/>
  <c r="M86" i="68"/>
  <c r="H35" i="68"/>
  <c r="L35" i="67"/>
  <c r="G50" i="69"/>
  <c r="G49" i="68"/>
  <c r="O132" i="69"/>
  <c r="K50" i="74"/>
  <c r="G6" i="72"/>
  <c r="H28" i="69"/>
  <c r="L28" i="68"/>
  <c r="H7" i="69"/>
  <c r="L7" i="68"/>
  <c r="H57" i="68"/>
  <c r="I57" i="67"/>
  <c r="G111" i="70"/>
  <c r="G110" i="69"/>
  <c r="G14" i="69"/>
  <c r="G15" i="70"/>
  <c r="M91" i="70"/>
  <c r="K91" i="71"/>
  <c r="L29" i="67"/>
  <c r="H29" i="68"/>
  <c r="H23" i="67"/>
  <c r="I23" i="67" s="1"/>
  <c r="M87" i="70"/>
  <c r="K87" i="71"/>
  <c r="H102" i="69"/>
  <c r="I102" i="68"/>
  <c r="H64" i="47"/>
  <c r="I12" i="68" l="1"/>
  <c r="H12" i="69"/>
  <c r="G9" i="68"/>
  <c r="G5" i="67"/>
  <c r="K15" i="68"/>
  <c r="L15" i="67"/>
  <c r="K64" i="71"/>
  <c r="K87" i="72"/>
  <c r="M87" i="71"/>
  <c r="G6" i="73"/>
  <c r="H53" i="70"/>
  <c r="I53" i="69"/>
  <c r="L53" i="69"/>
  <c r="G50" i="70"/>
  <c r="G49" i="69"/>
  <c r="I85" i="68"/>
  <c r="J85" i="68" s="1"/>
  <c r="O85" i="69"/>
  <c r="H8" i="74"/>
  <c r="L8" i="73"/>
  <c r="H6" i="73"/>
  <c r="K85" i="72"/>
  <c r="M85" i="71"/>
  <c r="G111" i="71"/>
  <c r="G110" i="70"/>
  <c r="H57" i="69"/>
  <c r="I57" i="68"/>
  <c r="H24" i="71"/>
  <c r="M86" i="69"/>
  <c r="K86" i="70"/>
  <c r="M88" i="71"/>
  <c r="K88" i="72"/>
  <c r="H31" i="70"/>
  <c r="O87" i="72"/>
  <c r="I87" i="71"/>
  <c r="J87" i="71" s="1"/>
  <c r="G15" i="71"/>
  <c r="G14" i="70"/>
  <c r="H35" i="69"/>
  <c r="L35" i="68"/>
  <c r="H29" i="69"/>
  <c r="L29" i="68"/>
  <c r="H23" i="68"/>
  <c r="I23" i="68" s="1"/>
  <c r="K50" i="43"/>
  <c r="H56" i="71"/>
  <c r="I56" i="70"/>
  <c r="L56" i="70"/>
  <c r="K95" i="70"/>
  <c r="M95" i="69"/>
  <c r="H61" i="70"/>
  <c r="K94" i="71"/>
  <c r="M94" i="70"/>
  <c r="K6" i="71"/>
  <c r="I91" i="70"/>
  <c r="J91" i="70" s="1"/>
  <c r="O91" i="71"/>
  <c r="O132" i="70"/>
  <c r="I86" i="69"/>
  <c r="J86" i="69" s="1"/>
  <c r="O86" i="70"/>
  <c r="O88" i="71"/>
  <c r="I88" i="70"/>
  <c r="J88" i="70" s="1"/>
  <c r="H102" i="70"/>
  <c r="I102" i="69"/>
  <c r="G102" i="70"/>
  <c r="G101" i="69"/>
  <c r="G100" i="69" s="1"/>
  <c r="H28" i="70"/>
  <c r="L28" i="69"/>
  <c r="H50" i="70"/>
  <c r="L50" i="69"/>
  <c r="I50" i="69"/>
  <c r="K91" i="72"/>
  <c r="M91" i="71"/>
  <c r="H7" i="70"/>
  <c r="L7" i="69"/>
  <c r="I15" i="69"/>
  <c r="H15" i="70"/>
  <c r="H73" i="70"/>
  <c r="L73" i="69"/>
  <c r="H64" i="48"/>
  <c r="H12" i="70" l="1"/>
  <c r="I12" i="69"/>
  <c r="G9" i="69"/>
  <c r="G5" i="68"/>
  <c r="L15" i="68"/>
  <c r="K15" i="69"/>
  <c r="O88" i="72"/>
  <c r="I88" i="71"/>
  <c r="J88" i="71" s="1"/>
  <c r="H28" i="71"/>
  <c r="L28" i="70"/>
  <c r="O85" i="70"/>
  <c r="I85" i="69"/>
  <c r="J85" i="69" s="1"/>
  <c r="H7" i="71"/>
  <c r="L7" i="70"/>
  <c r="H8" i="43"/>
  <c r="L8" i="74"/>
  <c r="H61" i="71"/>
  <c r="O86" i="71"/>
  <c r="I86" i="70"/>
  <c r="J86" i="70" s="1"/>
  <c r="O91" i="72"/>
  <c r="I91" i="71"/>
  <c r="J91" i="71" s="1"/>
  <c r="H29" i="70"/>
  <c r="H23" i="70" s="1"/>
  <c r="I23" i="70" s="1"/>
  <c r="L29" i="69"/>
  <c r="M88" i="72"/>
  <c r="K88" i="73"/>
  <c r="K87" i="73"/>
  <c r="M87" i="72"/>
  <c r="K91" i="73"/>
  <c r="M91" i="72"/>
  <c r="H24" i="72"/>
  <c r="G50" i="71"/>
  <c r="G49" i="70"/>
  <c r="K64" i="72"/>
  <c r="H50" i="71"/>
  <c r="I50" i="70"/>
  <c r="L50" i="70"/>
  <c r="H56" i="72"/>
  <c r="I56" i="71"/>
  <c r="L56" i="71"/>
  <c r="K50" i="44"/>
  <c r="K6" i="72"/>
  <c r="O132" i="71"/>
  <c r="M95" i="70"/>
  <c r="K95" i="71"/>
  <c r="H35" i="70"/>
  <c r="L35" i="69"/>
  <c r="G15" i="72"/>
  <c r="G14" i="71"/>
  <c r="I53" i="70"/>
  <c r="H53" i="71"/>
  <c r="L53" i="70"/>
  <c r="H31" i="71"/>
  <c r="H102" i="71"/>
  <c r="I102" i="70"/>
  <c r="H73" i="71"/>
  <c r="L73" i="70"/>
  <c r="K86" i="71"/>
  <c r="M86" i="70"/>
  <c r="K85" i="73"/>
  <c r="M85" i="72"/>
  <c r="G102" i="71"/>
  <c r="G101" i="70"/>
  <c r="G100" i="70" s="1"/>
  <c r="O87" i="73"/>
  <c r="I87" i="72"/>
  <c r="J87" i="72" s="1"/>
  <c r="H57" i="70"/>
  <c r="I57" i="69"/>
  <c r="G6" i="74"/>
  <c r="G111" i="72"/>
  <c r="G110" i="71"/>
  <c r="H15" i="71"/>
  <c r="I15" i="70"/>
  <c r="K94" i="72"/>
  <c r="M94" i="71"/>
  <c r="H6" i="74"/>
  <c r="H23" i="69"/>
  <c r="I23" i="69" s="1"/>
  <c r="H64" i="49"/>
  <c r="H12" i="71" l="1"/>
  <c r="I12" i="70"/>
  <c r="G9" i="70"/>
  <c r="G5" i="69"/>
  <c r="K15" i="70"/>
  <c r="L15" i="69"/>
  <c r="H8" i="44"/>
  <c r="L8" i="43"/>
  <c r="G102" i="72"/>
  <c r="G101" i="71"/>
  <c r="G100" i="71" s="1"/>
  <c r="O132" i="72"/>
  <c r="M87" i="73"/>
  <c r="K87" i="74"/>
  <c r="G111" i="73"/>
  <c r="G110" i="72"/>
  <c r="H61" i="72"/>
  <c r="M88" i="73"/>
  <c r="K88" i="74"/>
  <c r="L7" i="71"/>
  <c r="H7" i="72"/>
  <c r="I56" i="72"/>
  <c r="H56" i="73"/>
  <c r="L56" i="72"/>
  <c r="M85" i="73"/>
  <c r="K85" i="74"/>
  <c r="O88" i="73"/>
  <c r="I88" i="72"/>
  <c r="J88" i="72" s="1"/>
  <c r="H57" i="71"/>
  <c r="I57" i="70"/>
  <c r="O91" i="73"/>
  <c r="I91" i="72"/>
  <c r="J91" i="72" s="1"/>
  <c r="H31" i="72"/>
  <c r="K86" i="72"/>
  <c r="M86" i="71"/>
  <c r="K94" i="73"/>
  <c r="M94" i="72"/>
  <c r="O87" i="74"/>
  <c r="I87" i="73"/>
  <c r="J87" i="73" s="1"/>
  <c r="G15" i="73"/>
  <c r="G14" i="73" s="1"/>
  <c r="G14" i="72"/>
  <c r="M91" i="73"/>
  <c r="K91" i="74"/>
  <c r="H73" i="72"/>
  <c r="L73" i="71"/>
  <c r="O86" i="72"/>
  <c r="I86" i="71"/>
  <c r="J86" i="71" s="1"/>
  <c r="H28" i="72"/>
  <c r="L28" i="71"/>
  <c r="K50" i="45"/>
  <c r="H29" i="71"/>
  <c r="L29" i="70"/>
  <c r="H35" i="71"/>
  <c r="L35" i="70"/>
  <c r="G6" i="43"/>
  <c r="O85" i="71"/>
  <c r="I85" i="70"/>
  <c r="J85" i="70" s="1"/>
  <c r="I15" i="71"/>
  <c r="H15" i="72"/>
  <c r="K95" i="72"/>
  <c r="M95" i="71"/>
  <c r="K6" i="73"/>
  <c r="H50" i="72"/>
  <c r="I50" i="71"/>
  <c r="L50" i="71"/>
  <c r="H6" i="43"/>
  <c r="H102" i="72"/>
  <c r="I102" i="71"/>
  <c r="K64" i="73"/>
  <c r="H24" i="73"/>
  <c r="H53" i="72"/>
  <c r="I53" i="71"/>
  <c r="L53" i="71"/>
  <c r="G50" i="72"/>
  <c r="G49" i="71"/>
  <c r="H64" i="50"/>
  <c r="H12" i="72" l="1"/>
  <c r="I12" i="71"/>
  <c r="G9" i="71"/>
  <c r="G5" i="70"/>
  <c r="L15" i="70"/>
  <c r="K15" i="71"/>
  <c r="M86" i="72"/>
  <c r="K86" i="73"/>
  <c r="H15" i="73"/>
  <c r="I15" i="72"/>
  <c r="H31" i="73"/>
  <c r="K87" i="43"/>
  <c r="M87" i="74"/>
  <c r="K64" i="74"/>
  <c r="L28" i="72"/>
  <c r="H28" i="73"/>
  <c r="I86" i="72"/>
  <c r="J86" i="72" s="1"/>
  <c r="O86" i="73"/>
  <c r="L50" i="72"/>
  <c r="I50" i="72"/>
  <c r="H50" i="73"/>
  <c r="O91" i="74"/>
  <c r="I91" i="73"/>
  <c r="J91" i="73" s="1"/>
  <c r="H61" i="73"/>
  <c r="O132" i="73"/>
  <c r="I53" i="72"/>
  <c r="H53" i="73"/>
  <c r="L53" i="72"/>
  <c r="K6" i="74"/>
  <c r="G6" i="44"/>
  <c r="G111" i="74"/>
  <c r="G110" i="73"/>
  <c r="H6" i="44"/>
  <c r="I87" i="74"/>
  <c r="J87" i="74" s="1"/>
  <c r="O87" i="43"/>
  <c r="G101" i="72"/>
  <c r="G100" i="72" s="1"/>
  <c r="G102" i="73"/>
  <c r="G50" i="73"/>
  <c r="G49" i="72"/>
  <c r="K95" i="73"/>
  <c r="M95" i="72"/>
  <c r="H57" i="72"/>
  <c r="I57" i="71"/>
  <c r="I85" i="71"/>
  <c r="J85" i="71" s="1"/>
  <c r="O85" i="72"/>
  <c r="H102" i="73"/>
  <c r="I102" i="72"/>
  <c r="H56" i="74"/>
  <c r="I56" i="73"/>
  <c r="L56" i="73"/>
  <c r="L29" i="71"/>
  <c r="H29" i="72"/>
  <c r="H23" i="71"/>
  <c r="I23" i="71" s="1"/>
  <c r="O88" i="74"/>
  <c r="I88" i="73"/>
  <c r="J88" i="73" s="1"/>
  <c r="H7" i="73"/>
  <c r="L7" i="72"/>
  <c r="H23" i="72"/>
  <c r="I23" i="72" s="1"/>
  <c r="H73" i="73"/>
  <c r="L73" i="72"/>
  <c r="K94" i="74"/>
  <c r="M94" i="73"/>
  <c r="K85" i="43"/>
  <c r="M85" i="74"/>
  <c r="K50" i="46"/>
  <c r="K91" i="43"/>
  <c r="M91" i="74"/>
  <c r="H35" i="72"/>
  <c r="L35" i="71"/>
  <c r="H24" i="74"/>
  <c r="M88" i="74"/>
  <c r="K88" i="43"/>
  <c r="L8" i="44"/>
  <c r="H8" i="45"/>
  <c r="H64" i="52"/>
  <c r="I12" i="72" l="1"/>
  <c r="H12" i="73"/>
  <c r="G9" i="72"/>
  <c r="G5" i="71"/>
  <c r="L15" i="71"/>
  <c r="K15" i="72"/>
  <c r="M88" i="43"/>
  <c r="K88" i="44"/>
  <c r="H73" i="74"/>
  <c r="L73" i="73"/>
  <c r="H102" i="74"/>
  <c r="I102" i="73"/>
  <c r="K91" i="44"/>
  <c r="M91" i="43"/>
  <c r="O85" i="73"/>
  <c r="I85" i="72"/>
  <c r="J85" i="72" s="1"/>
  <c r="H53" i="74"/>
  <c r="I53" i="73"/>
  <c r="L53" i="73"/>
  <c r="O86" i="74"/>
  <c r="I86" i="73"/>
  <c r="J86" i="73" s="1"/>
  <c r="M87" i="43"/>
  <c r="K87" i="44"/>
  <c r="K50" i="47"/>
  <c r="K86" i="74"/>
  <c r="M86" i="73"/>
  <c r="O88" i="43"/>
  <c r="I88" i="74"/>
  <c r="J88" i="74" s="1"/>
  <c r="O132" i="74"/>
  <c r="I57" i="72"/>
  <c r="H57" i="73"/>
  <c r="K85" i="44"/>
  <c r="M85" i="43"/>
  <c r="H31" i="74"/>
  <c r="H31" i="43" s="1"/>
  <c r="H7" i="74"/>
  <c r="L7" i="73"/>
  <c r="G102" i="74"/>
  <c r="G101" i="73"/>
  <c r="G100" i="73" s="1"/>
  <c r="H61" i="74"/>
  <c r="O87" i="44"/>
  <c r="I87" i="43"/>
  <c r="J87" i="43" s="1"/>
  <c r="G6" i="45"/>
  <c r="O91" i="43"/>
  <c r="I91" i="74"/>
  <c r="J91" i="74" s="1"/>
  <c r="H6" i="45"/>
  <c r="H28" i="74"/>
  <c r="L28" i="73"/>
  <c r="G110" i="74"/>
  <c r="G111" i="43"/>
  <c r="K64" i="43"/>
  <c r="K6" i="43"/>
  <c r="I50" i="73"/>
  <c r="H50" i="74"/>
  <c r="L50" i="73"/>
  <c r="H24" i="43"/>
  <c r="H56" i="43"/>
  <c r="I56" i="74"/>
  <c r="L56" i="74"/>
  <c r="M95" i="73"/>
  <c r="K95" i="74"/>
  <c r="G50" i="74"/>
  <c r="G49" i="73"/>
  <c r="L8" i="45"/>
  <c r="H8" i="46"/>
  <c r="K94" i="43"/>
  <c r="M94" i="74"/>
  <c r="H29" i="73"/>
  <c r="L29" i="72"/>
  <c r="H35" i="73"/>
  <c r="L35" i="72"/>
  <c r="H15" i="74"/>
  <c r="I15" i="73"/>
  <c r="H64" i="78"/>
  <c r="H12" i="74" l="1"/>
  <c r="I12" i="73"/>
  <c r="G9" i="73"/>
  <c r="G5" i="72"/>
  <c r="K15" i="73"/>
  <c r="L15" i="72"/>
  <c r="K95" i="43"/>
  <c r="M95" i="74"/>
  <c r="H61" i="43"/>
  <c r="L29" i="73"/>
  <c r="H29" i="74"/>
  <c r="O86" i="43"/>
  <c r="I86" i="74"/>
  <c r="J86" i="74" s="1"/>
  <c r="H56" i="44"/>
  <c r="I56" i="43"/>
  <c r="L56" i="43"/>
  <c r="O88" i="44"/>
  <c r="I88" i="43"/>
  <c r="J88" i="43" s="1"/>
  <c r="H24" i="44"/>
  <c r="K6" i="44"/>
  <c r="I102" i="74"/>
  <c r="H102" i="43"/>
  <c r="H7" i="43"/>
  <c r="L7" i="74"/>
  <c r="K86" i="43"/>
  <c r="M86" i="74"/>
  <c r="I53" i="74"/>
  <c r="H53" i="43"/>
  <c r="L53" i="74"/>
  <c r="M94" i="43"/>
  <c r="K94" i="44"/>
  <c r="M87" i="44"/>
  <c r="K87" i="45"/>
  <c r="K64" i="44"/>
  <c r="I87" i="44"/>
  <c r="J87" i="44" s="1"/>
  <c r="O87" i="45"/>
  <c r="G50" i="43"/>
  <c r="G49" i="74"/>
  <c r="K50" i="48"/>
  <c r="O85" i="74"/>
  <c r="I85" i="73"/>
  <c r="J85" i="73" s="1"/>
  <c r="G102" i="43"/>
  <c r="G101" i="74"/>
  <c r="G100" i="74" s="1"/>
  <c r="O91" i="44"/>
  <c r="I91" i="43"/>
  <c r="J91" i="43" s="1"/>
  <c r="G6" i="46"/>
  <c r="H28" i="43"/>
  <c r="L28" i="74"/>
  <c r="H73" i="43"/>
  <c r="L73" i="74"/>
  <c r="G110" i="43"/>
  <c r="G111" i="44"/>
  <c r="H31" i="44"/>
  <c r="M91" i="44"/>
  <c r="K91" i="45"/>
  <c r="M88" i="44"/>
  <c r="K88" i="45"/>
  <c r="I15" i="74"/>
  <c r="H15" i="43"/>
  <c r="O132" i="43"/>
  <c r="H6" i="46"/>
  <c r="I57" i="73"/>
  <c r="H57" i="74"/>
  <c r="H8" i="47"/>
  <c r="L8" i="46"/>
  <c r="L50" i="74"/>
  <c r="I50" i="74"/>
  <c r="H50" i="43"/>
  <c r="K85" i="46"/>
  <c r="M85" i="46" s="1"/>
  <c r="M85" i="44"/>
  <c r="K85" i="45"/>
  <c r="M85" i="45" s="1"/>
  <c r="H35" i="74"/>
  <c r="L35" i="73"/>
  <c r="H23" i="73"/>
  <c r="I23" i="73" s="1"/>
  <c r="H12" i="43" l="1"/>
  <c r="I12" i="74"/>
  <c r="G9" i="74"/>
  <c r="G5" i="73"/>
  <c r="L15" i="73"/>
  <c r="K15" i="74"/>
  <c r="G6" i="47"/>
  <c r="M86" i="43"/>
  <c r="K86" i="44"/>
  <c r="O86" i="44"/>
  <c r="I86" i="43"/>
  <c r="J86" i="43" s="1"/>
  <c r="H61" i="44"/>
  <c r="H15" i="44"/>
  <c r="I15" i="43"/>
  <c r="O91" i="45"/>
  <c r="I91" i="44"/>
  <c r="J91" i="44" s="1"/>
  <c r="O88" i="45"/>
  <c r="I88" i="44"/>
  <c r="J88" i="44" s="1"/>
  <c r="H73" i="44"/>
  <c r="L73" i="43"/>
  <c r="K87" i="46"/>
  <c r="M87" i="45"/>
  <c r="M95" i="43"/>
  <c r="K95" i="44"/>
  <c r="L8" i="47"/>
  <c r="H8" i="48"/>
  <c r="H24" i="45"/>
  <c r="L35" i="74"/>
  <c r="H35" i="43"/>
  <c r="K64" i="45"/>
  <c r="G101" i="43"/>
  <c r="G100" i="43" s="1"/>
  <c r="G102" i="44"/>
  <c r="I57" i="74"/>
  <c r="H57" i="43"/>
  <c r="K94" i="45"/>
  <c r="M94" i="44"/>
  <c r="H56" i="45"/>
  <c r="I56" i="44"/>
  <c r="L56" i="44"/>
  <c r="H31" i="45"/>
  <c r="H7" i="44"/>
  <c r="L7" i="43"/>
  <c r="G50" i="44"/>
  <c r="G49" i="43"/>
  <c r="L29" i="74"/>
  <c r="H29" i="43"/>
  <c r="H23" i="74"/>
  <c r="I23" i="74" s="1"/>
  <c r="K88" i="46"/>
  <c r="M88" i="45"/>
  <c r="H50" i="44"/>
  <c r="I50" i="43"/>
  <c r="L50" i="43"/>
  <c r="G110" i="44"/>
  <c r="G111" i="45"/>
  <c r="K6" i="45"/>
  <c r="H28" i="44"/>
  <c r="L28" i="43"/>
  <c r="I85" i="74"/>
  <c r="J85" i="74" s="1"/>
  <c r="O85" i="43"/>
  <c r="H102" i="44"/>
  <c r="I102" i="43"/>
  <c r="M91" i="45"/>
  <c r="K91" i="46"/>
  <c r="H6" i="47"/>
  <c r="O132" i="44"/>
  <c r="H53" i="44"/>
  <c r="I53" i="43"/>
  <c r="L53" i="43"/>
  <c r="K50" i="49"/>
  <c r="O87" i="46"/>
  <c r="I87" i="45"/>
  <c r="J87" i="45" s="1"/>
  <c r="H12" i="44" l="1"/>
  <c r="I12" i="44" s="1"/>
  <c r="I12" i="43"/>
  <c r="G9" i="43"/>
  <c r="G5" i="74"/>
  <c r="L15" i="74"/>
  <c r="K15" i="43"/>
  <c r="M94" i="45"/>
  <c r="K94" i="46"/>
  <c r="K6" i="46"/>
  <c r="H53" i="45"/>
  <c r="I53" i="44"/>
  <c r="L53" i="44"/>
  <c r="H15" i="45"/>
  <c r="I15" i="44"/>
  <c r="H61" i="45"/>
  <c r="G50" i="45"/>
  <c r="G49" i="44"/>
  <c r="O88" i="46"/>
  <c r="I88" i="45"/>
  <c r="J88" i="45" s="1"/>
  <c r="O86" i="45"/>
  <c r="I86" i="44"/>
  <c r="J86" i="44" s="1"/>
  <c r="H73" i="45"/>
  <c r="L73" i="44"/>
  <c r="H57" i="44"/>
  <c r="I57" i="43"/>
  <c r="K50" i="50"/>
  <c r="K86" i="45"/>
  <c r="M86" i="44"/>
  <c r="K88" i="47"/>
  <c r="M88" i="46"/>
  <c r="O87" i="47"/>
  <c r="I87" i="46"/>
  <c r="J87" i="46" s="1"/>
  <c r="H7" i="45"/>
  <c r="L7" i="44"/>
  <c r="K64" i="46"/>
  <c r="I91" i="45"/>
  <c r="J91" i="45" s="1"/>
  <c r="O91" i="46"/>
  <c r="H8" i="49"/>
  <c r="L8" i="48"/>
  <c r="O132" i="45"/>
  <c r="H28" i="45"/>
  <c r="L28" i="44"/>
  <c r="H56" i="46"/>
  <c r="I56" i="45"/>
  <c r="L56" i="45"/>
  <c r="L35" i="43"/>
  <c r="H35" i="44"/>
  <c r="H31" i="46"/>
  <c r="H6" i="48"/>
  <c r="K95" i="45"/>
  <c r="M95" i="44"/>
  <c r="H50" i="45"/>
  <c r="I50" i="44"/>
  <c r="L50" i="44"/>
  <c r="H102" i="45"/>
  <c r="I102" i="44"/>
  <c r="I85" i="43"/>
  <c r="J85" i="43" s="1"/>
  <c r="O85" i="44"/>
  <c r="G110" i="45"/>
  <c r="G111" i="46"/>
  <c r="G6" i="48"/>
  <c r="H29" i="44"/>
  <c r="H23" i="44" s="1"/>
  <c r="I23" i="44" s="1"/>
  <c r="L29" i="43"/>
  <c r="H23" i="43"/>
  <c r="I23" i="43" s="1"/>
  <c r="K91" i="47"/>
  <c r="M91" i="46"/>
  <c r="G102" i="45"/>
  <c r="G101" i="44"/>
  <c r="G100" i="44" s="1"/>
  <c r="H24" i="46"/>
  <c r="K87" i="47"/>
  <c r="M87" i="46"/>
  <c r="G9" i="44" l="1"/>
  <c r="G5" i="43"/>
  <c r="K15" i="44"/>
  <c r="L15" i="43"/>
  <c r="H8" i="50"/>
  <c r="L8" i="49"/>
  <c r="M87" i="47"/>
  <c r="K87" i="48"/>
  <c r="I91" i="46"/>
  <c r="J91" i="46" s="1"/>
  <c r="O91" i="47"/>
  <c r="G50" i="46"/>
  <c r="G49" i="45"/>
  <c r="H7" i="46"/>
  <c r="L7" i="45"/>
  <c r="I102" i="45"/>
  <c r="H102" i="46"/>
  <c r="H57" i="45"/>
  <c r="I57" i="44"/>
  <c r="K91" i="48"/>
  <c r="M91" i="47"/>
  <c r="O85" i="46"/>
  <c r="I85" i="46" s="1"/>
  <c r="J85" i="46" s="1"/>
  <c r="O85" i="45"/>
  <c r="I85" i="45" s="1"/>
  <c r="J85" i="45" s="1"/>
  <c r="I85" i="44"/>
  <c r="J85" i="44" s="1"/>
  <c r="H73" i="46"/>
  <c r="L73" i="45"/>
  <c r="I15" i="45"/>
  <c r="H15" i="46"/>
  <c r="M86" i="45"/>
  <c r="K86" i="46"/>
  <c r="H28" i="46"/>
  <c r="L28" i="45"/>
  <c r="G102" i="46"/>
  <c r="G101" i="45"/>
  <c r="G100" i="45" s="1"/>
  <c r="H61" i="46"/>
  <c r="G6" i="49"/>
  <c r="O87" i="48"/>
  <c r="I87" i="47"/>
  <c r="J87" i="47" s="1"/>
  <c r="K50" i="52"/>
  <c r="K64" i="47"/>
  <c r="H6" i="49"/>
  <c r="I86" i="45"/>
  <c r="J86" i="45" s="1"/>
  <c r="O86" i="46"/>
  <c r="H24" i="47"/>
  <c r="I53" i="45"/>
  <c r="H53" i="46"/>
  <c r="L53" i="45"/>
  <c r="H35" i="45"/>
  <c r="L35" i="44"/>
  <c r="G110" i="46"/>
  <c r="G111" i="47"/>
  <c r="O88" i="47"/>
  <c r="I88" i="46"/>
  <c r="J88" i="46" s="1"/>
  <c r="M95" i="45"/>
  <c r="K95" i="46"/>
  <c r="H50" i="46"/>
  <c r="I50" i="45"/>
  <c r="L50" i="45"/>
  <c r="M88" i="47"/>
  <c r="K88" i="48"/>
  <c r="K94" i="47"/>
  <c r="M94" i="46"/>
  <c r="H29" i="45"/>
  <c r="L29" i="44"/>
  <c r="K6" i="47"/>
  <c r="O132" i="46"/>
  <c r="I56" i="46"/>
  <c r="H56" i="47"/>
  <c r="L56" i="46"/>
  <c r="H31" i="47"/>
  <c r="G9" i="45" l="1"/>
  <c r="G5" i="44"/>
  <c r="L15" i="44"/>
  <c r="K15" i="45"/>
  <c r="K87" i="49"/>
  <c r="M87" i="48"/>
  <c r="L29" i="45"/>
  <c r="H29" i="46"/>
  <c r="H23" i="45"/>
  <c r="I23" i="45" s="1"/>
  <c r="O88" i="48"/>
  <c r="I88" i="47"/>
  <c r="J88" i="47" s="1"/>
  <c r="G111" i="48"/>
  <c r="G110" i="47"/>
  <c r="G6" i="50"/>
  <c r="G102" i="47"/>
  <c r="G101" i="46"/>
  <c r="G100" i="46" s="1"/>
  <c r="H73" i="47"/>
  <c r="L73" i="46"/>
  <c r="H102" i="47"/>
  <c r="I102" i="46"/>
  <c r="H53" i="47"/>
  <c r="I53" i="46"/>
  <c r="L53" i="46"/>
  <c r="H57" i="46"/>
  <c r="I57" i="45"/>
  <c r="K95" i="47"/>
  <c r="M95" i="46"/>
  <c r="H24" i="48"/>
  <c r="H50" i="47"/>
  <c r="I50" i="46"/>
  <c r="L50" i="46"/>
  <c r="K91" i="49"/>
  <c r="M91" i="48"/>
  <c r="H8" i="52"/>
  <c r="L8" i="50"/>
  <c r="O132" i="47"/>
  <c r="O86" i="47"/>
  <c r="I86" i="46"/>
  <c r="J86" i="46" s="1"/>
  <c r="H7" i="47"/>
  <c r="L7" i="46"/>
  <c r="H15" i="47"/>
  <c r="I15" i="46"/>
  <c r="H61" i="47"/>
  <c r="H35" i="46"/>
  <c r="L35" i="45"/>
  <c r="K50" i="78"/>
  <c r="K86" i="47"/>
  <c r="M86" i="46"/>
  <c r="O91" i="48"/>
  <c r="I91" i="47"/>
  <c r="J91" i="47" s="1"/>
  <c r="K94" i="48"/>
  <c r="M94" i="47"/>
  <c r="K88" i="49"/>
  <c r="M88" i="48"/>
  <c r="G50" i="47"/>
  <c r="G49" i="46"/>
  <c r="K6" i="48"/>
  <c r="H6" i="50"/>
  <c r="L28" i="46"/>
  <c r="H28" i="47"/>
  <c r="H31" i="48"/>
  <c r="H56" i="48"/>
  <c r="I56" i="47"/>
  <c r="L56" i="47"/>
  <c r="K64" i="48"/>
  <c r="O87" i="49"/>
  <c r="I87" i="48"/>
  <c r="J87" i="48" s="1"/>
  <c r="G9" i="46" l="1"/>
  <c r="G5" i="45"/>
  <c r="L15" i="45"/>
  <c r="K15" i="46"/>
  <c r="H50" i="48"/>
  <c r="I50" i="47"/>
  <c r="L50" i="47"/>
  <c r="K64" i="49"/>
  <c r="K94" i="49"/>
  <c r="M94" i="48"/>
  <c r="I15" i="47"/>
  <c r="H15" i="48"/>
  <c r="O88" i="49"/>
  <c r="I88" i="48"/>
  <c r="J88" i="48" s="1"/>
  <c r="I87" i="49"/>
  <c r="J87" i="49" s="1"/>
  <c r="O87" i="50"/>
  <c r="H8" i="78"/>
  <c r="L8" i="78" s="1"/>
  <c r="L8" i="52"/>
  <c r="H102" i="48"/>
  <c r="I102" i="47"/>
  <c r="O132" i="48"/>
  <c r="L28" i="47"/>
  <c r="H28" i="48"/>
  <c r="H29" i="47"/>
  <c r="L29" i="46"/>
  <c r="H23" i="46"/>
  <c r="I23" i="46" s="1"/>
  <c r="M91" i="49"/>
  <c r="K91" i="50"/>
  <c r="H73" i="48"/>
  <c r="L73" i="47"/>
  <c r="K6" i="49"/>
  <c r="H35" i="47"/>
  <c r="L35" i="46"/>
  <c r="H57" i="47"/>
  <c r="I57" i="46"/>
  <c r="H56" i="49"/>
  <c r="I56" i="48"/>
  <c r="L56" i="48"/>
  <c r="G110" i="48"/>
  <c r="G111" i="49"/>
  <c r="G49" i="47"/>
  <c r="G50" i="48"/>
  <c r="O91" i="49"/>
  <c r="I91" i="48"/>
  <c r="J91" i="48" s="1"/>
  <c r="K86" i="48"/>
  <c r="M86" i="47"/>
  <c r="G102" i="48"/>
  <c r="G101" i="47"/>
  <c r="G100" i="47" s="1"/>
  <c r="M87" i="49"/>
  <c r="K87" i="50"/>
  <c r="H24" i="49"/>
  <c r="G6" i="52"/>
  <c r="H31" i="49"/>
  <c r="H6" i="52"/>
  <c r="H61" i="48"/>
  <c r="I86" i="47"/>
  <c r="J86" i="47" s="1"/>
  <c r="O86" i="48"/>
  <c r="H53" i="48"/>
  <c r="I53" i="47"/>
  <c r="L53" i="47"/>
  <c r="M95" i="47"/>
  <c r="K95" i="48"/>
  <c r="H7" i="48"/>
  <c r="L7" i="47"/>
  <c r="K88" i="50"/>
  <c r="M88" i="49"/>
  <c r="G9" i="47" l="1"/>
  <c r="G5" i="46"/>
  <c r="K15" i="47"/>
  <c r="L15" i="46"/>
  <c r="K91" i="52"/>
  <c r="M91" i="50"/>
  <c r="K64" i="50"/>
  <c r="O87" i="52"/>
  <c r="I87" i="50"/>
  <c r="J87" i="50" s="1"/>
  <c r="G102" i="49"/>
  <c r="G101" i="48"/>
  <c r="G100" i="48" s="1"/>
  <c r="H31" i="50"/>
  <c r="I57" i="47"/>
  <c r="H57" i="48"/>
  <c r="L28" i="48"/>
  <c r="H28" i="49"/>
  <c r="H15" i="49"/>
  <c r="I15" i="48"/>
  <c r="M88" i="50"/>
  <c r="K88" i="52"/>
  <c r="H35" i="48"/>
  <c r="L35" i="47"/>
  <c r="O88" i="50"/>
  <c r="I88" i="49"/>
  <c r="J88" i="49" s="1"/>
  <c r="K86" i="49"/>
  <c r="M86" i="48"/>
  <c r="I91" i="49"/>
  <c r="J91" i="49" s="1"/>
  <c r="O91" i="50"/>
  <c r="H53" i="49"/>
  <c r="I53" i="48"/>
  <c r="L53" i="48"/>
  <c r="K95" i="49"/>
  <c r="M95" i="48"/>
  <c r="H24" i="50"/>
  <c r="O132" i="49"/>
  <c r="K94" i="50"/>
  <c r="M94" i="49"/>
  <c r="G50" i="49"/>
  <c r="G49" i="48"/>
  <c r="I86" i="48"/>
  <c r="J86" i="48" s="1"/>
  <c r="O86" i="49"/>
  <c r="G6" i="78"/>
  <c r="G111" i="50"/>
  <c r="G110" i="49"/>
  <c r="K6" i="50"/>
  <c r="I50" i="48"/>
  <c r="H50" i="49"/>
  <c r="L50" i="48"/>
  <c r="H61" i="49"/>
  <c r="H73" i="49"/>
  <c r="L73" i="48"/>
  <c r="K87" i="52"/>
  <c r="M87" i="50"/>
  <c r="L7" i="48"/>
  <c r="H7" i="49"/>
  <c r="H6" i="78"/>
  <c r="H23" i="48"/>
  <c r="I23" i="48" s="1"/>
  <c r="I56" i="49"/>
  <c r="H56" i="50"/>
  <c r="L56" i="49"/>
  <c r="H29" i="48"/>
  <c r="L29" i="47"/>
  <c r="H23" i="47"/>
  <c r="I23" i="47" s="1"/>
  <c r="H102" i="49"/>
  <c r="I102" i="48"/>
  <c r="G9" i="48" l="1"/>
  <c r="G5" i="47"/>
  <c r="L15" i="47"/>
  <c r="K15" i="48"/>
  <c r="O86" i="50"/>
  <c r="I86" i="49"/>
  <c r="J86" i="49" s="1"/>
  <c r="O88" i="52"/>
  <c r="I88" i="50"/>
  <c r="J88" i="50" s="1"/>
  <c r="O87" i="78"/>
  <c r="I87" i="52"/>
  <c r="J87" i="52" s="1"/>
  <c r="G101" i="49"/>
  <c r="G100" i="49" s="1"/>
  <c r="G102" i="50"/>
  <c r="H50" i="50"/>
  <c r="I50" i="49"/>
  <c r="L50" i="49"/>
  <c r="H57" i="49"/>
  <c r="I57" i="48"/>
  <c r="H53" i="50"/>
  <c r="I53" i="49"/>
  <c r="L53" i="49"/>
  <c r="H7" i="50"/>
  <c r="L7" i="49"/>
  <c r="H15" i="50"/>
  <c r="I15" i="49"/>
  <c r="K86" i="50"/>
  <c r="M86" i="49"/>
  <c r="K64" i="52"/>
  <c r="H61" i="50"/>
  <c r="H73" i="50"/>
  <c r="L73" i="49"/>
  <c r="G50" i="50"/>
  <c r="G49" i="49"/>
  <c r="O91" i="52"/>
  <c r="I91" i="50"/>
  <c r="J91" i="50" s="1"/>
  <c r="I102" i="49"/>
  <c r="H102" i="50"/>
  <c r="K6" i="52"/>
  <c r="H24" i="52"/>
  <c r="L29" i="48"/>
  <c r="H29" i="49"/>
  <c r="G111" i="52"/>
  <c r="G110" i="50"/>
  <c r="K94" i="52"/>
  <c r="M94" i="50"/>
  <c r="H31" i="52"/>
  <c r="M88" i="52"/>
  <c r="K88" i="78"/>
  <c r="M88" i="78" s="1"/>
  <c r="O132" i="50"/>
  <c r="H35" i="49"/>
  <c r="L35" i="48"/>
  <c r="M87" i="52"/>
  <c r="K87" i="78"/>
  <c r="M87" i="78" s="1"/>
  <c r="M95" i="49"/>
  <c r="K95" i="50"/>
  <c r="H56" i="52"/>
  <c r="I56" i="50"/>
  <c r="L56" i="50"/>
  <c r="H28" i="50"/>
  <c r="L28" i="49"/>
  <c r="K91" i="78"/>
  <c r="M91" i="78" s="1"/>
  <c r="M91" i="52"/>
  <c r="G9" i="49" l="1"/>
  <c r="G5" i="48"/>
  <c r="L15" i="48"/>
  <c r="K15" i="49"/>
  <c r="H61" i="52"/>
  <c r="I53" i="50"/>
  <c r="H53" i="52"/>
  <c r="L53" i="50"/>
  <c r="H56" i="78"/>
  <c r="I56" i="52"/>
  <c r="L56" i="52"/>
  <c r="H15" i="52"/>
  <c r="I15" i="50"/>
  <c r="K64" i="78"/>
  <c r="L29" i="49"/>
  <c r="H29" i="50"/>
  <c r="H23" i="50" s="1"/>
  <c r="I23" i="50" s="1"/>
  <c r="H23" i="49"/>
  <c r="I23" i="49" s="1"/>
  <c r="H57" i="50"/>
  <c r="I57" i="49"/>
  <c r="G102" i="52"/>
  <c r="G101" i="50"/>
  <c r="G100" i="50" s="1"/>
  <c r="H28" i="52"/>
  <c r="L28" i="50"/>
  <c r="O91" i="78"/>
  <c r="I91" i="78" s="1"/>
  <c r="J91" i="78" s="1"/>
  <c r="I91" i="52"/>
  <c r="J91" i="52" s="1"/>
  <c r="H31" i="78"/>
  <c r="K95" i="52"/>
  <c r="M95" i="50"/>
  <c r="G50" i="52"/>
  <c r="G49" i="50"/>
  <c r="O88" i="78"/>
  <c r="I88" i="78" s="1"/>
  <c r="J88" i="78" s="1"/>
  <c r="I88" i="52"/>
  <c r="J88" i="52" s="1"/>
  <c r="H7" i="52"/>
  <c r="L7" i="50"/>
  <c r="K6" i="78"/>
  <c r="H73" i="52"/>
  <c r="L73" i="50"/>
  <c r="K86" i="52"/>
  <c r="M86" i="50"/>
  <c r="I87" i="78"/>
  <c r="J87" i="78" s="1"/>
  <c r="H35" i="50"/>
  <c r="L35" i="49"/>
  <c r="H102" i="52"/>
  <c r="I102" i="50"/>
  <c r="K94" i="78"/>
  <c r="M94" i="78" s="1"/>
  <c r="M94" i="52"/>
  <c r="H50" i="52"/>
  <c r="I50" i="50"/>
  <c r="L50" i="50"/>
  <c r="O132" i="52"/>
  <c r="H24" i="78"/>
  <c r="G110" i="52"/>
  <c r="G111" i="78"/>
  <c r="G110" i="78" s="1"/>
  <c r="O86" i="52"/>
  <c r="I86" i="50"/>
  <c r="J86" i="50" s="1"/>
  <c r="G9" i="50" l="1"/>
  <c r="G5" i="49"/>
  <c r="K15" i="50"/>
  <c r="L15" i="49"/>
  <c r="I86" i="52"/>
  <c r="J86" i="52" s="1"/>
  <c r="O86" i="78"/>
  <c r="H35" i="52"/>
  <c r="L35" i="50"/>
  <c r="G50" i="78"/>
  <c r="G49" i="78" s="1"/>
  <c r="G49" i="52"/>
  <c r="O132" i="78"/>
  <c r="H7" i="78"/>
  <c r="L7" i="78" s="1"/>
  <c r="L7" i="52"/>
  <c r="I56" i="78"/>
  <c r="L56" i="78"/>
  <c r="H15" i="78"/>
  <c r="I15" i="52"/>
  <c r="H29" i="52"/>
  <c r="L29" i="50"/>
  <c r="I57" i="50"/>
  <c r="H57" i="52"/>
  <c r="K86" i="78"/>
  <c r="M86" i="78" s="1"/>
  <c r="M86" i="52"/>
  <c r="H73" i="78"/>
  <c r="L73" i="78" s="1"/>
  <c r="L73" i="52"/>
  <c r="H50" i="78"/>
  <c r="L50" i="52"/>
  <c r="I50" i="52"/>
  <c r="H53" i="78"/>
  <c r="I53" i="52"/>
  <c r="L53" i="52"/>
  <c r="H102" i="78"/>
  <c r="I102" i="52"/>
  <c r="G101" i="52"/>
  <c r="G100" i="52" s="1"/>
  <c r="G102" i="78"/>
  <c r="G101" i="78" s="1"/>
  <c r="G100" i="78" s="1"/>
  <c r="K95" i="78"/>
  <c r="M95" i="78" s="1"/>
  <c r="M95" i="52"/>
  <c r="L28" i="52"/>
  <c r="H28" i="78"/>
  <c r="L28" i="78" s="1"/>
  <c r="H61" i="78"/>
  <c r="G9" i="52" l="1"/>
  <c r="G5" i="50"/>
  <c r="K15" i="52"/>
  <c r="L15" i="50"/>
  <c r="I53" i="78"/>
  <c r="L53" i="78"/>
  <c r="I57" i="52"/>
  <c r="H57" i="78"/>
  <c r="I57" i="78" s="1"/>
  <c r="I15" i="78"/>
  <c r="L50" i="78"/>
  <c r="I50" i="78"/>
  <c r="L29" i="52"/>
  <c r="H29" i="78"/>
  <c r="H23" i="52"/>
  <c r="I23" i="52" s="1"/>
  <c r="I102" i="78"/>
  <c r="H35" i="78"/>
  <c r="L35" i="52"/>
  <c r="I86" i="78"/>
  <c r="J86" i="78" s="1"/>
  <c r="G9" i="78" l="1"/>
  <c r="G5" i="78" s="1"/>
  <c r="G5" i="52"/>
  <c r="L15" i="52"/>
  <c r="K15" i="78"/>
  <c r="L15" i="78" s="1"/>
  <c r="L29" i="78"/>
  <c r="H23" i="78"/>
  <c r="I23" i="78" s="1"/>
  <c r="L35" i="78"/>
  <c r="D33" i="49" l="1"/>
  <c r="D33" i="46"/>
  <c r="D33" i="44"/>
  <c r="D33" i="52"/>
  <c r="D33" i="50"/>
  <c r="D33" i="45"/>
  <c r="D33" i="73"/>
  <c r="D33" i="74"/>
  <c r="D33" i="78"/>
  <c r="D33" i="47"/>
  <c r="D33" i="72"/>
  <c r="D33" i="71"/>
  <c r="D33" i="70"/>
  <c r="D33" i="43"/>
  <c r="D33" i="67"/>
  <c r="D33" i="65"/>
  <c r="D33" i="57"/>
  <c r="D33" i="64"/>
  <c r="D33" i="66"/>
  <c r="D33" i="60"/>
  <c r="D33" i="56"/>
  <c r="D33" i="63"/>
  <c r="D33" i="58"/>
  <c r="D33" i="68"/>
  <c r="D33" i="62"/>
  <c r="D33" i="61"/>
  <c r="D33" i="59"/>
  <c r="D33" i="69"/>
  <c r="D33" i="55"/>
  <c r="D33" i="48" l="1"/>
  <c r="D27" i="74" l="1"/>
  <c r="L27" i="74" s="1"/>
  <c r="D27" i="78"/>
  <c r="L27" i="78" s="1"/>
  <c r="D27" i="47"/>
  <c r="L27" i="47" s="1"/>
  <c r="D27" i="43"/>
  <c r="L27" i="43" s="1"/>
  <c r="D27" i="48"/>
  <c r="L27" i="48" s="1"/>
  <c r="D27" i="71"/>
  <c r="L27" i="71" s="1"/>
  <c r="D27" i="52"/>
  <c r="L27" i="52" s="1"/>
  <c r="D27" i="50"/>
  <c r="L27" i="50" s="1"/>
  <c r="D27" i="45"/>
  <c r="L27" i="45" s="1"/>
  <c r="D27" i="72"/>
  <c r="L27" i="72" s="1"/>
  <c r="D27" i="69"/>
  <c r="L27" i="69" s="1"/>
  <c r="D27" i="64"/>
  <c r="L27" i="64" s="1"/>
  <c r="D27" i="46"/>
  <c r="L27" i="46" s="1"/>
  <c r="D27" i="73"/>
  <c r="L27" i="73" s="1"/>
  <c r="D27" i="68"/>
  <c r="L27" i="68" s="1"/>
  <c r="D27" i="44"/>
  <c r="L27" i="44" s="1"/>
  <c r="D27" i="63"/>
  <c r="L27" i="63" s="1"/>
  <c r="D27" i="49"/>
  <c r="L27" i="49" s="1"/>
  <c r="D27" i="67"/>
  <c r="L27" i="67" s="1"/>
  <c r="D27" i="65"/>
  <c r="L27" i="65" s="1"/>
  <c r="D27" i="62"/>
  <c r="L27" i="62" s="1"/>
  <c r="D27" i="70"/>
  <c r="L27" i="70" s="1"/>
  <c r="D27" i="61"/>
  <c r="L27" i="61" s="1"/>
  <c r="D27" i="56"/>
  <c r="L27" i="56" s="1"/>
  <c r="D27" i="55"/>
  <c r="L27" i="55" s="1"/>
  <c r="D27" i="66"/>
  <c r="L27" i="66" s="1"/>
  <c r="D27" i="60"/>
  <c r="L27" i="60" s="1"/>
  <c r="D27" i="59"/>
  <c r="L27" i="59" s="1"/>
  <c r="D27" i="57"/>
  <c r="L27" i="57" s="1"/>
  <c r="L27" i="54"/>
  <c r="D27" i="58"/>
  <c r="L27" i="58" s="1"/>
  <c r="D71" i="52" l="1"/>
  <c r="L71" i="52" s="1"/>
  <c r="D71" i="49"/>
  <c r="L71" i="49" s="1"/>
  <c r="D71" i="44"/>
  <c r="D71" i="50"/>
  <c r="L71" i="50" s="1"/>
  <c r="D71" i="73"/>
  <c r="L71" i="73" s="1"/>
  <c r="D71" i="78"/>
  <c r="L71" i="78" s="1"/>
  <c r="D71" i="74"/>
  <c r="L71" i="74" s="1"/>
  <c r="D71" i="43"/>
  <c r="L71" i="43" s="1"/>
  <c r="D71" i="71"/>
  <c r="L71" i="71" s="1"/>
  <c r="D71" i="68"/>
  <c r="L71" i="68" s="1"/>
  <c r="D71" i="67"/>
  <c r="L71" i="67" s="1"/>
  <c r="D71" i="64"/>
  <c r="L71" i="64" s="1"/>
  <c r="D71" i="72"/>
  <c r="L71" i="72" s="1"/>
  <c r="D71" i="65"/>
  <c r="L71" i="65" s="1"/>
  <c r="D71" i="59"/>
  <c r="L71" i="59" s="1"/>
  <c r="D71" i="61"/>
  <c r="L71" i="61" s="1"/>
  <c r="D71" i="60"/>
  <c r="L71" i="60" s="1"/>
  <c r="D71" i="70"/>
  <c r="L71" i="70" s="1"/>
  <c r="D71" i="69"/>
  <c r="L71" i="69" s="1"/>
  <c r="D71" i="66"/>
  <c r="L71" i="66" s="1"/>
  <c r="D71" i="63"/>
  <c r="L71" i="63" s="1"/>
  <c r="D71" i="55"/>
  <c r="L71" i="55" s="1"/>
  <c r="D71" i="56"/>
  <c r="L71" i="56" s="1"/>
  <c r="D71" i="57"/>
  <c r="L71" i="57" s="1"/>
  <c r="D71" i="62"/>
  <c r="L71" i="62" s="1"/>
  <c r="D71" i="58"/>
  <c r="L71" i="58" s="1"/>
  <c r="L71" i="54"/>
  <c r="D34" i="72"/>
  <c r="L34" i="72" s="1"/>
  <c r="D34" i="73"/>
  <c r="L34" i="73" s="1"/>
  <c r="D34" i="74"/>
  <c r="L34" i="74" s="1"/>
  <c r="D34" i="78"/>
  <c r="L34" i="78" s="1"/>
  <c r="D34" i="47"/>
  <c r="D34" i="43"/>
  <c r="L34" i="43" s="1"/>
  <c r="D34" i="49"/>
  <c r="L34" i="49" s="1"/>
  <c r="D34" i="46"/>
  <c r="L34" i="46" s="1"/>
  <c r="D34" i="44"/>
  <c r="L34" i="44" s="1"/>
  <c r="D34" i="67"/>
  <c r="L34" i="67" s="1"/>
  <c r="D34" i="66"/>
  <c r="L34" i="66" s="1"/>
  <c r="D34" i="65"/>
  <c r="L34" i="65" s="1"/>
  <c r="D34" i="63"/>
  <c r="L34" i="63" s="1"/>
  <c r="D34" i="69"/>
  <c r="L34" i="69" s="1"/>
  <c r="D34" i="71"/>
  <c r="L34" i="71" s="1"/>
  <c r="D34" i="70"/>
  <c r="L34" i="70" s="1"/>
  <c r="D34" i="64"/>
  <c r="L34" i="64" s="1"/>
  <c r="D34" i="52"/>
  <c r="L34" i="52" s="1"/>
  <c r="D34" i="50"/>
  <c r="L34" i="50" s="1"/>
  <c r="D34" i="57"/>
  <c r="L34" i="57" s="1"/>
  <c r="D34" i="61"/>
  <c r="L34" i="61" s="1"/>
  <c r="D34" i="60"/>
  <c r="L34" i="60" s="1"/>
  <c r="D34" i="56"/>
  <c r="L34" i="56" s="1"/>
  <c r="D34" i="62"/>
  <c r="L34" i="62" s="1"/>
  <c r="D34" i="45"/>
  <c r="L34" i="45" s="1"/>
  <c r="D34" i="59"/>
  <c r="L34" i="59" s="1"/>
  <c r="D34" i="55"/>
  <c r="L34" i="55" s="1"/>
  <c r="L34" i="54"/>
  <c r="D34" i="58"/>
  <c r="L34" i="58" s="1"/>
  <c r="D34" i="68"/>
  <c r="L34" i="68" s="1"/>
  <c r="D13" i="47"/>
  <c r="L13" i="47" s="1"/>
  <c r="D13" i="43"/>
  <c r="L13" i="43" s="1"/>
  <c r="D13" i="48"/>
  <c r="L13" i="48" s="1"/>
  <c r="D13" i="49"/>
  <c r="L13" i="49" s="1"/>
  <c r="D13" i="44"/>
  <c r="L13" i="44" s="1"/>
  <c r="D13" i="50"/>
  <c r="L13" i="50" s="1"/>
  <c r="D13" i="45"/>
  <c r="L13" i="45" s="1"/>
  <c r="D13" i="52"/>
  <c r="L13" i="52" s="1"/>
  <c r="D13" i="46"/>
  <c r="L13" i="46" s="1"/>
  <c r="D13" i="73"/>
  <c r="L13" i="73" s="1"/>
  <c r="D13" i="70"/>
  <c r="L13" i="70" s="1"/>
  <c r="D13" i="74"/>
  <c r="L13" i="74" s="1"/>
  <c r="D13" i="69"/>
  <c r="L13" i="69" s="1"/>
  <c r="D13" i="66"/>
  <c r="L13" i="66" s="1"/>
  <c r="D13" i="62"/>
  <c r="L13" i="62" s="1"/>
  <c r="D13" i="61"/>
  <c r="L13" i="61" s="1"/>
  <c r="D13" i="78"/>
  <c r="L13" i="78" s="1"/>
  <c r="D13" i="64"/>
  <c r="L13" i="64" s="1"/>
  <c r="D13" i="58"/>
  <c r="L13" i="58" s="1"/>
  <c r="D13" i="56"/>
  <c r="L13" i="56" s="1"/>
  <c r="D13" i="72"/>
  <c r="L13" i="72" s="1"/>
  <c r="D13" i="65"/>
  <c r="L13" i="65" s="1"/>
  <c r="D13" i="63"/>
  <c r="L13" i="63" s="1"/>
  <c r="D13" i="60"/>
  <c r="L13" i="60" s="1"/>
  <c r="D13" i="59"/>
  <c r="L13" i="59" s="1"/>
  <c r="D13" i="68"/>
  <c r="L13" i="68" s="1"/>
  <c r="D13" i="71"/>
  <c r="L13" i="71" s="1"/>
  <c r="D13" i="67"/>
  <c r="L13" i="67" s="1"/>
  <c r="D13" i="57"/>
  <c r="L13" i="57" s="1"/>
  <c r="D13" i="55"/>
  <c r="L13" i="55" s="1"/>
  <c r="L13" i="54"/>
  <c r="D70" i="43" l="1"/>
  <c r="D70" i="52"/>
  <c r="D70" i="49"/>
  <c r="D70" i="44"/>
  <c r="D70" i="50"/>
  <c r="D70" i="73"/>
  <c r="D70" i="78"/>
  <c r="D70" i="65"/>
  <c r="D70" i="74"/>
  <c r="D70" i="61"/>
  <c r="D70" i="66"/>
  <c r="D70" i="72"/>
  <c r="D70" i="60"/>
  <c r="D70" i="57"/>
  <c r="L70" i="57" s="1"/>
  <c r="D70" i="71"/>
  <c r="D70" i="70"/>
  <c r="D70" i="69"/>
  <c r="D70" i="63"/>
  <c r="D70" i="59"/>
  <c r="L70" i="59" s="1"/>
  <c r="D70" i="62"/>
  <c r="D70" i="67"/>
  <c r="D70" i="55"/>
  <c r="L70" i="55" s="1"/>
  <c r="L70" i="54"/>
  <c r="D70" i="68"/>
  <c r="D70" i="64"/>
  <c r="D70" i="58"/>
  <c r="L70" i="58" s="1"/>
  <c r="D70" i="56"/>
  <c r="L70" i="56" s="1"/>
  <c r="D71" i="45"/>
  <c r="L71" i="44"/>
  <c r="L34" i="47"/>
  <c r="D34" i="48"/>
  <c r="L34" i="48" s="1"/>
  <c r="L71" i="45" l="1"/>
  <c r="D71" i="46"/>
  <c r="D25" i="74"/>
  <c r="D25" i="78"/>
  <c r="D25" i="47"/>
  <c r="D25" i="43"/>
  <c r="D25" i="48"/>
  <c r="D25" i="49"/>
  <c r="D25" i="46"/>
  <c r="D25" i="44"/>
  <c r="D25" i="52"/>
  <c r="D25" i="50"/>
  <c r="D25" i="45"/>
  <c r="D25" i="70"/>
  <c r="D25" i="69"/>
  <c r="D25" i="64"/>
  <c r="D25" i="68"/>
  <c r="D25" i="63"/>
  <c r="D25" i="73"/>
  <c r="D25" i="71"/>
  <c r="D25" i="67"/>
  <c r="D25" i="66"/>
  <c r="D25" i="60"/>
  <c r="D25" i="56"/>
  <c r="D25" i="55"/>
  <c r="D25" i="59"/>
  <c r="D25" i="57"/>
  <c r="D25" i="65"/>
  <c r="D25" i="62"/>
  <c r="D25" i="72"/>
  <c r="D25" i="58"/>
  <c r="D25" i="61"/>
  <c r="D70" i="45"/>
  <c r="D66" i="52"/>
  <c r="L66" i="52" s="1"/>
  <c r="D66" i="49"/>
  <c r="L66" i="49" s="1"/>
  <c r="D66" i="44"/>
  <c r="D66" i="50"/>
  <c r="L66" i="50" s="1"/>
  <c r="D66" i="73"/>
  <c r="L66" i="73" s="1"/>
  <c r="D66" i="78"/>
  <c r="L66" i="78" s="1"/>
  <c r="D66" i="74"/>
  <c r="L66" i="74" s="1"/>
  <c r="D66" i="64"/>
  <c r="L66" i="64" s="1"/>
  <c r="D66" i="65"/>
  <c r="L66" i="65" s="1"/>
  <c r="D66" i="68"/>
  <c r="L66" i="68" s="1"/>
  <c r="D66" i="67"/>
  <c r="L66" i="67" s="1"/>
  <c r="D66" i="69"/>
  <c r="L66" i="69" s="1"/>
  <c r="D66" i="61"/>
  <c r="L66" i="61" s="1"/>
  <c r="D66" i="62"/>
  <c r="L66" i="62" s="1"/>
  <c r="D66" i="63"/>
  <c r="L66" i="63" s="1"/>
  <c r="D66" i="57"/>
  <c r="L66" i="57" s="1"/>
  <c r="D66" i="70"/>
  <c r="L66" i="70" s="1"/>
  <c r="D66" i="66"/>
  <c r="L66" i="66" s="1"/>
  <c r="D66" i="72"/>
  <c r="L66" i="72" s="1"/>
  <c r="D66" i="43"/>
  <c r="L66" i="43" s="1"/>
  <c r="D66" i="55"/>
  <c r="L66" i="55" s="1"/>
  <c r="L66" i="54"/>
  <c r="D66" i="71"/>
  <c r="L66" i="71" s="1"/>
  <c r="D66" i="59"/>
  <c r="L66" i="59" s="1"/>
  <c r="D66" i="58"/>
  <c r="L66" i="58" s="1"/>
  <c r="D66" i="56"/>
  <c r="L66" i="56" s="1"/>
  <c r="D66" i="60"/>
  <c r="L66" i="60" s="1"/>
  <c r="D26" i="49" l="1"/>
  <c r="D26" i="46"/>
  <c r="D26" i="44"/>
  <c r="D26" i="52"/>
  <c r="D26" i="50"/>
  <c r="D26" i="45"/>
  <c r="D26" i="73"/>
  <c r="D26" i="74"/>
  <c r="D26" i="78"/>
  <c r="D26" i="70"/>
  <c r="D26" i="72"/>
  <c r="D26" i="62"/>
  <c r="D26" i="48"/>
  <c r="D26" i="68"/>
  <c r="D26" i="66"/>
  <c r="D26" i="47"/>
  <c r="D26" i="63"/>
  <c r="D26" i="43"/>
  <c r="D26" i="65"/>
  <c r="D26" i="64"/>
  <c r="D26" i="58"/>
  <c r="D26" i="61"/>
  <c r="D26" i="69"/>
  <c r="D26" i="56"/>
  <c r="D26" i="67"/>
  <c r="D26" i="57"/>
  <c r="D26" i="55"/>
  <c r="D26" i="71"/>
  <c r="D26" i="59"/>
  <c r="D26" i="60"/>
  <c r="D62" i="49"/>
  <c r="D62" i="44"/>
  <c r="D62" i="50"/>
  <c r="D62" i="73"/>
  <c r="D62" i="78"/>
  <c r="D62" i="64"/>
  <c r="D62" i="52"/>
  <c r="D62" i="65"/>
  <c r="D62" i="61"/>
  <c r="D62" i="60"/>
  <c r="D62" i="57"/>
  <c r="D62" i="70"/>
  <c r="D62" i="43"/>
  <c r="D62" i="71"/>
  <c r="D62" i="68"/>
  <c r="D62" i="72"/>
  <c r="D62" i="62"/>
  <c r="D62" i="63"/>
  <c r="D62" i="67"/>
  <c r="D62" i="69"/>
  <c r="D62" i="59"/>
  <c r="D62" i="56"/>
  <c r="D62" i="55"/>
  <c r="D62" i="74"/>
  <c r="D62" i="66"/>
  <c r="D62" i="58"/>
  <c r="L66" i="44"/>
  <c r="D66" i="45"/>
  <c r="D68" i="78"/>
  <c r="L68" i="78" s="1"/>
  <c r="D68" i="74"/>
  <c r="L68" i="74" s="1"/>
  <c r="D68" i="43"/>
  <c r="L68" i="43" s="1"/>
  <c r="D68" i="49"/>
  <c r="L68" i="49" s="1"/>
  <c r="D68" i="44"/>
  <c r="D68" i="71"/>
  <c r="L68" i="71" s="1"/>
  <c r="D68" i="72"/>
  <c r="L68" i="72" s="1"/>
  <c r="D68" i="50"/>
  <c r="L68" i="50" s="1"/>
  <c r="D68" i="63"/>
  <c r="L68" i="63" s="1"/>
  <c r="D68" i="64"/>
  <c r="L68" i="64" s="1"/>
  <c r="D68" i="52"/>
  <c r="L68" i="52" s="1"/>
  <c r="D68" i="70"/>
  <c r="L68" i="70" s="1"/>
  <c r="D68" i="69"/>
  <c r="L68" i="69" s="1"/>
  <c r="D68" i="66"/>
  <c r="L68" i="66" s="1"/>
  <c r="D68" i="58"/>
  <c r="L68" i="58" s="1"/>
  <c r="D68" i="62"/>
  <c r="L68" i="62" s="1"/>
  <c r="D68" i="59"/>
  <c r="L68" i="59" s="1"/>
  <c r="D68" i="68"/>
  <c r="L68" i="68" s="1"/>
  <c r="D68" i="73"/>
  <c r="L68" i="73" s="1"/>
  <c r="D68" i="57"/>
  <c r="L68" i="57" s="1"/>
  <c r="D68" i="65"/>
  <c r="L68" i="65" s="1"/>
  <c r="D68" i="56"/>
  <c r="L68" i="56" s="1"/>
  <c r="D68" i="67"/>
  <c r="L68" i="67" s="1"/>
  <c r="D68" i="61"/>
  <c r="L68" i="61" s="1"/>
  <c r="D68" i="60"/>
  <c r="L68" i="60" s="1"/>
  <c r="D68" i="55"/>
  <c r="L68" i="55" s="1"/>
  <c r="L68" i="54"/>
  <c r="D70" i="46"/>
  <c r="L71" i="46"/>
  <c r="D71" i="47"/>
  <c r="D37" i="78"/>
  <c r="D37" i="47"/>
  <c r="D37" i="43"/>
  <c r="D37" i="48"/>
  <c r="D37" i="49"/>
  <c r="D37" i="46"/>
  <c r="D37" i="44"/>
  <c r="D37" i="52"/>
  <c r="D37" i="50"/>
  <c r="D37" i="71"/>
  <c r="D37" i="65"/>
  <c r="D37" i="68"/>
  <c r="D37" i="66"/>
  <c r="D37" i="74"/>
  <c r="D37" i="72"/>
  <c r="D37" i="63"/>
  <c r="D37" i="45"/>
  <c r="D37" i="70"/>
  <c r="D37" i="73"/>
  <c r="D37" i="58"/>
  <c r="D37" i="69"/>
  <c r="D37" i="64"/>
  <c r="D37" i="59"/>
  <c r="D37" i="62"/>
  <c r="D37" i="61"/>
  <c r="D37" i="55"/>
  <c r="D37" i="56"/>
  <c r="D37" i="67"/>
  <c r="D37" i="60"/>
  <c r="D37" i="57"/>
  <c r="D12" i="74" l="1"/>
  <c r="L12" i="74" s="1"/>
  <c r="D12" i="78"/>
  <c r="D12" i="43"/>
  <c r="L12" i="43" s="1"/>
  <c r="D12" i="49"/>
  <c r="D12" i="44"/>
  <c r="L12" i="44" s="1"/>
  <c r="D12" i="69"/>
  <c r="L12" i="69" s="1"/>
  <c r="D12" i="66"/>
  <c r="L12" i="66" s="1"/>
  <c r="D12" i="70"/>
  <c r="L12" i="70" s="1"/>
  <c r="D12" i="46"/>
  <c r="D12" i="72"/>
  <c r="L12" i="72" s="1"/>
  <c r="D12" i="68"/>
  <c r="L12" i="68" s="1"/>
  <c r="D12" i="64"/>
  <c r="L12" i="64" s="1"/>
  <c r="D12" i="71"/>
  <c r="L12" i="71" s="1"/>
  <c r="D12" i="57"/>
  <c r="L12" i="57" s="1"/>
  <c r="D12" i="59"/>
  <c r="L12" i="59" s="1"/>
  <c r="D12" i="73"/>
  <c r="L12" i="73" s="1"/>
  <c r="D12" i="50"/>
  <c r="D12" i="61"/>
  <c r="L12" i="61" s="1"/>
  <c r="D12" i="65"/>
  <c r="L12" i="65" s="1"/>
  <c r="D12" i="45"/>
  <c r="D12" i="52"/>
  <c r="D12" i="62"/>
  <c r="L12" i="62" s="1"/>
  <c r="D12" i="58"/>
  <c r="L12" i="58" s="1"/>
  <c r="D12" i="67"/>
  <c r="L12" i="67" s="1"/>
  <c r="D12" i="55"/>
  <c r="L12" i="55" s="1"/>
  <c r="D12" i="56"/>
  <c r="L12" i="56" s="1"/>
  <c r="L12" i="54"/>
  <c r="D12" i="60"/>
  <c r="L12" i="60" s="1"/>
  <c r="D12" i="63"/>
  <c r="L12" i="63" s="1"/>
  <c r="D18" i="78"/>
  <c r="D18" i="47"/>
  <c r="D18" i="43"/>
  <c r="D18" i="49"/>
  <c r="D18" i="44"/>
  <c r="D18" i="52"/>
  <c r="D18" i="72"/>
  <c r="D18" i="50"/>
  <c r="D18" i="64"/>
  <c r="D18" i="68"/>
  <c r="D18" i="70"/>
  <c r="D18" i="63"/>
  <c r="D18" i="45"/>
  <c r="D18" i="71"/>
  <c r="D18" i="62"/>
  <c r="D18" i="74"/>
  <c r="D18" i="65"/>
  <c r="D18" i="61"/>
  <c r="D18" i="58"/>
  <c r="D18" i="69"/>
  <c r="D18" i="56"/>
  <c r="D18" i="55"/>
  <c r="D18" i="73"/>
  <c r="D18" i="59"/>
  <c r="D18" i="57"/>
  <c r="D18" i="67"/>
  <c r="D18" i="66"/>
  <c r="D18" i="46"/>
  <c r="D18" i="60"/>
  <c r="D70" i="47"/>
  <c r="D65" i="43"/>
  <c r="L65" i="43" s="1"/>
  <c r="D65" i="52"/>
  <c r="L65" i="52" s="1"/>
  <c r="D65" i="49"/>
  <c r="L65" i="49" s="1"/>
  <c r="D65" i="44"/>
  <c r="D65" i="50"/>
  <c r="L65" i="50" s="1"/>
  <c r="D65" i="72"/>
  <c r="L65" i="72" s="1"/>
  <c r="D65" i="71"/>
  <c r="L65" i="71" s="1"/>
  <c r="D65" i="73"/>
  <c r="L65" i="73" s="1"/>
  <c r="D65" i="78"/>
  <c r="L65" i="78" s="1"/>
  <c r="D65" i="74"/>
  <c r="L65" i="74" s="1"/>
  <c r="D65" i="63"/>
  <c r="L65" i="63" s="1"/>
  <c r="D65" i="68"/>
  <c r="L65" i="68" s="1"/>
  <c r="D65" i="65"/>
  <c r="L65" i="65" s="1"/>
  <c r="D65" i="67"/>
  <c r="L65" i="67" s="1"/>
  <c r="D65" i="64"/>
  <c r="L65" i="64" s="1"/>
  <c r="D65" i="69"/>
  <c r="L65" i="69" s="1"/>
  <c r="D65" i="70"/>
  <c r="L65" i="70" s="1"/>
  <c r="D65" i="66"/>
  <c r="L65" i="66" s="1"/>
  <c r="D65" i="60"/>
  <c r="L65" i="60" s="1"/>
  <c r="D65" i="56"/>
  <c r="L65" i="56" s="1"/>
  <c r="D65" i="62"/>
  <c r="L65" i="62" s="1"/>
  <c r="D65" i="57"/>
  <c r="L65" i="57" s="1"/>
  <c r="D65" i="55"/>
  <c r="L65" i="55" s="1"/>
  <c r="L65" i="54"/>
  <c r="D65" i="58"/>
  <c r="L65" i="58" s="1"/>
  <c r="D65" i="61"/>
  <c r="L65" i="61" s="1"/>
  <c r="D65" i="59"/>
  <c r="L65" i="59" s="1"/>
  <c r="D36" i="52"/>
  <c r="D36" i="50"/>
  <c r="D36" i="45"/>
  <c r="D36" i="73"/>
  <c r="D36" i="74"/>
  <c r="D36" i="43"/>
  <c r="D36" i="67"/>
  <c r="D36" i="78"/>
  <c r="D36" i="47"/>
  <c r="D36" i="72"/>
  <c r="D36" i="46"/>
  <c r="D36" i="71"/>
  <c r="D36" i="61"/>
  <c r="D36" i="65"/>
  <c r="D36" i="68"/>
  <c r="D36" i="44"/>
  <c r="D36" i="66"/>
  <c r="D36" i="60"/>
  <c r="D36" i="49"/>
  <c r="D36" i="69"/>
  <c r="D36" i="63"/>
  <c r="D36" i="48"/>
  <c r="D36" i="59"/>
  <c r="D36" i="70"/>
  <c r="D36" i="58"/>
  <c r="D36" i="62"/>
  <c r="D36" i="57"/>
  <c r="D36" i="55"/>
  <c r="D36" i="56"/>
  <c r="D36" i="64"/>
  <c r="D59" i="72"/>
  <c r="D59" i="73"/>
  <c r="D59" i="78"/>
  <c r="D59" i="74"/>
  <c r="D59" i="43"/>
  <c r="D59" i="49"/>
  <c r="D59" i="44"/>
  <c r="D59" i="70"/>
  <c r="D59" i="50"/>
  <c r="D59" i="71"/>
  <c r="D59" i="56"/>
  <c r="D59" i="66"/>
  <c r="D59" i="68"/>
  <c r="D59" i="67"/>
  <c r="D59" i="61"/>
  <c r="D59" i="69"/>
  <c r="D59" i="65"/>
  <c r="D59" i="57"/>
  <c r="D59" i="62"/>
  <c r="D59" i="59"/>
  <c r="D59" i="60"/>
  <c r="D59" i="58"/>
  <c r="D59" i="64"/>
  <c r="D59" i="52"/>
  <c r="D59" i="55"/>
  <c r="D59" i="63"/>
  <c r="L66" i="45"/>
  <c r="D66" i="46"/>
  <c r="L68" i="44"/>
  <c r="D68" i="45"/>
  <c r="D71" i="48"/>
  <c r="L71" i="48" s="1"/>
  <c r="L71" i="47"/>
  <c r="D67" i="50"/>
  <c r="L67" i="50" s="1"/>
  <c r="D67" i="73"/>
  <c r="L67" i="73" s="1"/>
  <c r="D67" i="78"/>
  <c r="L67" i="78" s="1"/>
  <c r="D67" i="74"/>
  <c r="L67" i="74" s="1"/>
  <c r="D67" i="69"/>
  <c r="L67" i="69" s="1"/>
  <c r="D67" i="43"/>
  <c r="L67" i="43" s="1"/>
  <c r="D67" i="44"/>
  <c r="D67" i="71"/>
  <c r="L67" i="71" s="1"/>
  <c r="D67" i="64"/>
  <c r="L67" i="64" s="1"/>
  <c r="D67" i="65"/>
  <c r="L67" i="65" s="1"/>
  <c r="D67" i="52"/>
  <c r="L67" i="52" s="1"/>
  <c r="D67" i="70"/>
  <c r="L67" i="70" s="1"/>
  <c r="D67" i="63"/>
  <c r="L67" i="63" s="1"/>
  <c r="D67" i="49"/>
  <c r="L67" i="49" s="1"/>
  <c r="D67" i="67"/>
  <c r="L67" i="67" s="1"/>
  <c r="D67" i="72"/>
  <c r="L67" i="72" s="1"/>
  <c r="D67" i="68"/>
  <c r="L67" i="68" s="1"/>
  <c r="D67" i="61"/>
  <c r="L67" i="61" s="1"/>
  <c r="L67" i="54"/>
  <c r="D67" i="66"/>
  <c r="L67" i="66" s="1"/>
  <c r="D67" i="62"/>
  <c r="L67" i="62" s="1"/>
  <c r="D67" i="59"/>
  <c r="L67" i="59" s="1"/>
  <c r="D67" i="58"/>
  <c r="L67" i="58" s="1"/>
  <c r="D67" i="56"/>
  <c r="L67" i="56" s="1"/>
  <c r="D67" i="57"/>
  <c r="L67" i="57" s="1"/>
  <c r="D67" i="60"/>
  <c r="L67" i="60" s="1"/>
  <c r="D67" i="55"/>
  <c r="L67" i="55" s="1"/>
  <c r="D62" i="45"/>
  <c r="D12" i="47" l="1"/>
  <c r="D70" i="48"/>
  <c r="D68" i="46"/>
  <c r="L68" i="45"/>
  <c r="D62" i="46"/>
  <c r="D59" i="45"/>
  <c r="L65" i="44"/>
  <c r="D65" i="45"/>
  <c r="L66" i="46"/>
  <c r="D66" i="47"/>
  <c r="D32" i="73"/>
  <c r="D32" i="74"/>
  <c r="D32" i="78"/>
  <c r="D32" i="47"/>
  <c r="D32" i="43"/>
  <c r="D32" i="49"/>
  <c r="D32" i="46"/>
  <c r="D32" i="44"/>
  <c r="D32" i="71"/>
  <c r="D32" i="52"/>
  <c r="D32" i="67"/>
  <c r="D32" i="65"/>
  <c r="D32" i="63"/>
  <c r="D32" i="69"/>
  <c r="D32" i="70"/>
  <c r="D32" i="72"/>
  <c r="D32" i="50"/>
  <c r="D32" i="45"/>
  <c r="D32" i="62"/>
  <c r="D32" i="57"/>
  <c r="D32" i="61"/>
  <c r="D32" i="60"/>
  <c r="D32" i="66"/>
  <c r="D32" i="56"/>
  <c r="D32" i="64"/>
  <c r="D32" i="59"/>
  <c r="D32" i="55"/>
  <c r="D32" i="58"/>
  <c r="D32" i="68"/>
  <c r="D18" i="48"/>
  <c r="D6" i="44"/>
  <c r="D6" i="49"/>
  <c r="D6" i="50"/>
  <c r="D6" i="45"/>
  <c r="D6" i="52"/>
  <c r="D6" i="46"/>
  <c r="D6" i="70"/>
  <c r="D6" i="73"/>
  <c r="D6" i="62"/>
  <c r="D6" i="67"/>
  <c r="D6" i="78"/>
  <c r="D6" i="43"/>
  <c r="D6" i="74"/>
  <c r="D6" i="64"/>
  <c r="D6" i="72"/>
  <c r="D6" i="66"/>
  <c r="D6" i="71"/>
  <c r="D6" i="57"/>
  <c r="D6" i="68"/>
  <c r="D6" i="65"/>
  <c r="D6" i="59"/>
  <c r="D6" i="61"/>
  <c r="D6" i="69"/>
  <c r="L6" i="54"/>
  <c r="D6" i="58"/>
  <c r="D6" i="55"/>
  <c r="D6" i="56"/>
  <c r="D6" i="60"/>
  <c r="D6" i="63"/>
  <c r="D67" i="45"/>
  <c r="L67" i="44"/>
  <c r="L6" i="56" l="1"/>
  <c r="L6" i="58"/>
  <c r="L6" i="69"/>
  <c r="L6" i="70"/>
  <c r="L6" i="61"/>
  <c r="D6" i="47"/>
  <c r="L6" i="46"/>
  <c r="L6" i="59"/>
  <c r="L6" i="52"/>
  <c r="L6" i="60"/>
  <c r="L6" i="67"/>
  <c r="L6" i="65"/>
  <c r="L6" i="45"/>
  <c r="D66" i="48"/>
  <c r="L66" i="48" s="1"/>
  <c r="L66" i="47"/>
  <c r="L6" i="68"/>
  <c r="L6" i="50"/>
  <c r="L68" i="46"/>
  <c r="D68" i="47"/>
  <c r="L6" i="73"/>
  <c r="L6" i="57"/>
  <c r="L6" i="49"/>
  <c r="D57" i="78"/>
  <c r="L57" i="78" s="1"/>
  <c r="D57" i="74"/>
  <c r="L57" i="74" s="1"/>
  <c r="D57" i="43"/>
  <c r="L57" i="43" s="1"/>
  <c r="D57" i="52"/>
  <c r="L57" i="52" s="1"/>
  <c r="D57" i="71"/>
  <c r="L57" i="71" s="1"/>
  <c r="D57" i="50"/>
  <c r="L57" i="50" s="1"/>
  <c r="D57" i="63"/>
  <c r="L57" i="63" s="1"/>
  <c r="D57" i="73"/>
  <c r="L57" i="73" s="1"/>
  <c r="D57" i="64"/>
  <c r="L57" i="64" s="1"/>
  <c r="D57" i="67"/>
  <c r="L57" i="67" s="1"/>
  <c r="D57" i="70"/>
  <c r="L57" i="70" s="1"/>
  <c r="D57" i="66"/>
  <c r="L57" i="66" s="1"/>
  <c r="D57" i="72"/>
  <c r="L57" i="72" s="1"/>
  <c r="D57" i="65"/>
  <c r="L57" i="65" s="1"/>
  <c r="D57" i="69"/>
  <c r="L57" i="69" s="1"/>
  <c r="D57" i="49"/>
  <c r="L57" i="49" s="1"/>
  <c r="D57" i="44"/>
  <c r="D57" i="57"/>
  <c r="L57" i="57" s="1"/>
  <c r="D57" i="55"/>
  <c r="L57" i="55" s="1"/>
  <c r="D57" i="68"/>
  <c r="L57" i="68" s="1"/>
  <c r="D57" i="58"/>
  <c r="L57" i="58" s="1"/>
  <c r="D57" i="56"/>
  <c r="L57" i="56" s="1"/>
  <c r="D57" i="60"/>
  <c r="L57" i="60" s="1"/>
  <c r="D57" i="62"/>
  <c r="L57" i="62" s="1"/>
  <c r="L57" i="54"/>
  <c r="D57" i="61"/>
  <c r="L57" i="61" s="1"/>
  <c r="D57" i="59"/>
  <c r="L57" i="59" s="1"/>
  <c r="L6" i="43"/>
  <c r="L6" i="71"/>
  <c r="L6" i="44"/>
  <c r="D62" i="47"/>
  <c r="L6" i="55"/>
  <c r="L6" i="62"/>
  <c r="L6" i="66"/>
  <c r="L6" i="78"/>
  <c r="L6" i="64"/>
  <c r="D59" i="46"/>
  <c r="D65" i="46"/>
  <c r="L65" i="45"/>
  <c r="D67" i="46"/>
  <c r="L67" i="45"/>
  <c r="D32" i="48"/>
  <c r="L6" i="72"/>
  <c r="D24" i="52"/>
  <c r="D24" i="50"/>
  <c r="D24" i="45"/>
  <c r="D24" i="73"/>
  <c r="D24" i="74"/>
  <c r="D24" i="65"/>
  <c r="D24" i="47"/>
  <c r="D24" i="78"/>
  <c r="D24" i="44"/>
  <c r="D24" i="61"/>
  <c r="D24" i="69"/>
  <c r="D24" i="58"/>
  <c r="D24" i="70"/>
  <c r="D24" i="43"/>
  <c r="D24" i="64"/>
  <c r="D24" i="49"/>
  <c r="D24" i="48"/>
  <c r="D24" i="46"/>
  <c r="D24" i="56"/>
  <c r="D24" i="72"/>
  <c r="D24" i="71"/>
  <c r="D24" i="67"/>
  <c r="D24" i="66"/>
  <c r="D24" i="60"/>
  <c r="D24" i="68"/>
  <c r="D24" i="55"/>
  <c r="D23" i="54"/>
  <c r="D24" i="62"/>
  <c r="D24" i="63"/>
  <c r="D24" i="59"/>
  <c r="D24" i="57"/>
  <c r="L6" i="63"/>
  <c r="L6" i="74"/>
  <c r="D12" i="48"/>
  <c r="D59" i="47" l="1"/>
  <c r="D65" i="47"/>
  <c r="L65" i="46"/>
  <c r="L57" i="44"/>
  <c r="D57" i="45"/>
  <c r="D31" i="49"/>
  <c r="D31" i="46"/>
  <c r="D31" i="44"/>
  <c r="D31" i="52"/>
  <c r="D31" i="50"/>
  <c r="D31" i="45"/>
  <c r="D31" i="78"/>
  <c r="D31" i="71"/>
  <c r="D31" i="64"/>
  <c r="D31" i="62"/>
  <c r="D31" i="72"/>
  <c r="D31" i="67"/>
  <c r="D31" i="74"/>
  <c r="D31" i="68"/>
  <c r="D31" i="61"/>
  <c r="D31" i="73"/>
  <c r="D31" i="69"/>
  <c r="D31" i="70"/>
  <c r="D31" i="66"/>
  <c r="D31" i="60"/>
  <c r="D31" i="65"/>
  <c r="D31" i="57"/>
  <c r="D31" i="58"/>
  <c r="D31" i="47"/>
  <c r="D31" i="63"/>
  <c r="D31" i="56"/>
  <c r="D31" i="55"/>
  <c r="D31" i="59"/>
  <c r="D30" i="54"/>
  <c r="D31" i="43"/>
  <c r="L67" i="46"/>
  <c r="D67" i="47"/>
  <c r="D62" i="48"/>
  <c r="D6" i="48"/>
  <c r="L6" i="47"/>
  <c r="L68" i="47"/>
  <c r="D68" i="48"/>
  <c r="L68" i="48" s="1"/>
  <c r="D64" i="78"/>
  <c r="D64" i="74"/>
  <c r="D64" i="43"/>
  <c r="D64" i="52"/>
  <c r="D64" i="50"/>
  <c r="D64" i="63"/>
  <c r="D64" i="69"/>
  <c r="D64" i="68"/>
  <c r="D64" i="67"/>
  <c r="D64" i="66"/>
  <c r="D64" i="70"/>
  <c r="D64" i="44"/>
  <c r="D64" i="49"/>
  <c r="D64" i="72"/>
  <c r="D64" i="73"/>
  <c r="D64" i="58"/>
  <c r="D64" i="62"/>
  <c r="D64" i="71"/>
  <c r="D64" i="60"/>
  <c r="D64" i="61"/>
  <c r="D64" i="56"/>
  <c r="D64" i="57"/>
  <c r="D64" i="64"/>
  <c r="D64" i="55"/>
  <c r="D64" i="65"/>
  <c r="D64" i="59"/>
  <c r="L64" i="54"/>
  <c r="D23" i="78"/>
  <c r="D23" i="47"/>
  <c r="D23" i="43"/>
  <c r="D23" i="48"/>
  <c r="D23" i="49"/>
  <c r="D23" i="46"/>
  <c r="D23" i="44"/>
  <c r="D23" i="52"/>
  <c r="D23" i="50"/>
  <c r="D23" i="70"/>
  <c r="D23" i="69"/>
  <c r="D23" i="64"/>
  <c r="D23" i="71"/>
  <c r="D23" i="67"/>
  <c r="D23" i="68"/>
  <c r="D23" i="45"/>
  <c r="D23" i="62"/>
  <c r="D23" i="73"/>
  <c r="D23" i="72"/>
  <c r="D23" i="66"/>
  <c r="D23" i="61"/>
  <c r="D23" i="56"/>
  <c r="D23" i="55"/>
  <c r="D23" i="63"/>
  <c r="D23" i="74"/>
  <c r="D23" i="65"/>
  <c r="D23" i="59"/>
  <c r="D23" i="57"/>
  <c r="D23" i="58"/>
  <c r="D23" i="60"/>
  <c r="L64" i="56" l="1"/>
  <c r="L64" i="62"/>
  <c r="L64" i="78"/>
  <c r="D31" i="48"/>
  <c r="L65" i="47"/>
  <c r="D65" i="48"/>
  <c r="L65" i="48" s="1"/>
  <c r="L64" i="50"/>
  <c r="L64" i="52"/>
  <c r="L64" i="43"/>
  <c r="L64" i="71"/>
  <c r="L64" i="58"/>
  <c r="L64" i="74"/>
  <c r="L64" i="73"/>
  <c r="L64" i="72"/>
  <c r="D57" i="46"/>
  <c r="L57" i="45"/>
  <c r="L64" i="60"/>
  <c r="L64" i="49"/>
  <c r="L67" i="47"/>
  <c r="D67" i="48"/>
  <c r="L67" i="48" s="1"/>
  <c r="D64" i="45"/>
  <c r="L64" i="44"/>
  <c r="L64" i="59"/>
  <c r="L64" i="70"/>
  <c r="L64" i="65"/>
  <c r="L64" i="66"/>
  <c r="L64" i="55"/>
  <c r="L64" i="67"/>
  <c r="L6" i="48"/>
  <c r="L64" i="64"/>
  <c r="L64" i="68"/>
  <c r="L64" i="63"/>
  <c r="L64" i="61"/>
  <c r="L64" i="57"/>
  <c r="L64" i="69"/>
  <c r="D30" i="74"/>
  <c r="D30" i="78"/>
  <c r="D30" i="47"/>
  <c r="D30" i="43"/>
  <c r="D30" i="71"/>
  <c r="D30" i="52"/>
  <c r="D30" i="50"/>
  <c r="D30" i="45"/>
  <c r="D30" i="72"/>
  <c r="D30" i="69"/>
  <c r="D30" i="64"/>
  <c r="D30" i="67"/>
  <c r="D30" i="68"/>
  <c r="D30" i="63"/>
  <c r="D30" i="44"/>
  <c r="D30" i="70"/>
  <c r="D30" i="49"/>
  <c r="D30" i="46"/>
  <c r="D30" i="61"/>
  <c r="D30" i="60"/>
  <c r="D30" i="56"/>
  <c r="D30" i="55"/>
  <c r="D30" i="66"/>
  <c r="D30" i="59"/>
  <c r="D30" i="73"/>
  <c r="D30" i="57"/>
  <c r="D30" i="58"/>
  <c r="D30" i="62"/>
  <c r="D30" i="65"/>
  <c r="D59" i="48"/>
  <c r="D57" i="47" l="1"/>
  <c r="L57" i="46"/>
  <c r="D64" i="46"/>
  <c r="L64" i="45"/>
  <c r="D30" i="48"/>
  <c r="D64" i="47" l="1"/>
  <c r="L64" i="46"/>
  <c r="L57" i="47"/>
  <c r="D57" i="48"/>
  <c r="L57" i="48" s="1"/>
  <c r="D64" i="48" l="1"/>
  <c r="L64" i="47"/>
  <c r="L64" i="48" l="1"/>
  <c r="D72" i="72" l="1"/>
  <c r="D72" i="56"/>
  <c r="D72" i="63"/>
  <c r="D72" i="61"/>
  <c r="D72" i="73"/>
  <c r="D72" i="62"/>
  <c r="D72" i="59"/>
  <c r="D72" i="57"/>
  <c r="D72" i="65"/>
  <c r="D72" i="78"/>
  <c r="D72" i="74"/>
  <c r="D72" i="64"/>
  <c r="D72" i="70"/>
  <c r="D72" i="43"/>
  <c r="D72" i="58"/>
  <c r="D72" i="71"/>
  <c r="D72" i="55"/>
  <c r="D72" i="69"/>
  <c r="D72" i="50"/>
  <c r="D72" i="67"/>
  <c r="D72" i="52"/>
  <c r="D72" i="44"/>
  <c r="D72" i="60"/>
  <c r="D72" i="49"/>
  <c r="D72" i="66"/>
  <c r="D72" i="68"/>
  <c r="D69" i="50"/>
  <c r="D69" i="60"/>
  <c r="D69" i="72"/>
  <c r="D69" i="57"/>
  <c r="D69" i="73"/>
  <c r="D69" i="55"/>
  <c r="D69" i="43"/>
  <c r="D69" i="69"/>
  <c r="L69" i="54"/>
  <c r="D69" i="78"/>
  <c r="D69" i="70"/>
  <c r="D69" i="65"/>
  <c r="D69" i="44"/>
  <c r="D69" i="63"/>
  <c r="D69" i="64"/>
  <c r="D69" i="74"/>
  <c r="D69" i="66"/>
  <c r="D69" i="71"/>
  <c r="D69" i="62"/>
  <c r="D69" i="58"/>
  <c r="D69" i="68"/>
  <c r="D69" i="59"/>
  <c r="D69" i="67"/>
  <c r="D69" i="56"/>
  <c r="D69" i="52"/>
  <c r="D69" i="49"/>
  <c r="D69" i="61"/>
  <c r="D63" i="54"/>
  <c r="L63" i="54" s="1"/>
  <c r="Z54" i="54" s="1"/>
  <c r="D63" i="58" l="1"/>
  <c r="D63" i="57"/>
  <c r="D63" i="73"/>
  <c r="D63" i="62"/>
  <c r="D63" i="60"/>
  <c r="D63" i="74"/>
  <c r="D63" i="63"/>
  <c r="D63" i="66"/>
  <c r="D69" i="45"/>
  <c r="D63" i="44"/>
  <c r="D63" i="65"/>
  <c r="D72" i="45"/>
  <c r="D63" i="64"/>
  <c r="D63" i="61"/>
  <c r="D63" i="70"/>
  <c r="D63" i="49"/>
  <c r="D63" i="78"/>
  <c r="D63" i="71"/>
  <c r="D63" i="52"/>
  <c r="D63" i="68"/>
  <c r="D63" i="56"/>
  <c r="D63" i="69"/>
  <c r="D63" i="72"/>
  <c r="D63" i="50"/>
  <c r="D63" i="67"/>
  <c r="D63" i="43"/>
  <c r="D63" i="59"/>
  <c r="D63" i="55"/>
  <c r="D58" i="52"/>
  <c r="D58" i="55"/>
  <c r="D58" i="59"/>
  <c r="D58" i="43"/>
  <c r="D58" i="65"/>
  <c r="D58" i="66"/>
  <c r="D58" i="63"/>
  <c r="D58" i="64"/>
  <c r="D58" i="60"/>
  <c r="D58" i="69"/>
  <c r="D58" i="62"/>
  <c r="D58" i="74"/>
  <c r="D58" i="49"/>
  <c r="D58" i="44"/>
  <c r="D58" i="73"/>
  <c r="D58" i="78"/>
  <c r="D58" i="58"/>
  <c r="D58" i="61"/>
  <c r="D58" i="50"/>
  <c r="D58" i="72"/>
  <c r="D58" i="70"/>
  <c r="D58" i="71"/>
  <c r="D58" i="56"/>
  <c r="D58" i="67"/>
  <c r="D58" i="57"/>
  <c r="D58" i="68"/>
  <c r="D72" i="46" l="1"/>
  <c r="D69" i="46"/>
  <c r="D63" i="45"/>
  <c r="D38" i="78"/>
  <c r="D38" i="57"/>
  <c r="D38" i="56"/>
  <c r="D38" i="65"/>
  <c r="D38" i="49"/>
  <c r="D38" i="64"/>
  <c r="D38" i="52"/>
  <c r="D38" i="59"/>
  <c r="D38" i="55"/>
  <c r="D38" i="69"/>
  <c r="D38" i="50"/>
  <c r="D38" i="46"/>
  <c r="D38" i="62"/>
  <c r="D38" i="45"/>
  <c r="D38" i="71"/>
  <c r="D38" i="61"/>
  <c r="D38" i="73"/>
  <c r="D38" i="70"/>
  <c r="D38" i="60"/>
  <c r="D38" i="74"/>
  <c r="D38" i="63"/>
  <c r="D38" i="67"/>
  <c r="D38" i="66"/>
  <c r="D38" i="68"/>
  <c r="D38" i="72"/>
  <c r="D38" i="58"/>
  <c r="D38" i="43"/>
  <c r="D38" i="44"/>
  <c r="D55" i="66"/>
  <c r="D55" i="61"/>
  <c r="D55" i="71"/>
  <c r="D55" i="73"/>
  <c r="D55" i="65"/>
  <c r="D55" i="78"/>
  <c r="D55" i="63"/>
  <c r="D55" i="55"/>
  <c r="D55" i="72"/>
  <c r="D55" i="67"/>
  <c r="D55" i="57"/>
  <c r="D55" i="58"/>
  <c r="D55" i="50"/>
  <c r="D55" i="74"/>
  <c r="D55" i="44"/>
  <c r="D55" i="56"/>
  <c r="D55" i="59"/>
  <c r="D55" i="52"/>
  <c r="D55" i="60"/>
  <c r="D55" i="68"/>
  <c r="D55" i="64"/>
  <c r="D55" i="69"/>
  <c r="D55" i="62"/>
  <c r="D55" i="43"/>
  <c r="D55" i="49"/>
  <c r="D55" i="70"/>
  <c r="D11" i="44"/>
  <c r="D11" i="69"/>
  <c r="D11" i="55"/>
  <c r="D11" i="57"/>
  <c r="D11" i="50"/>
  <c r="D11" i="61"/>
  <c r="D11" i="45"/>
  <c r="D11" i="70"/>
  <c r="D11" i="58"/>
  <c r="D11" i="66"/>
  <c r="D11" i="52"/>
  <c r="D11" i="65"/>
  <c r="D11" i="62"/>
  <c r="D11" i="56"/>
  <c r="D11" i="46"/>
  <c r="D11" i="64"/>
  <c r="D11" i="43"/>
  <c r="D11" i="71"/>
  <c r="D11" i="67"/>
  <c r="D11" i="68"/>
  <c r="D11" i="59"/>
  <c r="D11" i="74"/>
  <c r="D11" i="63"/>
  <c r="D11" i="72"/>
  <c r="D11" i="78"/>
  <c r="D11" i="60"/>
  <c r="D11" i="73"/>
  <c r="D11" i="49"/>
  <c r="D58" i="45"/>
  <c r="D10" i="70"/>
  <c r="D10" i="67"/>
  <c r="D10" i="59"/>
  <c r="D10" i="45"/>
  <c r="D10" i="68"/>
  <c r="D10" i="46"/>
  <c r="D10" i="57"/>
  <c r="D10" i="43"/>
  <c r="D10" i="66"/>
  <c r="D10" i="58"/>
  <c r="D10" i="56"/>
  <c r="D10" i="55"/>
  <c r="D10" i="73"/>
  <c r="D10" i="49"/>
  <c r="D10" i="69"/>
  <c r="D10" i="71"/>
  <c r="D10" i="65"/>
  <c r="D10" i="61"/>
  <c r="D10" i="60"/>
  <c r="D10" i="74"/>
  <c r="D10" i="44"/>
  <c r="D10" i="50"/>
  <c r="D10" i="64"/>
  <c r="D10" i="63"/>
  <c r="D10" i="78"/>
  <c r="D9" i="54"/>
  <c r="D10" i="72"/>
  <c r="D10" i="52"/>
  <c r="D10" i="62"/>
  <c r="D69" i="47" l="1"/>
  <c r="D63" i="46"/>
  <c r="D55" i="45"/>
  <c r="D48" i="66"/>
  <c r="D48" i="55"/>
  <c r="D48" i="67"/>
  <c r="D48" i="57"/>
  <c r="D48" i="71"/>
  <c r="D48" i="63"/>
  <c r="D48" i="62"/>
  <c r="D48" i="49"/>
  <c r="D48" i="56"/>
  <c r="D48" i="74"/>
  <c r="D48" i="65"/>
  <c r="D48" i="44"/>
  <c r="D48" i="72"/>
  <c r="D48" i="50"/>
  <c r="D48" i="58"/>
  <c r="D48" i="78"/>
  <c r="D48" i="68"/>
  <c r="D48" i="52"/>
  <c r="D48" i="73"/>
  <c r="D48" i="59"/>
  <c r="D48" i="69"/>
  <c r="D48" i="43"/>
  <c r="D48" i="64"/>
  <c r="D48" i="60"/>
  <c r="D48" i="61"/>
  <c r="D48" i="70"/>
  <c r="D44" i="73"/>
  <c r="D44" i="66"/>
  <c r="D44" i="58"/>
  <c r="D44" i="78"/>
  <c r="D44" i="69"/>
  <c r="D44" i="63"/>
  <c r="D44" i="68"/>
  <c r="D44" i="74"/>
  <c r="D44" i="59"/>
  <c r="D44" i="49"/>
  <c r="D44" i="67"/>
  <c r="D44" i="60"/>
  <c r="D44" i="72"/>
  <c r="D44" i="61"/>
  <c r="D44" i="56"/>
  <c r="D44" i="55"/>
  <c r="D44" i="64"/>
  <c r="D44" i="52"/>
  <c r="D44" i="71"/>
  <c r="D44" i="62"/>
  <c r="D44" i="70"/>
  <c r="D44" i="65"/>
  <c r="D44" i="44"/>
  <c r="D44" i="57"/>
  <c r="D44" i="43"/>
  <c r="D44" i="50"/>
  <c r="D38" i="47"/>
  <c r="D72" i="47"/>
  <c r="D11" i="47"/>
  <c r="D21" i="50"/>
  <c r="D21" i="59"/>
  <c r="D21" i="64"/>
  <c r="D21" i="70"/>
  <c r="D21" i="44"/>
  <c r="D21" i="72"/>
  <c r="D21" i="62"/>
  <c r="D21" i="45"/>
  <c r="D21" i="43"/>
  <c r="D21" i="67"/>
  <c r="D21" i="57"/>
  <c r="D21" i="68"/>
  <c r="D21" i="46"/>
  <c r="D21" i="66"/>
  <c r="D21" i="58"/>
  <c r="D21" i="78"/>
  <c r="D21" i="55"/>
  <c r="D21" i="71"/>
  <c r="D21" i="65"/>
  <c r="D21" i="56"/>
  <c r="D21" i="69"/>
  <c r="D21" i="52"/>
  <c r="D21" i="47"/>
  <c r="D21" i="60"/>
  <c r="D21" i="63"/>
  <c r="D21" i="61"/>
  <c r="D21" i="73"/>
  <c r="D21" i="74"/>
  <c r="D21" i="49"/>
  <c r="D10" i="47"/>
  <c r="D22" i="78"/>
  <c r="D22" i="63"/>
  <c r="D22" i="68"/>
  <c r="D22" i="62"/>
  <c r="D22" i="59"/>
  <c r="D22" i="44"/>
  <c r="D22" i="52"/>
  <c r="D22" i="74"/>
  <c r="D22" i="66"/>
  <c r="D22" i="49"/>
  <c r="D22" i="67"/>
  <c r="D22" i="60"/>
  <c r="D22" i="69"/>
  <c r="D22" i="61"/>
  <c r="D22" i="70"/>
  <c r="D22" i="64"/>
  <c r="D22" i="50"/>
  <c r="D22" i="58"/>
  <c r="D22" i="65"/>
  <c r="D22" i="72"/>
  <c r="D22" i="55"/>
  <c r="D22" i="43"/>
  <c r="D22" i="57"/>
  <c r="D22" i="47"/>
  <c r="D22" i="45"/>
  <c r="D22" i="71"/>
  <c r="D22" i="46"/>
  <c r="D22" i="56"/>
  <c r="D22" i="73"/>
  <c r="D9" i="65"/>
  <c r="D9" i="57"/>
  <c r="D5" i="54"/>
  <c r="D9" i="63"/>
  <c r="D9" i="46"/>
  <c r="D9" i="70"/>
  <c r="D9" i="49"/>
  <c r="D9" i="74"/>
  <c r="D9" i="61"/>
  <c r="D9" i="58"/>
  <c r="D9" i="60"/>
  <c r="D9" i="73"/>
  <c r="D9" i="59"/>
  <c r="D9" i="78"/>
  <c r="D9" i="68"/>
  <c r="D9" i="66"/>
  <c r="D9" i="45"/>
  <c r="D9" i="43"/>
  <c r="D9" i="55"/>
  <c r="D9" i="71"/>
  <c r="D9" i="50"/>
  <c r="D9" i="52"/>
  <c r="D9" i="72"/>
  <c r="D9" i="56"/>
  <c r="D9" i="44"/>
  <c r="D9" i="64"/>
  <c r="D9" i="62"/>
  <c r="D9" i="69"/>
  <c r="D9" i="67"/>
  <c r="D20" i="63"/>
  <c r="D20" i="50"/>
  <c r="D20" i="52"/>
  <c r="D20" i="70"/>
  <c r="D20" i="65"/>
  <c r="D20" i="69"/>
  <c r="D20" i="66"/>
  <c r="D20" i="78"/>
  <c r="D20" i="59"/>
  <c r="D20" i="56"/>
  <c r="D20" i="43"/>
  <c r="D20" i="74"/>
  <c r="D20" i="45"/>
  <c r="D20" i="60"/>
  <c r="D20" i="55"/>
  <c r="D20" i="49"/>
  <c r="D20" i="67"/>
  <c r="D20" i="58"/>
  <c r="D20" i="62"/>
  <c r="D20" i="44"/>
  <c r="D20" i="64"/>
  <c r="D20" i="73"/>
  <c r="D20" i="68"/>
  <c r="D20" i="46"/>
  <c r="D20" i="71"/>
  <c r="D20" i="61"/>
  <c r="D20" i="72"/>
  <c r="D20" i="57"/>
  <c r="D54" i="49"/>
  <c r="D54" i="65"/>
  <c r="D54" i="61"/>
  <c r="D54" i="62"/>
  <c r="D54" i="71"/>
  <c r="D54" i="66"/>
  <c r="D54" i="74"/>
  <c r="D54" i="67"/>
  <c r="D54" i="68"/>
  <c r="D54" i="70"/>
  <c r="D54" i="57"/>
  <c r="D54" i="43"/>
  <c r="D54" i="59"/>
  <c r="D54" i="60"/>
  <c r="D54" i="50"/>
  <c r="D54" i="72"/>
  <c r="D54" i="52"/>
  <c r="D54" i="58"/>
  <c r="D54" i="78"/>
  <c r="D54" i="44"/>
  <c r="D54" i="55"/>
  <c r="D54" i="56"/>
  <c r="D54" i="69"/>
  <c r="D54" i="63"/>
  <c r="D54" i="64"/>
  <c r="D54" i="73"/>
  <c r="D58" i="46"/>
  <c r="D55" i="46" l="1"/>
  <c r="D38" i="48"/>
  <c r="D51" i="68"/>
  <c r="D49" i="54"/>
  <c r="D51" i="55"/>
  <c r="D51" i="59"/>
  <c r="D51" i="69"/>
  <c r="D51" i="62"/>
  <c r="D51" i="66"/>
  <c r="D51" i="67"/>
  <c r="D51" i="65"/>
  <c r="D51" i="50"/>
  <c r="D51" i="73"/>
  <c r="D51" i="58"/>
  <c r="D51" i="63"/>
  <c r="D51" i="74"/>
  <c r="D51" i="52"/>
  <c r="D51" i="71"/>
  <c r="D51" i="56"/>
  <c r="D51" i="43"/>
  <c r="D51" i="60"/>
  <c r="D51" i="72"/>
  <c r="D51" i="70"/>
  <c r="D51" i="49"/>
  <c r="D51" i="57"/>
  <c r="D51" i="44"/>
  <c r="D51" i="61"/>
  <c r="D51" i="64"/>
  <c r="D51" i="78"/>
  <c r="D44" i="45"/>
  <c r="D69" i="48"/>
  <c r="D63" i="47"/>
  <c r="D48" i="45"/>
  <c r="D72" i="48"/>
  <c r="D11" i="48"/>
  <c r="D19" i="71"/>
  <c r="D19" i="62"/>
  <c r="D19" i="58"/>
  <c r="D19" i="74"/>
  <c r="D19" i="67"/>
  <c r="D19" i="59"/>
  <c r="D19" i="56"/>
  <c r="D19" i="47"/>
  <c r="D19" i="43"/>
  <c r="D19" i="49"/>
  <c r="D19" i="66"/>
  <c r="D19" i="57"/>
  <c r="D19" i="50"/>
  <c r="D19" i="44"/>
  <c r="D19" i="45"/>
  <c r="D19" i="52"/>
  <c r="D19" i="61"/>
  <c r="D19" i="65"/>
  <c r="D19" i="69"/>
  <c r="D19" i="78"/>
  <c r="D19" i="63"/>
  <c r="D19" i="46"/>
  <c r="D19" i="72"/>
  <c r="D19" i="73"/>
  <c r="D19" i="60"/>
  <c r="D19" i="55"/>
  <c r="D19" i="70"/>
  <c r="D19" i="68"/>
  <c r="D19" i="64"/>
  <c r="D5" i="78"/>
  <c r="D5" i="64"/>
  <c r="D5" i="56"/>
  <c r="D5" i="61"/>
  <c r="D21" i="48"/>
  <c r="D5" i="66"/>
  <c r="D5" i="62"/>
  <c r="D22" i="48"/>
  <c r="D5" i="72"/>
  <c r="D5" i="74"/>
  <c r="D10" i="48"/>
  <c r="D5" i="68"/>
  <c r="D5" i="59"/>
  <c r="D17" i="50"/>
  <c r="D17" i="56"/>
  <c r="D17" i="63"/>
  <c r="D17" i="73"/>
  <c r="D17" i="69"/>
  <c r="D17" i="61"/>
  <c r="D17" i="78"/>
  <c r="D17" i="49"/>
  <c r="D17" i="72"/>
  <c r="D17" i="46"/>
  <c r="D17" i="65"/>
  <c r="D17" i="74"/>
  <c r="D17" i="43"/>
  <c r="D17" i="47"/>
  <c r="D17" i="62"/>
  <c r="D17" i="55"/>
  <c r="D17" i="48"/>
  <c r="D17" i="45"/>
  <c r="D17" i="59"/>
  <c r="D17" i="70"/>
  <c r="D17" i="52"/>
  <c r="D17" i="71"/>
  <c r="D17" i="67"/>
  <c r="D17" i="57"/>
  <c r="D17" i="60"/>
  <c r="D17" i="66"/>
  <c r="D17" i="58"/>
  <c r="D17" i="64"/>
  <c r="D17" i="68"/>
  <c r="D17" i="44"/>
  <c r="D58" i="47"/>
  <c r="D20" i="47"/>
  <c r="D5" i="52"/>
  <c r="D5" i="49"/>
  <c r="D5" i="60"/>
  <c r="D5" i="58"/>
  <c r="D5" i="50"/>
  <c r="D5" i="70"/>
  <c r="D5" i="69"/>
  <c r="D5" i="73"/>
  <c r="D5" i="44"/>
  <c r="D5" i="71"/>
  <c r="D9" i="47"/>
  <c r="D5" i="46"/>
  <c r="D5" i="57"/>
  <c r="D54" i="45"/>
  <c r="D5" i="67"/>
  <c r="D5" i="55"/>
  <c r="D5" i="63"/>
  <c r="D5" i="45"/>
  <c r="D5" i="65"/>
  <c r="D5" i="43"/>
  <c r="D49" i="64" l="1"/>
  <c r="D49" i="73"/>
  <c r="D49" i="66"/>
  <c r="D49" i="62"/>
  <c r="D49" i="61"/>
  <c r="D49" i="72"/>
  <c r="D49" i="59"/>
  <c r="D49" i="60"/>
  <c r="D49" i="55"/>
  <c r="D48" i="46"/>
  <c r="D49" i="43"/>
  <c r="D49" i="50"/>
  <c r="D49" i="49"/>
  <c r="D49" i="52"/>
  <c r="D49" i="44"/>
  <c r="D49" i="78"/>
  <c r="D49" i="56"/>
  <c r="D49" i="68"/>
  <c r="D49" i="67"/>
  <c r="D49" i="69"/>
  <c r="D49" i="71"/>
  <c r="D49" i="70"/>
  <c r="D63" i="48"/>
  <c r="D49" i="57"/>
  <c r="D49" i="74"/>
  <c r="D51" i="45"/>
  <c r="D44" i="46"/>
  <c r="D49" i="63"/>
  <c r="D49" i="65"/>
  <c r="D49" i="58"/>
  <c r="D55" i="47"/>
  <c r="D19" i="48"/>
  <c r="D54" i="46"/>
  <c r="D20" i="48"/>
  <c r="D58" i="48"/>
  <c r="D5" i="47"/>
  <c r="D9" i="48"/>
  <c r="D49" i="45" l="1"/>
  <c r="D44" i="47"/>
  <c r="D55" i="48"/>
  <c r="D51" i="46"/>
  <c r="D48" i="47"/>
  <c r="D5" i="48"/>
  <c r="D54" i="47"/>
  <c r="D48" i="48" l="1"/>
  <c r="D51" i="47"/>
  <c r="D44" i="48"/>
  <c r="D49" i="46"/>
  <c r="D54" i="48"/>
  <c r="D49" i="47" l="1"/>
  <c r="D51" i="48"/>
  <c r="D49" i="48" l="1"/>
  <c r="H11" i="47" l="1"/>
  <c r="H11" i="48" l="1"/>
  <c r="H11" i="49" l="1"/>
  <c r="H11" i="50" l="1"/>
  <c r="H11" i="52" l="1"/>
  <c r="H11" i="78" l="1"/>
  <c r="F129" i="50" l="1"/>
  <c r="F130" i="46"/>
  <c r="F131" i="74"/>
  <c r="F130" i="69"/>
  <c r="F130" i="68"/>
  <c r="F130" i="65"/>
  <c r="F126" i="63"/>
  <c r="F126" i="60"/>
  <c r="F130" i="56"/>
  <c r="F126" i="72"/>
  <c r="F130" i="57"/>
  <c r="F126" i="52"/>
  <c r="F126" i="48"/>
  <c r="F130" i="64"/>
  <c r="F131" i="48"/>
  <c r="F129" i="62"/>
  <c r="F130" i="48"/>
  <c r="F131" i="66"/>
  <c r="F127" i="66"/>
  <c r="F131" i="50"/>
  <c r="F131" i="71"/>
  <c r="F127" i="59"/>
  <c r="F126" i="66"/>
  <c r="F127" i="43"/>
  <c r="F130" i="60"/>
  <c r="F130" i="52"/>
  <c r="F126" i="55"/>
  <c r="F126" i="69"/>
  <c r="F129" i="52"/>
  <c r="F131" i="52"/>
  <c r="F131" i="55"/>
  <c r="F130" i="55"/>
  <c r="F126" i="70"/>
  <c r="F130" i="63"/>
  <c r="F132" i="48"/>
  <c r="F130" i="58"/>
  <c r="F127" i="69"/>
  <c r="F130" i="47"/>
  <c r="F130" i="72"/>
  <c r="F129" i="66"/>
  <c r="F132" i="66"/>
  <c r="F130" i="66"/>
  <c r="F131" i="47"/>
  <c r="F131" i="78"/>
  <c r="F131" i="59"/>
  <c r="F132" i="52"/>
  <c r="F130" i="45"/>
  <c r="F131" i="45"/>
  <c r="F132" i="55"/>
  <c r="F130" i="59"/>
  <c r="F130" i="74"/>
  <c r="F127" i="52"/>
  <c r="F129" i="60"/>
  <c r="F127" i="46"/>
  <c r="F132" i="45"/>
  <c r="F127" i="57"/>
  <c r="F132" i="60"/>
  <c r="F130" i="71"/>
  <c r="F126" i="43"/>
  <c r="F131" i="64"/>
  <c r="F130" i="49"/>
  <c r="F130" i="73"/>
  <c r="F131" i="69"/>
  <c r="F130" i="43"/>
  <c r="F131" i="63"/>
  <c r="F129" i="43"/>
  <c r="F127" i="44"/>
  <c r="F127" i="74" l="1"/>
  <c r="I131" i="55"/>
  <c r="F127" i="60"/>
  <c r="F130" i="78"/>
  <c r="F126" i="65"/>
  <c r="F129" i="74"/>
  <c r="F132" i="78"/>
  <c r="F127" i="65"/>
  <c r="F126" i="64"/>
  <c r="F127" i="55"/>
  <c r="F126" i="78"/>
  <c r="F129" i="46"/>
  <c r="F131" i="46"/>
  <c r="F131" i="72"/>
  <c r="F127" i="70"/>
  <c r="F127" i="47"/>
  <c r="F127" i="73"/>
  <c r="F131" i="65"/>
  <c r="F129" i="73"/>
  <c r="F126" i="68"/>
  <c r="F127" i="68"/>
  <c r="F126" i="49"/>
  <c r="F132" i="49"/>
  <c r="F126" i="67"/>
  <c r="F132" i="72"/>
  <c r="F126" i="44"/>
  <c r="F131" i="67"/>
  <c r="F126" i="73"/>
  <c r="F126" i="47"/>
  <c r="F126" i="50"/>
  <c r="F129" i="70"/>
  <c r="F131" i="58"/>
  <c r="F132" i="65"/>
  <c r="F126" i="57"/>
  <c r="F131" i="73"/>
  <c r="F127" i="67"/>
  <c r="F131" i="43"/>
  <c r="F127" i="49"/>
  <c r="F126" i="61"/>
  <c r="F129" i="57"/>
  <c r="F127" i="61"/>
  <c r="F127" i="63"/>
  <c r="F129" i="61"/>
  <c r="F131" i="61"/>
  <c r="F132" i="63"/>
  <c r="F131" i="70"/>
  <c r="F127" i="72"/>
  <c r="F131" i="49"/>
  <c r="I131" i="56"/>
  <c r="F131" i="68"/>
  <c r="F132" i="43"/>
  <c r="F126" i="58"/>
  <c r="F131" i="62"/>
  <c r="F130" i="61"/>
  <c r="F126" i="62"/>
  <c r="F130" i="50"/>
  <c r="F129" i="55"/>
  <c r="F129" i="78"/>
  <c r="F129" i="65"/>
  <c r="F129" i="44"/>
  <c r="F127" i="56"/>
  <c r="F130" i="70"/>
  <c r="F126" i="71"/>
  <c r="F129" i="48"/>
  <c r="F129" i="72"/>
  <c r="F130" i="44"/>
  <c r="F126" i="45"/>
  <c r="F129" i="67"/>
  <c r="F127" i="48"/>
  <c r="F130" i="67"/>
  <c r="F130" i="62"/>
  <c r="F131" i="44"/>
  <c r="F126" i="59"/>
  <c r="F127" i="50"/>
  <c r="F126" i="56"/>
  <c r="F131" i="56"/>
  <c r="F127" i="78"/>
  <c r="F129" i="64"/>
  <c r="F126" i="74"/>
  <c r="F131" i="60"/>
  <c r="F126" i="46"/>
  <c r="F132" i="59"/>
  <c r="F131" i="57"/>
  <c r="H129" i="54" l="1"/>
  <c r="I129" i="54" s="1"/>
  <c r="F129" i="54"/>
  <c r="F129" i="58"/>
  <c r="F132" i="69"/>
  <c r="F129" i="59"/>
  <c r="F132" i="64"/>
  <c r="I131" i="54"/>
  <c r="F131" i="54"/>
  <c r="F132" i="46"/>
  <c r="F132" i="58"/>
  <c r="F132" i="70"/>
  <c r="F132" i="73"/>
  <c r="F132" i="71"/>
  <c r="F132" i="50"/>
  <c r="F132" i="62"/>
  <c r="F129" i="47"/>
  <c r="F127" i="64"/>
  <c r="F132" i="44"/>
  <c r="F132" i="74"/>
  <c r="F132" i="57"/>
  <c r="I130" i="55"/>
  <c r="F132" i="67"/>
  <c r="F129" i="45"/>
  <c r="F132" i="47"/>
  <c r="F129" i="71"/>
  <c r="F129" i="49"/>
  <c r="F129" i="63"/>
  <c r="F129" i="68"/>
  <c r="I131" i="57"/>
  <c r="F129" i="69"/>
  <c r="F132" i="68"/>
  <c r="F129" i="56"/>
  <c r="F127" i="45"/>
  <c r="F127" i="62"/>
  <c r="F127" i="71"/>
  <c r="F132" i="56"/>
  <c r="I127" i="55"/>
  <c r="F127" i="58"/>
  <c r="F132" i="61"/>
  <c r="H130" i="54" l="1"/>
  <c r="I130" i="54" s="1"/>
  <c r="F130" i="54"/>
  <c r="I132" i="54"/>
  <c r="F132" i="54"/>
  <c r="H126" i="54"/>
  <c r="I126" i="54" s="1"/>
  <c r="F126" i="54"/>
  <c r="H127" i="54"/>
  <c r="I127" i="54" s="1"/>
  <c r="F127" i="54"/>
  <c r="I127" i="56"/>
  <c r="I126" i="55"/>
  <c r="I129" i="55"/>
  <c r="I130" i="56"/>
  <c r="I129" i="58" l="1"/>
  <c r="I131" i="58"/>
  <c r="I129" i="56"/>
  <c r="I130" i="57"/>
  <c r="I127" i="57"/>
  <c r="I132" i="55"/>
  <c r="I131" i="59"/>
  <c r="I129" i="57"/>
  <c r="I126" i="56"/>
  <c r="I132" i="56" l="1"/>
  <c r="I127" i="58"/>
  <c r="I126" i="57"/>
  <c r="I130" i="58"/>
  <c r="I131" i="60" l="1"/>
  <c r="I132" i="57"/>
  <c r="I127" i="59"/>
  <c r="I130" i="59"/>
  <c r="I129" i="59"/>
  <c r="I126" i="58"/>
  <c r="I131" i="61"/>
  <c r="I132" i="58" l="1"/>
  <c r="I131" i="62"/>
  <c r="I126" i="59"/>
  <c r="I130" i="60"/>
  <c r="I127" i="60"/>
  <c r="I129" i="60" l="1"/>
  <c r="I132" i="59"/>
  <c r="I130" i="61"/>
  <c r="I129" i="61"/>
  <c r="I131" i="63"/>
  <c r="I127" i="61"/>
  <c r="I126" i="60"/>
  <c r="I126" i="61" l="1"/>
  <c r="I132" i="60"/>
  <c r="I130" i="62"/>
  <c r="I127" i="62"/>
  <c r="I131" i="64"/>
  <c r="I129" i="62" l="1"/>
  <c r="I131" i="65"/>
  <c r="I126" i="62"/>
  <c r="I130" i="63"/>
  <c r="I132" i="61"/>
  <c r="I127" i="63"/>
  <c r="I129" i="63" l="1"/>
  <c r="I127" i="64"/>
  <c r="I131" i="66"/>
  <c r="I132" i="62"/>
  <c r="I126" i="63"/>
  <c r="I130" i="64"/>
  <c r="I129" i="64" l="1"/>
  <c r="I127" i="65"/>
  <c r="I130" i="65"/>
  <c r="I129" i="65"/>
  <c r="I126" i="64"/>
  <c r="I132" i="63"/>
  <c r="I131" i="67"/>
  <c r="I130" i="66" l="1"/>
  <c r="I131" i="68"/>
  <c r="I127" i="66"/>
  <c r="I129" i="66"/>
  <c r="I132" i="64"/>
  <c r="I126" i="65"/>
  <c r="I131" i="69" l="1"/>
  <c r="I127" i="67"/>
  <c r="I132" i="65"/>
  <c r="I126" i="66"/>
  <c r="I130" i="67"/>
  <c r="I129" i="67" l="1"/>
  <c r="I127" i="68"/>
  <c r="I131" i="70"/>
  <c r="I130" i="68"/>
  <c r="I132" i="66"/>
  <c r="I129" i="68"/>
  <c r="I126" i="67"/>
  <c r="I132" i="67" l="1"/>
  <c r="I129" i="69"/>
  <c r="I130" i="69"/>
  <c r="I131" i="71"/>
  <c r="I126" i="68"/>
  <c r="I127" i="69"/>
  <c r="I126" i="69" l="1"/>
  <c r="I132" i="68"/>
  <c r="I131" i="72"/>
  <c r="I127" i="70"/>
  <c r="I130" i="70"/>
  <c r="I129" i="70" l="1"/>
  <c r="I127" i="71"/>
  <c r="I130" i="71"/>
  <c r="I131" i="73"/>
  <c r="I132" i="69"/>
  <c r="I126" i="70"/>
  <c r="I129" i="71"/>
  <c r="I130" i="72" l="1"/>
  <c r="I127" i="72"/>
  <c r="I132" i="70"/>
  <c r="I126" i="71"/>
  <c r="I131" i="74"/>
  <c r="I129" i="72" l="1"/>
  <c r="I132" i="71"/>
  <c r="I127" i="73"/>
  <c r="I126" i="72"/>
  <c r="I131" i="43"/>
  <c r="I130" i="73"/>
  <c r="I129" i="73" l="1"/>
  <c r="I129" i="74"/>
  <c r="I126" i="73"/>
  <c r="I130" i="74"/>
  <c r="I127" i="74"/>
  <c r="I131" i="44"/>
  <c r="I132" i="72"/>
  <c r="I132" i="73" l="1"/>
  <c r="I131" i="45"/>
  <c r="I130" i="43"/>
  <c r="I127" i="43"/>
  <c r="I126" i="74"/>
  <c r="I129" i="43"/>
  <c r="I126" i="43" l="1"/>
  <c r="I130" i="44"/>
  <c r="I127" i="44"/>
  <c r="I132" i="74"/>
  <c r="I131" i="46" l="1"/>
  <c r="I129" i="44"/>
  <c r="I130" i="45"/>
  <c r="I127" i="45"/>
  <c r="I132" i="43"/>
  <c r="I126" i="44"/>
  <c r="I131" i="47"/>
  <c r="I129" i="45" l="1"/>
  <c r="I130" i="46"/>
  <c r="I131" i="48"/>
  <c r="I126" i="45"/>
  <c r="I129" i="46"/>
  <c r="I132" i="44"/>
  <c r="I127" i="46"/>
  <c r="I132" i="45" l="1"/>
  <c r="I129" i="47"/>
  <c r="I127" i="47"/>
  <c r="I131" i="49"/>
  <c r="I126" i="46"/>
  <c r="I130" i="47"/>
  <c r="I131" i="50" l="1"/>
  <c r="I127" i="48"/>
  <c r="I130" i="48"/>
  <c r="I129" i="48"/>
  <c r="I132" i="46"/>
  <c r="I126" i="47"/>
  <c r="I130" i="49" l="1"/>
  <c r="I126" i="48"/>
  <c r="I127" i="49"/>
  <c r="I132" i="47"/>
  <c r="I131" i="52"/>
  <c r="I129" i="49"/>
  <c r="I127" i="50" l="1"/>
  <c r="I132" i="48"/>
  <c r="I131" i="78"/>
  <c r="I129" i="50"/>
  <c r="I126" i="49"/>
  <c r="I130" i="50"/>
  <c r="I132" i="49" l="1"/>
  <c r="I126" i="50"/>
  <c r="I129" i="52"/>
  <c r="I127" i="52"/>
  <c r="I130" i="52"/>
  <c r="I132" i="50" l="1"/>
  <c r="I126" i="52"/>
  <c r="I130" i="78"/>
  <c r="I127" i="78"/>
  <c r="I129" i="78" l="1"/>
  <c r="I126" i="78"/>
  <c r="I132" i="52"/>
  <c r="I132" i="78" l="1"/>
  <c r="H142" i="57" l="1"/>
  <c r="F142" i="57"/>
  <c r="G142" i="57"/>
  <c r="D142" i="57"/>
  <c r="H142" i="58"/>
  <c r="F142" i="58"/>
  <c r="G142" i="58"/>
  <c r="P51" i="57"/>
  <c r="P51" i="58"/>
  <c r="M121" i="79" l="1"/>
  <c r="D9" i="81"/>
  <c r="S121" i="79"/>
  <c r="J9" i="81"/>
  <c r="H89" i="58"/>
  <c r="G89" i="58"/>
  <c r="H90" i="58"/>
  <c r="G90" i="58"/>
  <c r="H82" i="58"/>
  <c r="G82" i="58"/>
  <c r="G93" i="58"/>
  <c r="H93" i="58"/>
  <c r="F149" i="58"/>
  <c r="F9" i="83"/>
  <c r="D82" i="58"/>
  <c r="E82" i="58" s="1"/>
  <c r="F72" i="58"/>
  <c r="L135" i="58"/>
  <c r="N140" i="58" s="1"/>
  <c r="M140" i="58" s="1"/>
  <c r="G92" i="58"/>
  <c r="H92" i="58"/>
  <c r="Q121" i="79"/>
  <c r="J141" i="58"/>
  <c r="H9" i="81"/>
  <c r="D9" i="83"/>
  <c r="F9" i="58"/>
  <c r="F5" i="58" s="1"/>
  <c r="T17" i="58" s="1"/>
  <c r="D84" i="58"/>
  <c r="E84" i="58" s="1"/>
  <c r="H84" i="58"/>
  <c r="G84" i="58"/>
  <c r="H83" i="58"/>
  <c r="G83" i="58"/>
  <c r="I147" i="58"/>
  <c r="I145" i="58"/>
  <c r="J61" i="58"/>
  <c r="D149" i="58"/>
  <c r="J51" i="58"/>
  <c r="J49" i="58" s="1"/>
  <c r="C142" i="58"/>
  <c r="I141" i="58"/>
  <c r="F8" i="83"/>
  <c r="H8" i="81"/>
  <c r="Q120" i="79"/>
  <c r="I145" i="57"/>
  <c r="H93" i="57"/>
  <c r="G93" i="57"/>
  <c r="F149" i="57"/>
  <c r="G84" i="57"/>
  <c r="H84" i="57"/>
  <c r="H83" i="57"/>
  <c r="G83" i="57"/>
  <c r="I147" i="57"/>
  <c r="D149" i="57"/>
  <c r="J61" i="57"/>
  <c r="J141" i="57"/>
  <c r="C142" i="57"/>
  <c r="I141" i="57"/>
  <c r="J51" i="57"/>
  <c r="J49" i="57" s="1"/>
  <c r="M120" i="79"/>
  <c r="D8" i="81"/>
  <c r="H89" i="57"/>
  <c r="G89" i="57"/>
  <c r="S120" i="79"/>
  <c r="J8" i="81"/>
  <c r="H90" i="57"/>
  <c r="G90" i="57"/>
  <c r="F9" i="57"/>
  <c r="F5" i="57" s="1"/>
  <c r="D84" i="57"/>
  <c r="E84" i="57" s="1"/>
  <c r="H92" i="57"/>
  <c r="G92" i="57"/>
  <c r="D82" i="57"/>
  <c r="E82" i="57" s="1"/>
  <c r="F72" i="57"/>
  <c r="H82" i="57"/>
  <c r="G82" i="57"/>
  <c r="F9" i="80" l="1"/>
  <c r="N138" i="58"/>
  <c r="M138" i="58" s="1"/>
  <c r="D9" i="80"/>
  <c r="N137" i="58"/>
  <c r="M137" i="58" s="1"/>
  <c r="N136" i="58"/>
  <c r="M136" i="58" s="1"/>
  <c r="H9" i="80"/>
  <c r="H9" i="83"/>
  <c r="O121" i="79"/>
  <c r="I142" i="58"/>
  <c r="F9" i="81"/>
  <c r="J131" i="58"/>
  <c r="J7" i="76"/>
  <c r="N139" i="58"/>
  <c r="M139" i="58" s="1"/>
  <c r="S135" i="58"/>
  <c r="D93" i="57"/>
  <c r="E93" i="57" s="1"/>
  <c r="D8" i="80"/>
  <c r="J131" i="57"/>
  <c r="J6" i="76"/>
  <c r="F8" i="80"/>
  <c r="L135" i="57"/>
  <c r="N136" i="57" s="1"/>
  <c r="M136" i="57" s="1"/>
  <c r="H8" i="80"/>
  <c r="H8" i="83"/>
  <c r="D8" i="83"/>
  <c r="O120" i="79"/>
  <c r="F8" i="81"/>
  <c r="I142" i="57"/>
  <c r="T17" i="57"/>
  <c r="M135" i="58" l="1"/>
  <c r="N140" i="57"/>
  <c r="M140" i="57" s="1"/>
  <c r="AH7" i="76"/>
  <c r="AJ7" i="76"/>
  <c r="L131" i="58"/>
  <c r="P131" i="58"/>
  <c r="N138" i="57"/>
  <c r="M138" i="57" s="1"/>
  <c r="S135" i="57"/>
  <c r="N137" i="57"/>
  <c r="M137" i="57" s="1"/>
  <c r="AH6" i="76"/>
  <c r="AJ6" i="76"/>
  <c r="L131" i="57"/>
  <c r="P131" i="57"/>
  <c r="N139" i="57"/>
  <c r="M139" i="57" s="1"/>
  <c r="M135" i="57" l="1"/>
  <c r="D92" i="58"/>
  <c r="E92" i="58" s="1"/>
  <c r="D93" i="58"/>
  <c r="E93" i="58" s="1"/>
  <c r="E128" i="58"/>
  <c r="F128" i="58" s="1"/>
  <c r="AK7" i="76"/>
  <c r="K125" i="57"/>
  <c r="D92" i="57"/>
  <c r="E92" i="57" s="1"/>
  <c r="AK6" i="76"/>
  <c r="E128" i="57"/>
  <c r="F128" i="57" s="1"/>
  <c r="K125" i="58" l="1"/>
  <c r="D89" i="57" l="1"/>
  <c r="E89" i="57" s="1"/>
  <c r="D89" i="58" l="1"/>
  <c r="E89" i="58" s="1"/>
  <c r="H142" i="59" l="1"/>
  <c r="F142" i="59"/>
  <c r="G142" i="59"/>
  <c r="P51" i="59"/>
  <c r="H10" i="81" l="1"/>
  <c r="Q122" i="79"/>
  <c r="J51" i="59"/>
  <c r="I147" i="59"/>
  <c r="I145" i="59"/>
  <c r="D142" i="59"/>
  <c r="J141" i="59" s="1"/>
  <c r="D10" i="81"/>
  <c r="M122" i="79"/>
  <c r="H89" i="59"/>
  <c r="G89" i="59"/>
  <c r="J10" i="81"/>
  <c r="S122" i="79"/>
  <c r="F72" i="59"/>
  <c r="D82" i="59"/>
  <c r="E82" i="59" s="1"/>
  <c r="H90" i="59"/>
  <c r="G90" i="59"/>
  <c r="H82" i="59"/>
  <c r="G82" i="59"/>
  <c r="H93" i="59"/>
  <c r="G93" i="59"/>
  <c r="G92" i="59"/>
  <c r="H92" i="59"/>
  <c r="J61" i="59" l="1"/>
  <c r="H83" i="59"/>
  <c r="G83" i="59"/>
  <c r="G84" i="59"/>
  <c r="H84" i="59"/>
  <c r="D149" i="59"/>
  <c r="J49" i="59"/>
  <c r="F10" i="80"/>
  <c r="D89" i="59"/>
  <c r="E89" i="59" s="1"/>
  <c r="L135" i="59"/>
  <c r="N136" i="59" s="1"/>
  <c r="M136" i="59" s="1"/>
  <c r="F149" i="59"/>
  <c r="F10" i="83"/>
  <c r="D10" i="80"/>
  <c r="D10" i="83"/>
  <c r="D84" i="59"/>
  <c r="E84" i="59" s="1"/>
  <c r="H10" i="80"/>
  <c r="H10" i="83"/>
  <c r="C142" i="59"/>
  <c r="I141" i="59"/>
  <c r="F9" i="59"/>
  <c r="N139" i="59" l="1"/>
  <c r="M139" i="59" s="1"/>
  <c r="N140" i="59"/>
  <c r="M140" i="59" s="1"/>
  <c r="O122" i="79"/>
  <c r="F10" i="81"/>
  <c r="I142" i="59"/>
  <c r="F5" i="59"/>
  <c r="S135" i="59"/>
  <c r="N138" i="59"/>
  <c r="M138" i="59" s="1"/>
  <c r="N137" i="59"/>
  <c r="M137" i="59" s="1"/>
  <c r="M135" i="59" l="1"/>
  <c r="D92" i="59"/>
  <c r="E92" i="59" s="1"/>
  <c r="K125" i="59"/>
  <c r="D93" i="59"/>
  <c r="E93" i="59" s="1"/>
  <c r="J8" i="76"/>
  <c r="J131" i="59"/>
  <c r="T17" i="59"/>
  <c r="L131" i="59" l="1"/>
  <c r="P131" i="59"/>
  <c r="AH8" i="76"/>
  <c r="AJ8" i="76"/>
  <c r="AK8" i="76" l="1"/>
  <c r="E128" i="59"/>
  <c r="F128" i="59" s="1"/>
  <c r="H142" i="60" l="1"/>
  <c r="G142" i="60"/>
  <c r="D142" i="60"/>
  <c r="P51" i="60"/>
  <c r="F142" i="60" l="1"/>
  <c r="J141" i="60" s="1"/>
  <c r="I147" i="60"/>
  <c r="H90" i="60"/>
  <c r="G90" i="60"/>
  <c r="D82" i="60"/>
  <c r="E82" i="60" s="1"/>
  <c r="G83" i="60"/>
  <c r="H83" i="60"/>
  <c r="H84" i="60"/>
  <c r="G84" i="60"/>
  <c r="D149" i="60"/>
  <c r="J61" i="60"/>
  <c r="C142" i="60"/>
  <c r="F72" i="60"/>
  <c r="J51" i="60"/>
  <c r="M123" i="79"/>
  <c r="D11" i="81"/>
  <c r="J11" i="81"/>
  <c r="S123" i="79"/>
  <c r="G89" i="60"/>
  <c r="H89" i="60"/>
  <c r="Q123" i="79" l="1"/>
  <c r="H11" i="81"/>
  <c r="F11" i="80"/>
  <c r="D89" i="60"/>
  <c r="E89" i="60" s="1"/>
  <c r="D84" i="60"/>
  <c r="E84" i="60" s="1"/>
  <c r="D11" i="83"/>
  <c r="I145" i="60"/>
  <c r="G92" i="60"/>
  <c r="H92" i="60"/>
  <c r="F9" i="60"/>
  <c r="D11" i="80"/>
  <c r="H93" i="60"/>
  <c r="G93" i="60"/>
  <c r="G82" i="60"/>
  <c r="H82" i="60"/>
  <c r="F11" i="83"/>
  <c r="L135" i="60"/>
  <c r="N137" i="60" s="1"/>
  <c r="M137" i="60" s="1"/>
  <c r="J49" i="60"/>
  <c r="I141" i="60"/>
  <c r="O123" i="79"/>
  <c r="I142" i="60"/>
  <c r="F11" i="81"/>
  <c r="H11" i="83"/>
  <c r="H11" i="80"/>
  <c r="F149" i="60"/>
  <c r="N136" i="60" l="1"/>
  <c r="M136" i="60" s="1"/>
  <c r="N139" i="60"/>
  <c r="M139" i="60" s="1"/>
  <c r="N140" i="60"/>
  <c r="M140" i="60" s="1"/>
  <c r="S135" i="60"/>
  <c r="N138" i="60"/>
  <c r="M138" i="60" s="1"/>
  <c r="F5" i="60"/>
  <c r="M135" i="60" l="1"/>
  <c r="D92" i="60"/>
  <c r="E92" i="60" s="1"/>
  <c r="K125" i="60"/>
  <c r="D93" i="60"/>
  <c r="E93" i="60" s="1"/>
  <c r="J9" i="76"/>
  <c r="J131" i="60"/>
  <c r="T17" i="60"/>
  <c r="AH9" i="76" l="1"/>
  <c r="AJ9" i="76"/>
  <c r="P131" i="60"/>
  <c r="L131" i="60"/>
  <c r="E128" i="60" l="1"/>
  <c r="F128" i="60" s="1"/>
  <c r="AK9" i="76"/>
  <c r="H142" i="61" l="1"/>
  <c r="F142" i="61"/>
  <c r="D142" i="61"/>
  <c r="P51" i="61"/>
  <c r="D89" i="61" l="1"/>
  <c r="E89" i="61" s="1"/>
  <c r="G142" i="61"/>
  <c r="J141" i="61" s="1"/>
  <c r="F149" i="61"/>
  <c r="H12" i="81"/>
  <c r="Q124" i="79"/>
  <c r="J51" i="61"/>
  <c r="D82" i="61"/>
  <c r="E82" i="61" s="1"/>
  <c r="F72" i="61"/>
  <c r="I147" i="61"/>
  <c r="I145" i="61"/>
  <c r="D149" i="61"/>
  <c r="J61" i="61"/>
  <c r="H89" i="61"/>
  <c r="G89" i="61"/>
  <c r="C142" i="61"/>
  <c r="G90" i="61"/>
  <c r="H90" i="61"/>
  <c r="G82" i="61"/>
  <c r="H82" i="61"/>
  <c r="H93" i="61"/>
  <c r="G93" i="61"/>
  <c r="H92" i="61"/>
  <c r="G92" i="61"/>
  <c r="H84" i="61"/>
  <c r="G84" i="61"/>
  <c r="D12" i="81"/>
  <c r="M124" i="79"/>
  <c r="L135" i="61" l="1"/>
  <c r="N140" i="61" s="1"/>
  <c r="M140" i="61" s="1"/>
  <c r="I141" i="61"/>
  <c r="N139" i="61"/>
  <c r="M139" i="61" s="1"/>
  <c r="S135" i="61"/>
  <c r="N136" i="61"/>
  <c r="M136" i="61" s="1"/>
  <c r="D12" i="83"/>
  <c r="J49" i="61"/>
  <c r="G83" i="61"/>
  <c r="H83" i="61"/>
  <c r="F12" i="80"/>
  <c r="H12" i="83"/>
  <c r="H12" i="80"/>
  <c r="F12" i="83"/>
  <c r="O124" i="79"/>
  <c r="F12" i="81"/>
  <c r="I142" i="61"/>
  <c r="D12" i="80"/>
  <c r="F9" i="61"/>
  <c r="N137" i="61"/>
  <c r="M137" i="61" s="1"/>
  <c r="D84" i="61"/>
  <c r="E84" i="61" s="1"/>
  <c r="J12" i="81"/>
  <c r="S124" i="79"/>
  <c r="N138" i="61" l="1"/>
  <c r="M138" i="61" s="1"/>
  <c r="M135" i="61" s="1"/>
  <c r="F5" i="61"/>
  <c r="J10" i="76" l="1"/>
  <c r="J131" i="61"/>
  <c r="T17" i="61"/>
  <c r="K125" i="61"/>
  <c r="D92" i="61"/>
  <c r="E92" i="61" s="1"/>
  <c r="AH10" i="76" l="1"/>
  <c r="AJ10" i="76"/>
  <c r="L131" i="61"/>
  <c r="P131" i="61"/>
  <c r="D93" i="61"/>
  <c r="E93" i="61" s="1"/>
  <c r="AK10" i="76" l="1"/>
  <c r="E128" i="61"/>
  <c r="F128" i="61" s="1"/>
  <c r="H142" i="62" l="1"/>
  <c r="F142" i="62"/>
  <c r="G142" i="62"/>
  <c r="P51" i="62"/>
  <c r="C142" i="62" l="1"/>
  <c r="H90" i="62"/>
  <c r="G90" i="62"/>
  <c r="D142" i="62"/>
  <c r="J141" i="62" s="1"/>
  <c r="H82" i="62"/>
  <c r="G82" i="62"/>
  <c r="G93" i="62"/>
  <c r="H93" i="62"/>
  <c r="H83" i="62"/>
  <c r="G83" i="62"/>
  <c r="M125" i="79"/>
  <c r="D13" i="81"/>
  <c r="H84" i="62"/>
  <c r="G84" i="62"/>
  <c r="S125" i="79"/>
  <c r="J13" i="81"/>
  <c r="J51" i="62"/>
  <c r="F72" i="62"/>
  <c r="D82" i="62"/>
  <c r="E82" i="62" s="1"/>
  <c r="F149" i="62"/>
  <c r="Q125" i="79"/>
  <c r="H13" i="81"/>
  <c r="I147" i="62"/>
  <c r="I145" i="62"/>
  <c r="H89" i="62"/>
  <c r="G89" i="62"/>
  <c r="D149" i="62" l="1"/>
  <c r="J61" i="62"/>
  <c r="I141" i="62"/>
  <c r="H13" i="80"/>
  <c r="H13" i="83"/>
  <c r="O125" i="79"/>
  <c r="F13" i="81"/>
  <c r="I142" i="62"/>
  <c r="F13" i="80"/>
  <c r="F9" i="62"/>
  <c r="D89" i="62"/>
  <c r="E89" i="62" s="1"/>
  <c r="D13" i="83"/>
  <c r="J49" i="62"/>
  <c r="L135" i="62"/>
  <c r="N136" i="62" s="1"/>
  <c r="M136" i="62" s="1"/>
  <c r="F13" i="83"/>
  <c r="H92" i="62"/>
  <c r="G92" i="62"/>
  <c r="D84" i="62"/>
  <c r="E84" i="62" s="1"/>
  <c r="D13" i="80"/>
  <c r="N140" i="62" l="1"/>
  <c r="M140" i="62" s="1"/>
  <c r="F5" i="62"/>
  <c r="N139" i="62"/>
  <c r="M139" i="62" s="1"/>
  <c r="S134" i="62"/>
  <c r="N137" i="62"/>
  <c r="M137" i="62" s="1"/>
  <c r="N138" i="62"/>
  <c r="M138" i="62" s="1"/>
  <c r="M135" i="62" l="1"/>
  <c r="D93" i="62"/>
  <c r="E93" i="62" s="1"/>
  <c r="J131" i="62"/>
  <c r="J11" i="76"/>
  <c r="T17" i="62"/>
  <c r="D92" i="62" l="1"/>
  <c r="E92" i="62" s="1"/>
  <c r="K125" i="62"/>
  <c r="AH11" i="76"/>
  <c r="AJ11" i="76"/>
  <c r="L131" i="62"/>
  <c r="P131" i="62"/>
  <c r="E128" i="62" l="1"/>
  <c r="F128" i="62" s="1"/>
  <c r="AK11" i="76"/>
  <c r="H142" i="63" l="1"/>
  <c r="G142" i="63"/>
  <c r="D142" i="63"/>
  <c r="H142" i="64"/>
  <c r="F142" i="64"/>
  <c r="G142" i="64"/>
  <c r="D142" i="64"/>
  <c r="H142" i="65"/>
  <c r="F142" i="65"/>
  <c r="G142" i="65"/>
  <c r="D142" i="65"/>
  <c r="P51" i="64"/>
  <c r="P51" i="65"/>
  <c r="J141" i="64" l="1"/>
  <c r="D89" i="65"/>
  <c r="E89" i="65" s="1"/>
  <c r="G89" i="65"/>
  <c r="H89" i="65"/>
  <c r="G92" i="65"/>
  <c r="H92" i="65"/>
  <c r="H84" i="65"/>
  <c r="G84" i="65"/>
  <c r="F149" i="65"/>
  <c r="M128" i="79"/>
  <c r="D16" i="81"/>
  <c r="H90" i="65"/>
  <c r="G90" i="65"/>
  <c r="J16" i="81"/>
  <c r="S128" i="79"/>
  <c r="G83" i="65"/>
  <c r="H83" i="65"/>
  <c r="Q128" i="79"/>
  <c r="H16" i="81"/>
  <c r="I147" i="65"/>
  <c r="I145" i="65"/>
  <c r="J51" i="65"/>
  <c r="J49" i="65" s="1"/>
  <c r="D149" i="65"/>
  <c r="J61" i="65"/>
  <c r="J141" i="65"/>
  <c r="C142" i="65"/>
  <c r="I141" i="65"/>
  <c r="F72" i="65"/>
  <c r="D82" i="65"/>
  <c r="E82" i="65" s="1"/>
  <c r="F9" i="65"/>
  <c r="F5" i="65" s="1"/>
  <c r="T17" i="65" s="1"/>
  <c r="D84" i="65"/>
  <c r="E84" i="65" s="1"/>
  <c r="H82" i="65"/>
  <c r="G82" i="65"/>
  <c r="G93" i="65"/>
  <c r="H93" i="65"/>
  <c r="D15" i="83"/>
  <c r="C142" i="64"/>
  <c r="I141" i="64"/>
  <c r="H90" i="64"/>
  <c r="G90" i="64"/>
  <c r="H82" i="64"/>
  <c r="G82" i="64"/>
  <c r="H93" i="64"/>
  <c r="G93" i="64"/>
  <c r="D15" i="81"/>
  <c r="M127" i="79"/>
  <c r="G84" i="64"/>
  <c r="H84" i="64"/>
  <c r="G83" i="64"/>
  <c r="H83" i="64"/>
  <c r="F15" i="80"/>
  <c r="D15" i="80"/>
  <c r="F72" i="64"/>
  <c r="D82" i="64"/>
  <c r="E82" i="64" s="1"/>
  <c r="F149" i="64"/>
  <c r="J51" i="64"/>
  <c r="J49" i="64" s="1"/>
  <c r="Q127" i="79"/>
  <c r="H15" i="81"/>
  <c r="F9" i="64"/>
  <c r="F5" i="64" s="1"/>
  <c r="T17" i="64" s="1"/>
  <c r="D84" i="64"/>
  <c r="E84" i="64" s="1"/>
  <c r="I145" i="64"/>
  <c r="G92" i="64"/>
  <c r="H92" i="64"/>
  <c r="J15" i="81"/>
  <c r="S127" i="79"/>
  <c r="D149" i="64"/>
  <c r="J61" i="64"/>
  <c r="D82" i="63"/>
  <c r="E82" i="63" s="1"/>
  <c r="F142" i="63"/>
  <c r="J141" i="63" s="1"/>
  <c r="P51" i="63"/>
  <c r="H84" i="63"/>
  <c r="G84" i="63"/>
  <c r="I147" i="63"/>
  <c r="H83" i="63"/>
  <c r="G83" i="63"/>
  <c r="I145" i="63"/>
  <c r="D149" i="63"/>
  <c r="J61" i="63"/>
  <c r="C142" i="63"/>
  <c r="M126" i="79"/>
  <c r="D14" i="81"/>
  <c r="J14" i="81"/>
  <c r="S126" i="79"/>
  <c r="F72" i="63"/>
  <c r="G89" i="63"/>
  <c r="H89" i="63"/>
  <c r="G90" i="63"/>
  <c r="H90" i="63"/>
  <c r="F15" i="83" l="1"/>
  <c r="F16" i="80"/>
  <c r="F16" i="83"/>
  <c r="D16" i="80"/>
  <c r="O128" i="79"/>
  <c r="F16" i="81"/>
  <c r="I142" i="65"/>
  <c r="L135" i="65"/>
  <c r="N137" i="65" s="1"/>
  <c r="M137" i="65" s="1"/>
  <c r="D16" i="83"/>
  <c r="H16" i="80"/>
  <c r="H16" i="83"/>
  <c r="J14" i="76"/>
  <c r="J131" i="65"/>
  <c r="F15" i="81"/>
  <c r="O127" i="79"/>
  <c r="I142" i="64"/>
  <c r="I147" i="64"/>
  <c r="H15" i="80"/>
  <c r="H15" i="83"/>
  <c r="G89" i="64"/>
  <c r="H89" i="64"/>
  <c r="L135" i="64"/>
  <c r="N139" i="64" s="1"/>
  <c r="M139" i="64" s="1"/>
  <c r="D89" i="64"/>
  <c r="E89" i="64" s="1"/>
  <c r="J13" i="76"/>
  <c r="J131" i="64"/>
  <c r="L135" i="63"/>
  <c r="N137" i="63" s="1"/>
  <c r="M137" i="63" s="1"/>
  <c r="F14" i="80"/>
  <c r="G92" i="63"/>
  <c r="H92" i="63"/>
  <c r="H93" i="63"/>
  <c r="G93" i="63"/>
  <c r="F14" i="83"/>
  <c r="J51" i="63"/>
  <c r="H82" i="63"/>
  <c r="G82" i="63"/>
  <c r="F9" i="63"/>
  <c r="D14" i="80"/>
  <c r="I141" i="63"/>
  <c r="D14" i="83"/>
  <c r="O126" i="79"/>
  <c r="F14" i="81"/>
  <c r="I142" i="63"/>
  <c r="H14" i="80"/>
  <c r="H14" i="83"/>
  <c r="F149" i="63"/>
  <c r="D84" i="63"/>
  <c r="E84" i="63" s="1"/>
  <c r="D89" i="63"/>
  <c r="E89" i="63" s="1"/>
  <c r="Q126" i="79"/>
  <c r="H14" i="81"/>
  <c r="N140" i="63" l="1"/>
  <c r="M140" i="63" s="1"/>
  <c r="N136" i="63"/>
  <c r="M136" i="63" s="1"/>
  <c r="N138" i="63"/>
  <c r="M138" i="63" s="1"/>
  <c r="S135" i="63"/>
  <c r="N139" i="63"/>
  <c r="M139" i="63" s="1"/>
  <c r="N136" i="65"/>
  <c r="M136" i="65" s="1"/>
  <c r="D93" i="65"/>
  <c r="E93" i="65" s="1"/>
  <c r="N139" i="65"/>
  <c r="M139" i="65" s="1"/>
  <c r="S135" i="65"/>
  <c r="N140" i="65"/>
  <c r="M140" i="65" s="1"/>
  <c r="L131" i="65"/>
  <c r="P131" i="65"/>
  <c r="AH14" i="76"/>
  <c r="AJ14" i="76"/>
  <c r="N138" i="65"/>
  <c r="M138" i="65" s="1"/>
  <c r="N137" i="64"/>
  <c r="M137" i="64" s="1"/>
  <c r="AH13" i="76"/>
  <c r="AJ13" i="76"/>
  <c r="L131" i="64"/>
  <c r="P131" i="64"/>
  <c r="S135" i="64"/>
  <c r="N140" i="64"/>
  <c r="M140" i="64" s="1"/>
  <c r="N138" i="64"/>
  <c r="M138" i="64" s="1"/>
  <c r="D93" i="64"/>
  <c r="E93" i="64" s="1"/>
  <c r="N136" i="64"/>
  <c r="M136" i="64" s="1"/>
  <c r="J49" i="63"/>
  <c r="F5" i="63"/>
  <c r="M135" i="63" l="1"/>
  <c r="M135" i="64"/>
  <c r="D92" i="65"/>
  <c r="E92" i="65" s="1"/>
  <c r="K125" i="65"/>
  <c r="AK14" i="76"/>
  <c r="E128" i="65"/>
  <c r="F128" i="65" s="1"/>
  <c r="M135" i="65"/>
  <c r="D92" i="64"/>
  <c r="E92" i="64" s="1"/>
  <c r="K125" i="64"/>
  <c r="AK13" i="76"/>
  <c r="E128" i="64"/>
  <c r="F128" i="64" s="1"/>
  <c r="D92" i="63"/>
  <c r="E92" i="63" s="1"/>
  <c r="K125" i="63"/>
  <c r="J12" i="76"/>
  <c r="J131" i="63"/>
  <c r="T17" i="63"/>
  <c r="D93" i="63"/>
  <c r="E93" i="63" s="1"/>
  <c r="AH12" i="76" l="1"/>
  <c r="AJ12" i="76"/>
  <c r="L131" i="63"/>
  <c r="P131" i="63"/>
  <c r="AK12" i="76" l="1"/>
  <c r="E128" i="63"/>
  <c r="F128" i="63" s="1"/>
  <c r="H142" i="66" l="1"/>
  <c r="G142" i="66"/>
  <c r="D142" i="66"/>
  <c r="P51" i="66"/>
  <c r="F142" i="66" l="1"/>
  <c r="J141" i="66" s="1"/>
  <c r="I145" i="66"/>
  <c r="I147" i="66"/>
  <c r="D89" i="66"/>
  <c r="E89" i="66" s="1"/>
  <c r="D82" i="66"/>
  <c r="E82" i="66" s="1"/>
  <c r="F72" i="66"/>
  <c r="D149" i="66"/>
  <c r="J61" i="66"/>
  <c r="J51" i="66"/>
  <c r="C142" i="66"/>
  <c r="H89" i="66"/>
  <c r="G89" i="66"/>
  <c r="H90" i="66"/>
  <c r="G90" i="66"/>
  <c r="H82" i="66"/>
  <c r="G82" i="66"/>
  <c r="H93" i="66"/>
  <c r="G93" i="66"/>
  <c r="G92" i="66"/>
  <c r="H92" i="66"/>
  <c r="M129" i="79"/>
  <c r="D17" i="81"/>
  <c r="G84" i="66"/>
  <c r="H84" i="66"/>
  <c r="S129" i="79"/>
  <c r="J17" i="81"/>
  <c r="G83" i="66"/>
  <c r="H83" i="66"/>
  <c r="I141" i="66" l="1"/>
  <c r="O129" i="79"/>
  <c r="F17" i="81"/>
  <c r="I142" i="66"/>
  <c r="D17" i="83"/>
  <c r="J49" i="66"/>
  <c r="H17" i="80"/>
  <c r="H17" i="83"/>
  <c r="F149" i="66"/>
  <c r="Q129" i="79"/>
  <c r="H17" i="81"/>
  <c r="D84" i="66"/>
  <c r="E84" i="66" s="1"/>
  <c r="F17" i="80"/>
  <c r="D17" i="80"/>
  <c r="F17" i="83"/>
  <c r="F9" i="66"/>
  <c r="L135" i="66"/>
  <c r="N140" i="66" s="1"/>
  <c r="M140" i="66" s="1"/>
  <c r="N138" i="66" l="1"/>
  <c r="M138" i="66" s="1"/>
  <c r="F5" i="66"/>
  <c r="N137" i="66"/>
  <c r="M137" i="66" s="1"/>
  <c r="S135" i="66"/>
  <c r="N136" i="66"/>
  <c r="M136" i="66" s="1"/>
  <c r="N139" i="66"/>
  <c r="M139" i="66" s="1"/>
  <c r="M135" i="66" l="1"/>
  <c r="D92" i="66"/>
  <c r="E92" i="66" s="1"/>
  <c r="K125" i="66"/>
  <c r="J15" i="76"/>
  <c r="J131" i="66"/>
  <c r="T17" i="66"/>
  <c r="D93" i="66"/>
  <c r="E93" i="66" s="1"/>
  <c r="AJ15" i="76" l="1"/>
  <c r="AH15" i="76"/>
  <c r="L131" i="66"/>
  <c r="P131" i="66"/>
  <c r="AK15" i="76" l="1"/>
  <c r="E128" i="66"/>
  <c r="F128" i="66" s="1"/>
  <c r="H142" i="67" l="1"/>
  <c r="F142" i="67"/>
  <c r="D142" i="67"/>
  <c r="P51" i="67"/>
  <c r="H93" i="67" l="1"/>
  <c r="G93" i="67"/>
  <c r="H18" i="83"/>
  <c r="M130" i="79"/>
  <c r="D18" i="81"/>
  <c r="G142" i="67"/>
  <c r="J141" i="67" s="1"/>
  <c r="H84" i="67"/>
  <c r="G84" i="67"/>
  <c r="F149" i="67"/>
  <c r="G83" i="67"/>
  <c r="H83" i="67"/>
  <c r="Q130" i="79"/>
  <c r="H18" i="81"/>
  <c r="I147" i="67"/>
  <c r="I145" i="67"/>
  <c r="D149" i="67"/>
  <c r="J61" i="67"/>
  <c r="C142" i="67"/>
  <c r="J51" i="67"/>
  <c r="D82" i="67"/>
  <c r="E82" i="67" s="1"/>
  <c r="F72" i="67"/>
  <c r="G92" i="67" l="1"/>
  <c r="H92" i="67"/>
  <c r="D89" i="67"/>
  <c r="E89" i="67" s="1"/>
  <c r="H90" i="67"/>
  <c r="G90" i="67"/>
  <c r="O130" i="79"/>
  <c r="F18" i="81"/>
  <c r="F9" i="67"/>
  <c r="D84" i="67"/>
  <c r="E84" i="67" s="1"/>
  <c r="I142" i="67"/>
  <c r="H89" i="67"/>
  <c r="G89" i="67"/>
  <c r="H82" i="67"/>
  <c r="G82" i="67"/>
  <c r="D18" i="80"/>
  <c r="S130" i="79"/>
  <c r="J18" i="81"/>
  <c r="I141" i="67"/>
  <c r="D18" i="83"/>
  <c r="F18" i="80"/>
  <c r="J49" i="67"/>
  <c r="H18" i="80"/>
  <c r="F5" i="67" l="1"/>
  <c r="F18" i="83"/>
  <c r="L135" i="67" l="1"/>
  <c r="N136" i="67" s="1"/>
  <c r="M136" i="67" s="1"/>
  <c r="J16" i="76"/>
  <c r="J131" i="67"/>
  <c r="T17" i="67"/>
  <c r="AH16" i="76" l="1"/>
  <c r="AJ16" i="76"/>
  <c r="L131" i="67"/>
  <c r="P131" i="67"/>
  <c r="D92" i="67"/>
  <c r="E92" i="67" s="1"/>
  <c r="N137" i="67"/>
  <c r="M137" i="67" s="1"/>
  <c r="S135" i="67"/>
  <c r="N138" i="67"/>
  <c r="M138" i="67" s="1"/>
  <c r="N140" i="67"/>
  <c r="M140" i="67" s="1"/>
  <c r="N139" i="67"/>
  <c r="M139" i="67" s="1"/>
  <c r="K125" i="67"/>
  <c r="D93" i="67"/>
  <c r="E93" i="67" s="1"/>
  <c r="M135" i="67" l="1"/>
  <c r="AK16" i="76"/>
  <c r="E128" i="67"/>
  <c r="F128" i="67" s="1"/>
  <c r="D16" i="44" l="1"/>
  <c r="D16" i="72" l="1"/>
  <c r="D16" i="45"/>
  <c r="D16" i="46"/>
  <c r="D16" i="68"/>
  <c r="D16" i="58"/>
  <c r="D16" i="74"/>
  <c r="D16" i="50"/>
  <c r="D16" i="61"/>
  <c r="D16" i="78"/>
  <c r="D16" i="63"/>
  <c r="D16" i="69"/>
  <c r="D16" i="73"/>
  <c r="D16" i="64"/>
  <c r="D16" i="66"/>
  <c r="D16" i="52"/>
  <c r="D16" i="59"/>
  <c r="D16" i="43"/>
  <c r="D16" i="71"/>
  <c r="D16" i="62"/>
  <c r="D16" i="70"/>
  <c r="D16" i="55"/>
  <c r="D16" i="56"/>
  <c r="D16" i="57"/>
  <c r="D16" i="65"/>
  <c r="D16" i="49"/>
  <c r="D16" i="67"/>
  <c r="D14" i="54"/>
  <c r="D16" i="60"/>
  <c r="D14" i="72" l="1"/>
  <c r="D14" i="78"/>
  <c r="D14" i="71"/>
  <c r="D14" i="58"/>
  <c r="D14" i="47"/>
  <c r="D14" i="45"/>
  <c r="D14" i="43"/>
  <c r="D14" i="64"/>
  <c r="D14" i="44"/>
  <c r="D14" i="67"/>
  <c r="D14" i="73"/>
  <c r="D14" i="52"/>
  <c r="D14" i="59"/>
  <c r="D14" i="48"/>
  <c r="D14" i="60"/>
  <c r="D14" i="62"/>
  <c r="D14" i="55"/>
  <c r="D14" i="63"/>
  <c r="D14" i="69"/>
  <c r="D14" i="50"/>
  <c r="D14" i="61"/>
  <c r="D14" i="66"/>
  <c r="D14" i="74"/>
  <c r="D14" i="57"/>
  <c r="D14" i="49"/>
  <c r="D14" i="68"/>
  <c r="D14" i="70"/>
  <c r="D14" i="56"/>
  <c r="D14" i="46"/>
  <c r="D14" i="65"/>
  <c r="D16" i="47"/>
  <c r="D16" i="48" l="1"/>
  <c r="H142" i="68"/>
  <c r="F142" i="68"/>
  <c r="G142" i="68"/>
  <c r="D142" i="68"/>
  <c r="J141" i="68" l="1"/>
  <c r="P51" i="68"/>
  <c r="H89" i="68"/>
  <c r="G89" i="68"/>
  <c r="I147" i="68"/>
  <c r="F149" i="68"/>
  <c r="Q131" i="79"/>
  <c r="H19" i="81"/>
  <c r="D149" i="68"/>
  <c r="J61" i="68"/>
  <c r="H90" i="68"/>
  <c r="G90" i="68"/>
  <c r="G82" i="68"/>
  <c r="H82" i="68"/>
  <c r="H93" i="68"/>
  <c r="G93" i="68"/>
  <c r="H92" i="68"/>
  <c r="G92" i="68"/>
  <c r="H84" i="68"/>
  <c r="G84" i="68"/>
  <c r="M131" i="79"/>
  <c r="D19" i="81"/>
  <c r="G83" i="68"/>
  <c r="H83" i="68"/>
  <c r="S131" i="79"/>
  <c r="J19" i="81"/>
  <c r="F72" i="68"/>
  <c r="D82" i="68"/>
  <c r="E82" i="68" s="1"/>
  <c r="I145" i="68" l="1"/>
  <c r="D19" i="80"/>
  <c r="F19" i="83"/>
  <c r="C142" i="68"/>
  <c r="I141" i="68"/>
  <c r="D89" i="68"/>
  <c r="E89" i="68" s="1"/>
  <c r="F9" i="68"/>
  <c r="H19" i="80"/>
  <c r="H19" i="83"/>
  <c r="D84" i="68"/>
  <c r="E84" i="68" s="1"/>
  <c r="F19" i="80"/>
  <c r="D19" i="83"/>
  <c r="J51" i="68"/>
  <c r="L135" i="68" l="1"/>
  <c r="N139" i="68" s="1"/>
  <c r="M139" i="68" s="1"/>
  <c r="O131" i="79"/>
  <c r="F19" i="81"/>
  <c r="I142" i="68"/>
  <c r="J49" i="68"/>
  <c r="F5" i="68"/>
  <c r="N140" i="68" l="1"/>
  <c r="M140" i="68" s="1"/>
  <c r="D92" i="68"/>
  <c r="E92" i="68" s="1"/>
  <c r="S135" i="68"/>
  <c r="N136" i="68"/>
  <c r="M136" i="68" s="1"/>
  <c r="N138" i="68"/>
  <c r="M138" i="68" s="1"/>
  <c r="J131" i="68"/>
  <c r="J17" i="76"/>
  <c r="T17" i="68"/>
  <c r="N137" i="68"/>
  <c r="M137" i="68" s="1"/>
  <c r="M135" i="68" l="1"/>
  <c r="D93" i="68"/>
  <c r="E93" i="68" s="1"/>
  <c r="L131" i="68"/>
  <c r="P131" i="68"/>
  <c r="AH17" i="76"/>
  <c r="AJ17" i="76"/>
  <c r="K125" i="68"/>
  <c r="E128" i="68" l="1"/>
  <c r="F128" i="68" s="1"/>
  <c r="AK17" i="76"/>
  <c r="H142" i="69" l="1"/>
  <c r="F142" i="69"/>
  <c r="G142" i="69"/>
  <c r="D142" i="69"/>
  <c r="P51" i="69"/>
  <c r="D20" i="83" l="1"/>
  <c r="I145" i="69"/>
  <c r="Q132" i="79"/>
  <c r="H20" i="81"/>
  <c r="H89" i="69"/>
  <c r="G89" i="69"/>
  <c r="H90" i="69"/>
  <c r="G90" i="69"/>
  <c r="G82" i="69"/>
  <c r="H82" i="69"/>
  <c r="J61" i="69"/>
  <c r="D149" i="69"/>
  <c r="H93" i="69"/>
  <c r="G93" i="69"/>
  <c r="J141" i="69"/>
  <c r="C142" i="69"/>
  <c r="I141" i="69"/>
  <c r="G92" i="69"/>
  <c r="H92" i="69"/>
  <c r="H84" i="69"/>
  <c r="G84" i="69"/>
  <c r="G83" i="69"/>
  <c r="H83" i="69"/>
  <c r="J51" i="69"/>
  <c r="D20" i="81"/>
  <c r="M132" i="79"/>
  <c r="J20" i="81"/>
  <c r="S132" i="79"/>
  <c r="F9" i="69" l="1"/>
  <c r="I142" i="69"/>
  <c r="F20" i="81"/>
  <c r="O132" i="79"/>
  <c r="D84" i="69"/>
  <c r="E84" i="69" s="1"/>
  <c r="H20" i="83"/>
  <c r="H20" i="80"/>
  <c r="F149" i="69"/>
  <c r="D20" i="80"/>
  <c r="J49" i="69"/>
  <c r="F20" i="83"/>
  <c r="I147" i="69"/>
  <c r="D89" i="69"/>
  <c r="E89" i="69" s="1"/>
  <c r="F20" i="80"/>
  <c r="F72" i="69"/>
  <c r="D82" i="69"/>
  <c r="E82" i="69" s="1"/>
  <c r="F5" i="69" l="1"/>
  <c r="J18" i="76" l="1"/>
  <c r="J131" i="69"/>
  <c r="T17" i="69"/>
  <c r="D92" i="69"/>
  <c r="E92" i="69" s="1"/>
  <c r="K125" i="69"/>
  <c r="D93" i="69"/>
  <c r="E93" i="69" s="1"/>
  <c r="L135" i="69"/>
  <c r="N136" i="69" s="1"/>
  <c r="M136" i="69" s="1"/>
  <c r="N140" i="69" l="1"/>
  <c r="M140" i="69" s="1"/>
  <c r="S135" i="69"/>
  <c r="N138" i="69"/>
  <c r="M138" i="69" s="1"/>
  <c r="N137" i="69"/>
  <c r="M137" i="69" s="1"/>
  <c r="L131" i="69"/>
  <c r="P131" i="69"/>
  <c r="AH18" i="76"/>
  <c r="AJ18" i="76"/>
  <c r="N139" i="69"/>
  <c r="M139" i="69" s="1"/>
  <c r="M135" i="69" l="1"/>
  <c r="AK18" i="76"/>
  <c r="E128" i="69"/>
  <c r="F128" i="69" s="1"/>
  <c r="F142" i="70" l="1"/>
  <c r="G142" i="70"/>
  <c r="D142" i="70"/>
  <c r="H142" i="71"/>
  <c r="F142" i="71"/>
  <c r="D142" i="71"/>
  <c r="H142" i="72"/>
  <c r="F142" i="72"/>
  <c r="G142" i="72"/>
  <c r="D142" i="72"/>
  <c r="P51" i="70"/>
  <c r="P51" i="72"/>
  <c r="D89" i="72" l="1"/>
  <c r="E89" i="72" s="1"/>
  <c r="H93" i="72"/>
  <c r="G93" i="72"/>
  <c r="J23" i="81"/>
  <c r="S135" i="79"/>
  <c r="H92" i="72"/>
  <c r="G92" i="72"/>
  <c r="G84" i="72"/>
  <c r="H84" i="72"/>
  <c r="G83" i="72"/>
  <c r="H83" i="72"/>
  <c r="F72" i="72"/>
  <c r="D82" i="72"/>
  <c r="E82" i="72" s="1"/>
  <c r="F149" i="72"/>
  <c r="F9" i="72"/>
  <c r="F5" i="72" s="1"/>
  <c r="D84" i="72"/>
  <c r="E84" i="72" s="1"/>
  <c r="H23" i="81"/>
  <c r="Q135" i="79"/>
  <c r="I147" i="72"/>
  <c r="J51" i="72"/>
  <c r="J49" i="72" s="1"/>
  <c r="I145" i="72"/>
  <c r="D149" i="72"/>
  <c r="J61" i="72"/>
  <c r="J141" i="72"/>
  <c r="I141" i="72"/>
  <c r="C142" i="72"/>
  <c r="F23" i="80"/>
  <c r="D23" i="80"/>
  <c r="G89" i="72"/>
  <c r="H89" i="72"/>
  <c r="H90" i="72"/>
  <c r="G90" i="72"/>
  <c r="H82" i="72"/>
  <c r="G82" i="72"/>
  <c r="M135" i="79"/>
  <c r="D23" i="81"/>
  <c r="G142" i="71"/>
  <c r="J141" i="71" s="1"/>
  <c r="F22" i="83"/>
  <c r="I147" i="71"/>
  <c r="P51" i="71"/>
  <c r="H90" i="71"/>
  <c r="G90" i="71"/>
  <c r="H82" i="71"/>
  <c r="G82" i="71"/>
  <c r="H93" i="71"/>
  <c r="G93" i="71"/>
  <c r="D149" i="71"/>
  <c r="J61" i="71"/>
  <c r="H92" i="71"/>
  <c r="G92" i="71"/>
  <c r="C142" i="71"/>
  <c r="F72" i="71"/>
  <c r="D82" i="71"/>
  <c r="E82" i="71" s="1"/>
  <c r="G84" i="71"/>
  <c r="H84" i="71"/>
  <c r="H83" i="71"/>
  <c r="G83" i="71"/>
  <c r="D84" i="71"/>
  <c r="E84" i="71" s="1"/>
  <c r="F9" i="71"/>
  <c r="F5" i="71" s="1"/>
  <c r="J131" i="71" s="1"/>
  <c r="G89" i="71"/>
  <c r="H89" i="71"/>
  <c r="H22" i="81"/>
  <c r="Q134" i="79"/>
  <c r="M134" i="79"/>
  <c r="D22" i="81"/>
  <c r="H142" i="70"/>
  <c r="I147" i="70"/>
  <c r="H89" i="70"/>
  <c r="G89" i="70"/>
  <c r="S133" i="79"/>
  <c r="J21" i="81"/>
  <c r="H90" i="70"/>
  <c r="G90" i="70"/>
  <c r="H82" i="70"/>
  <c r="G82" i="70"/>
  <c r="G93" i="70"/>
  <c r="H93" i="70"/>
  <c r="G92" i="70"/>
  <c r="H92" i="70"/>
  <c r="F149" i="70"/>
  <c r="H84" i="70"/>
  <c r="G84" i="70"/>
  <c r="Q133" i="79"/>
  <c r="H21" i="81"/>
  <c r="G83" i="70"/>
  <c r="H83" i="70"/>
  <c r="J51" i="70"/>
  <c r="J61" i="70"/>
  <c r="D149" i="70"/>
  <c r="J141" i="70"/>
  <c r="C142" i="70"/>
  <c r="D22" i="83" l="1"/>
  <c r="I141" i="70"/>
  <c r="T17" i="72"/>
  <c r="J131" i="72"/>
  <c r="AD40" i="79"/>
  <c r="L135" i="72"/>
  <c r="N136" i="72" s="1"/>
  <c r="M136" i="72" s="1"/>
  <c r="I142" i="72"/>
  <c r="F23" i="81"/>
  <c r="O135" i="79"/>
  <c r="J21" i="76"/>
  <c r="H23" i="80"/>
  <c r="H23" i="83"/>
  <c r="D23" i="83"/>
  <c r="F23" i="83"/>
  <c r="F149" i="71"/>
  <c r="I141" i="71"/>
  <c r="J20" i="76"/>
  <c r="D22" i="80"/>
  <c r="S134" i="79"/>
  <c r="J22" i="81"/>
  <c r="D89" i="71"/>
  <c r="E89" i="71" s="1"/>
  <c r="H22" i="80"/>
  <c r="H22" i="83"/>
  <c r="O134" i="79"/>
  <c r="I142" i="71"/>
  <c r="F22" i="81"/>
  <c r="L135" i="71"/>
  <c r="J51" i="71"/>
  <c r="J49" i="71" s="1"/>
  <c r="T17" i="71"/>
  <c r="F22" i="80"/>
  <c r="I145" i="71"/>
  <c r="D82" i="70"/>
  <c r="E82" i="70" s="1"/>
  <c r="F72" i="70"/>
  <c r="M133" i="79"/>
  <c r="D21" i="81"/>
  <c r="I145" i="70"/>
  <c r="D21" i="80"/>
  <c r="F21" i="83"/>
  <c r="I142" i="70"/>
  <c r="O133" i="79"/>
  <c r="F21" i="81"/>
  <c r="D89" i="70"/>
  <c r="E89" i="70" s="1"/>
  <c r="F21" i="80"/>
  <c r="D21" i="83"/>
  <c r="F9" i="70"/>
  <c r="J49" i="70"/>
  <c r="H21" i="83"/>
  <c r="H21" i="80"/>
  <c r="D84" i="70"/>
  <c r="E84" i="70" s="1"/>
  <c r="N137" i="72" l="1"/>
  <c r="M137" i="72" s="1"/>
  <c r="AH21" i="76"/>
  <c r="AJ21" i="76"/>
  <c r="L131" i="72"/>
  <c r="P131" i="72"/>
  <c r="D93" i="72"/>
  <c r="E93" i="72" s="1"/>
  <c r="N140" i="72"/>
  <c r="M140" i="72" s="1"/>
  <c r="S135" i="72"/>
  <c r="N138" i="72"/>
  <c r="M138" i="72" s="1"/>
  <c r="N139" i="72"/>
  <c r="M139" i="72" s="1"/>
  <c r="D92" i="72"/>
  <c r="E92" i="72" s="1"/>
  <c r="S135" i="71"/>
  <c r="N136" i="71"/>
  <c r="M136" i="71" s="1"/>
  <c r="N137" i="71"/>
  <c r="M137" i="71" s="1"/>
  <c r="N138" i="71"/>
  <c r="M138" i="71" s="1"/>
  <c r="N140" i="71"/>
  <c r="M140" i="71" s="1"/>
  <c r="L131" i="71"/>
  <c r="P131" i="71"/>
  <c r="D93" i="71"/>
  <c r="E93" i="71" s="1"/>
  <c r="AH20" i="76"/>
  <c r="AJ20" i="76"/>
  <c r="N139" i="71"/>
  <c r="M139" i="71" s="1"/>
  <c r="F5" i="70"/>
  <c r="K125" i="72" l="1"/>
  <c r="M135" i="72"/>
  <c r="E128" i="72"/>
  <c r="F128" i="72" s="1"/>
  <c r="AK21" i="76"/>
  <c r="AK20" i="76"/>
  <c r="E128" i="71"/>
  <c r="F128" i="71" s="1"/>
  <c r="K125" i="71"/>
  <c r="D92" i="71"/>
  <c r="E92" i="71" s="1"/>
  <c r="M135" i="71"/>
  <c r="J19" i="76"/>
  <c r="J131" i="70"/>
  <c r="T17" i="70"/>
  <c r="D92" i="70"/>
  <c r="E92" i="70" s="1"/>
  <c r="L135" i="70"/>
  <c r="K125" i="70"/>
  <c r="D93" i="70" l="1"/>
  <c r="E93" i="70" s="1"/>
  <c r="N140" i="70"/>
  <c r="M140" i="70" s="1"/>
  <c r="S135" i="70"/>
  <c r="N136" i="70"/>
  <c r="M136" i="70" s="1"/>
  <c r="N137" i="70"/>
  <c r="M137" i="70" s="1"/>
  <c r="N138" i="70"/>
  <c r="M138" i="70" s="1"/>
  <c r="L131" i="70"/>
  <c r="P131" i="70"/>
  <c r="N139" i="70"/>
  <c r="M139" i="70" s="1"/>
  <c r="AH19" i="76"/>
  <c r="AJ19" i="76"/>
  <c r="E128" i="70" l="1"/>
  <c r="F128" i="70" s="1"/>
  <c r="AK19" i="76"/>
  <c r="M135" i="70"/>
  <c r="H142" i="73" l="1"/>
  <c r="F142" i="73"/>
  <c r="G142" i="73"/>
  <c r="D142" i="73"/>
  <c r="P51" i="73"/>
  <c r="G84" i="73" l="1"/>
  <c r="H84" i="73"/>
  <c r="D24" i="81"/>
  <c r="M136" i="79"/>
  <c r="J51" i="73"/>
  <c r="H83" i="73"/>
  <c r="G83" i="73"/>
  <c r="J24" i="81"/>
  <c r="S136" i="79"/>
  <c r="F149" i="73"/>
  <c r="Q136" i="79"/>
  <c r="H24" i="81"/>
  <c r="I147" i="73"/>
  <c r="D149" i="73"/>
  <c r="J61" i="73"/>
  <c r="F72" i="73"/>
  <c r="G89" i="73"/>
  <c r="H89" i="73"/>
  <c r="J141" i="73"/>
  <c r="I141" i="73"/>
  <c r="C142" i="73"/>
  <c r="I145" i="73" l="1"/>
  <c r="J49" i="73"/>
  <c r="I142" i="73"/>
  <c r="F24" i="81"/>
  <c r="O136" i="79"/>
  <c r="H82" i="73"/>
  <c r="G82" i="73"/>
  <c r="F24" i="83"/>
  <c r="H90" i="73"/>
  <c r="G90" i="73"/>
  <c r="D84" i="73"/>
  <c r="E84" i="73" s="1"/>
  <c r="D24" i="83"/>
  <c r="D82" i="73"/>
  <c r="E82" i="73" s="1"/>
  <c r="H93" i="73"/>
  <c r="G93" i="73"/>
  <c r="H24" i="80"/>
  <c r="F24" i="80"/>
  <c r="H24" i="83"/>
  <c r="G92" i="73"/>
  <c r="H92" i="73"/>
  <c r="F9" i="73"/>
  <c r="F5" i="73" s="1"/>
  <c r="D24" i="80"/>
  <c r="D89" i="73"/>
  <c r="E89" i="73" s="1"/>
  <c r="L135" i="73" l="1"/>
  <c r="D92" i="73"/>
  <c r="E92" i="73" s="1"/>
  <c r="T17" i="73"/>
  <c r="J22" i="76"/>
  <c r="J131" i="73"/>
  <c r="AJ22" i="76" l="1"/>
  <c r="AH22" i="76"/>
  <c r="D93" i="73"/>
  <c r="E93" i="73" s="1"/>
  <c r="P131" i="73"/>
  <c r="L131" i="73"/>
  <c r="N137" i="73"/>
  <c r="M137" i="73" s="1"/>
  <c r="S135" i="73"/>
  <c r="N138" i="73"/>
  <c r="M138" i="73" s="1"/>
  <c r="N136" i="73"/>
  <c r="M136" i="73" s="1"/>
  <c r="N140" i="73"/>
  <c r="M140" i="73" s="1"/>
  <c r="N139" i="73"/>
  <c r="M139" i="73" s="1"/>
  <c r="K125" i="73"/>
  <c r="M135" i="73" l="1"/>
  <c r="AK22" i="76"/>
  <c r="E128" i="73"/>
  <c r="F128" i="73" s="1"/>
  <c r="H142" i="74" l="1"/>
  <c r="F142" i="74"/>
  <c r="G142" i="74"/>
  <c r="D142" i="74"/>
  <c r="P51" i="74"/>
  <c r="D25" i="83" l="1"/>
  <c r="I145" i="74"/>
  <c r="J141" i="74"/>
  <c r="C142" i="74"/>
  <c r="I141" i="74"/>
  <c r="H89" i="74"/>
  <c r="G89" i="74"/>
  <c r="G90" i="74"/>
  <c r="H90" i="74"/>
  <c r="G82" i="74"/>
  <c r="H82" i="74"/>
  <c r="H93" i="74"/>
  <c r="G93" i="74"/>
  <c r="D25" i="81"/>
  <c r="M137" i="79"/>
  <c r="D82" i="74"/>
  <c r="E82" i="74" s="1"/>
  <c r="F72" i="74"/>
  <c r="J51" i="74"/>
  <c r="H92" i="74"/>
  <c r="G92" i="74"/>
  <c r="S137" i="79"/>
  <c r="J25" i="81"/>
  <c r="G84" i="74"/>
  <c r="H84" i="74"/>
  <c r="H83" i="74"/>
  <c r="G83" i="74"/>
  <c r="F149" i="74"/>
  <c r="H25" i="81"/>
  <c r="Q137" i="79"/>
  <c r="H25" i="80" l="1"/>
  <c r="F25" i="81"/>
  <c r="I142" i="74"/>
  <c r="O137" i="79"/>
  <c r="F25" i="83"/>
  <c r="I147" i="74"/>
  <c r="F25" i="80"/>
  <c r="F9" i="74"/>
  <c r="D84" i="74"/>
  <c r="E84" i="74" s="1"/>
  <c r="D89" i="74"/>
  <c r="E89" i="74" s="1"/>
  <c r="H25" i="83"/>
  <c r="J49" i="74"/>
  <c r="D149" i="74"/>
  <c r="J61" i="74"/>
  <c r="D25" i="80"/>
  <c r="L135" i="74" l="1"/>
  <c r="N139" i="74" s="1"/>
  <c r="M139" i="74" s="1"/>
  <c r="S135" i="74"/>
  <c r="N136" i="74"/>
  <c r="M136" i="74" s="1"/>
  <c r="F5" i="74"/>
  <c r="N138" i="74"/>
  <c r="M138" i="74" s="1"/>
  <c r="N140" i="74"/>
  <c r="M140" i="74" s="1"/>
  <c r="N137" i="74" l="1"/>
  <c r="M137" i="74" s="1"/>
  <c r="M135" i="74" s="1"/>
  <c r="J23" i="76"/>
  <c r="J131" i="74"/>
  <c r="T17" i="74"/>
  <c r="L131" i="74" l="1"/>
  <c r="P131" i="74"/>
  <c r="AH23" i="76"/>
  <c r="AJ23" i="76"/>
  <c r="D93" i="74"/>
  <c r="E93" i="74" s="1"/>
  <c r="D92" i="74"/>
  <c r="E92" i="74" s="1"/>
  <c r="K125" i="74"/>
  <c r="AK23" i="76" l="1"/>
  <c r="E128" i="74"/>
  <c r="F128" i="74" s="1"/>
  <c r="H142" i="43" l="1"/>
  <c r="F142" i="43"/>
  <c r="G142" i="43"/>
  <c r="D142" i="43"/>
  <c r="J141" i="43" l="1"/>
  <c r="I145" i="43"/>
  <c r="P51" i="43"/>
  <c r="I147" i="43"/>
  <c r="C142" i="43"/>
  <c r="I141" i="43"/>
  <c r="F149" i="43"/>
  <c r="Q138" i="79"/>
  <c r="H26" i="81"/>
  <c r="J61" i="43"/>
  <c r="D149" i="43"/>
  <c r="H89" i="43"/>
  <c r="G89" i="43"/>
  <c r="G90" i="43"/>
  <c r="H90" i="43"/>
  <c r="G82" i="43"/>
  <c r="H82" i="43"/>
  <c r="G93" i="43"/>
  <c r="H93" i="43"/>
  <c r="D26" i="81"/>
  <c r="M138" i="79"/>
  <c r="H92" i="43"/>
  <c r="G92" i="43"/>
  <c r="J26" i="81"/>
  <c r="S138" i="79"/>
  <c r="H84" i="43"/>
  <c r="G84" i="43"/>
  <c r="D82" i="43"/>
  <c r="E82" i="43" s="1"/>
  <c r="F72" i="43"/>
  <c r="H83" i="43"/>
  <c r="G83" i="43"/>
  <c r="H26" i="83" l="1"/>
  <c r="H26" i="80"/>
  <c r="J51" i="43"/>
  <c r="O138" i="79"/>
  <c r="F26" i="81"/>
  <c r="I142" i="43"/>
  <c r="D84" i="43"/>
  <c r="E84" i="43" s="1"/>
  <c r="D89" i="43"/>
  <c r="E89" i="43" s="1"/>
  <c r="F26" i="83"/>
  <c r="F26" i="80"/>
  <c r="D26" i="80"/>
  <c r="F9" i="43"/>
  <c r="D26" i="83"/>
  <c r="J49" i="43" l="1"/>
  <c r="F5" i="43"/>
  <c r="J24" i="76" l="1"/>
  <c r="J131" i="43"/>
  <c r="T17" i="43"/>
  <c r="L135" i="43"/>
  <c r="N136" i="43" s="1"/>
  <c r="M136" i="43" s="1"/>
  <c r="D93" i="43"/>
  <c r="E93" i="43" s="1"/>
  <c r="L131" i="43" l="1"/>
  <c r="P131" i="43"/>
  <c r="D92" i="43"/>
  <c r="E92" i="43" s="1"/>
  <c r="K125" i="43"/>
  <c r="N137" i="43"/>
  <c r="M137" i="43" s="1"/>
  <c r="S135" i="43"/>
  <c r="N138" i="43"/>
  <c r="M138" i="43" s="1"/>
  <c r="N139" i="43"/>
  <c r="M139" i="43" s="1"/>
  <c r="N140" i="43"/>
  <c r="M140" i="43" s="1"/>
  <c r="AH24" i="76"/>
  <c r="AJ24" i="76"/>
  <c r="M135" i="43" l="1"/>
  <c r="AK24" i="76"/>
  <c r="E128" i="43"/>
  <c r="F128" i="43" s="1"/>
  <c r="H142" i="44" l="1"/>
  <c r="F142" i="44"/>
  <c r="G142" i="44"/>
  <c r="D142" i="44"/>
  <c r="P51" i="44"/>
  <c r="J141" i="44" l="1"/>
  <c r="H84" i="44"/>
  <c r="G84" i="44"/>
  <c r="I145" i="44"/>
  <c r="J51" i="44"/>
  <c r="D27" i="81"/>
  <c r="M139" i="79"/>
  <c r="D27" i="83"/>
  <c r="S139" i="79"/>
  <c r="J27" i="81"/>
  <c r="F149" i="44"/>
  <c r="Q139" i="79"/>
  <c r="H27" i="81"/>
  <c r="H89" i="44"/>
  <c r="G89" i="44"/>
  <c r="H90" i="44"/>
  <c r="G90" i="44"/>
  <c r="D82" i="44"/>
  <c r="E82" i="44" s="1"/>
  <c r="F72" i="44"/>
  <c r="H82" i="44"/>
  <c r="G82" i="44"/>
  <c r="J61" i="44"/>
  <c r="D149" i="44"/>
  <c r="H27" i="80" l="1"/>
  <c r="H93" i="44"/>
  <c r="G93" i="44"/>
  <c r="F27" i="80"/>
  <c r="D89" i="44"/>
  <c r="E89" i="44" s="1"/>
  <c r="D84" i="44"/>
  <c r="E84" i="44" s="1"/>
  <c r="F9" i="44"/>
  <c r="F27" i="83"/>
  <c r="D27" i="80"/>
  <c r="H27" i="83"/>
  <c r="J49" i="44"/>
  <c r="I141" i="44"/>
  <c r="C142" i="44"/>
  <c r="I147" i="44"/>
  <c r="G92" i="44"/>
  <c r="H92" i="44"/>
  <c r="G83" i="44"/>
  <c r="H83" i="44"/>
  <c r="F27" i="81" l="1"/>
  <c r="O139" i="79"/>
  <c r="I142" i="44"/>
  <c r="F5" i="44"/>
  <c r="J131" i="44" s="1"/>
  <c r="D92" i="44" l="1"/>
  <c r="E92" i="44" s="1"/>
  <c r="J25" i="76"/>
  <c r="T17" i="44"/>
  <c r="L135" i="44"/>
  <c r="K125" i="44"/>
  <c r="AH25" i="76" l="1"/>
  <c r="AJ25" i="76"/>
  <c r="N137" i="44"/>
  <c r="M137" i="44" s="1"/>
  <c r="S135" i="44"/>
  <c r="N140" i="44"/>
  <c r="M140" i="44" s="1"/>
  <c r="N138" i="44"/>
  <c r="M138" i="44" s="1"/>
  <c r="N136" i="44"/>
  <c r="M136" i="44" s="1"/>
  <c r="L131" i="44"/>
  <c r="P131" i="44"/>
  <c r="N139" i="44"/>
  <c r="M139" i="44" s="1"/>
  <c r="D93" i="44"/>
  <c r="E93" i="44" s="1"/>
  <c r="AK25" i="76" l="1"/>
  <c r="E128" i="44"/>
  <c r="F128" i="44" s="1"/>
  <c r="M135" i="44"/>
  <c r="H142" i="45" l="1"/>
  <c r="F142" i="45"/>
  <c r="G142" i="45"/>
  <c r="D142" i="45"/>
  <c r="H142" i="46"/>
  <c r="G142" i="46"/>
  <c r="D142" i="46"/>
  <c r="H142" i="47"/>
  <c r="F142" i="47"/>
  <c r="G142" i="47"/>
  <c r="D142" i="47"/>
  <c r="P51" i="45"/>
  <c r="F30" i="83" l="1"/>
  <c r="H30" i="81"/>
  <c r="Q142" i="79"/>
  <c r="I147" i="47"/>
  <c r="F149" i="47"/>
  <c r="C142" i="47"/>
  <c r="I141" i="47"/>
  <c r="F72" i="47"/>
  <c r="D82" i="47"/>
  <c r="E82" i="47" s="1"/>
  <c r="H89" i="47"/>
  <c r="G89" i="47"/>
  <c r="G90" i="47"/>
  <c r="H90" i="47"/>
  <c r="F9" i="47"/>
  <c r="F5" i="47" s="1"/>
  <c r="D84" i="47"/>
  <c r="E84" i="47" s="1"/>
  <c r="G82" i="47"/>
  <c r="H82" i="47"/>
  <c r="M142" i="79"/>
  <c r="D30" i="81"/>
  <c r="H93" i="47"/>
  <c r="G93" i="47"/>
  <c r="J141" i="47"/>
  <c r="J30" i="81"/>
  <c r="S142" i="79"/>
  <c r="D83" i="47"/>
  <c r="E83" i="47" s="1"/>
  <c r="H92" i="47"/>
  <c r="G92" i="47"/>
  <c r="J51" i="47"/>
  <c r="J49" i="47" s="1"/>
  <c r="H83" i="47"/>
  <c r="G83" i="47"/>
  <c r="I145" i="47"/>
  <c r="J61" i="47"/>
  <c r="D149" i="47"/>
  <c r="G84" i="47"/>
  <c r="H84" i="47"/>
  <c r="D89" i="46"/>
  <c r="E89" i="46" s="1"/>
  <c r="P51" i="46"/>
  <c r="F142" i="46"/>
  <c r="J141" i="46" s="1"/>
  <c r="D29" i="80"/>
  <c r="I147" i="46"/>
  <c r="I145" i="46"/>
  <c r="J61" i="46"/>
  <c r="D149" i="46"/>
  <c r="D82" i="46"/>
  <c r="E82" i="46" s="1"/>
  <c r="F72" i="46"/>
  <c r="C142" i="46"/>
  <c r="D84" i="46"/>
  <c r="E84" i="46" s="1"/>
  <c r="F9" i="46"/>
  <c r="F5" i="46" s="1"/>
  <c r="G89" i="46"/>
  <c r="H89" i="46"/>
  <c r="D83" i="46"/>
  <c r="E83" i="46" s="1"/>
  <c r="H90" i="46"/>
  <c r="G90" i="46"/>
  <c r="G82" i="46"/>
  <c r="H82" i="46"/>
  <c r="G93" i="46"/>
  <c r="H93" i="46"/>
  <c r="G92" i="46"/>
  <c r="H92" i="46"/>
  <c r="M141" i="79"/>
  <c r="D29" i="81"/>
  <c r="G84" i="46"/>
  <c r="H84" i="46"/>
  <c r="J29" i="81"/>
  <c r="S141" i="79"/>
  <c r="H83" i="46"/>
  <c r="G83" i="46"/>
  <c r="J141" i="45"/>
  <c r="D89" i="45"/>
  <c r="E89" i="45" s="1"/>
  <c r="D28" i="81"/>
  <c r="M140" i="79"/>
  <c r="J28" i="81"/>
  <c r="S140" i="79"/>
  <c r="H89" i="45"/>
  <c r="G89" i="45"/>
  <c r="H90" i="45"/>
  <c r="G90" i="45"/>
  <c r="H82" i="45"/>
  <c r="G82" i="45"/>
  <c r="F149" i="45"/>
  <c r="G93" i="45"/>
  <c r="H93" i="45"/>
  <c r="Q140" i="79"/>
  <c r="H28" i="81"/>
  <c r="H92" i="45"/>
  <c r="G92" i="45"/>
  <c r="J51" i="45"/>
  <c r="H84" i="45"/>
  <c r="G84" i="45"/>
  <c r="I147" i="45"/>
  <c r="G83" i="45"/>
  <c r="H83" i="45"/>
  <c r="D82" i="45"/>
  <c r="E82" i="45" s="1"/>
  <c r="F72" i="45"/>
  <c r="D149" i="45"/>
  <c r="J61" i="45"/>
  <c r="D29" i="83" l="1"/>
  <c r="D30" i="80"/>
  <c r="D30" i="83"/>
  <c r="F29" i="83"/>
  <c r="I25" i="76"/>
  <c r="F49" i="44"/>
  <c r="D83" i="61"/>
  <c r="E83" i="61" s="1"/>
  <c r="F49" i="60"/>
  <c r="I9" i="76"/>
  <c r="D83" i="65"/>
  <c r="E83" i="65" s="1"/>
  <c r="F49" i="43"/>
  <c r="I24" i="76"/>
  <c r="F49" i="69"/>
  <c r="I18" i="76"/>
  <c r="D83" i="44"/>
  <c r="E83" i="44" s="1"/>
  <c r="D83" i="68"/>
  <c r="E83" i="68" s="1"/>
  <c r="D83" i="43"/>
  <c r="E83" i="43" s="1"/>
  <c r="D83" i="69"/>
  <c r="E83" i="69" s="1"/>
  <c r="F49" i="68"/>
  <c r="I17" i="76"/>
  <c r="I21" i="76"/>
  <c r="F49" i="72"/>
  <c r="D83" i="67"/>
  <c r="E83" i="67" s="1"/>
  <c r="D83" i="72"/>
  <c r="E83" i="72" s="1"/>
  <c r="I11" i="76"/>
  <c r="F49" i="62"/>
  <c r="I16" i="76"/>
  <c r="F49" i="67"/>
  <c r="D83" i="57"/>
  <c r="E83" i="57" s="1"/>
  <c r="D83" i="64"/>
  <c r="E83" i="64" s="1"/>
  <c r="I14" i="76"/>
  <c r="F49" i="65"/>
  <c r="D83" i="59"/>
  <c r="E83" i="59" s="1"/>
  <c r="I23" i="76"/>
  <c r="F49" i="74"/>
  <c r="D83" i="70"/>
  <c r="E83" i="70" s="1"/>
  <c r="I6" i="76"/>
  <c r="F49" i="57"/>
  <c r="I13" i="76"/>
  <c r="F49" i="64"/>
  <c r="D83" i="71"/>
  <c r="E83" i="71" s="1"/>
  <c r="F49" i="63"/>
  <c r="I12" i="76"/>
  <c r="I8" i="76"/>
  <c r="F49" i="59"/>
  <c r="D83" i="74"/>
  <c r="E83" i="74" s="1"/>
  <c r="I7" i="76"/>
  <c r="F49" i="58"/>
  <c r="I19" i="76"/>
  <c r="F49" i="70"/>
  <c r="I15" i="76"/>
  <c r="F49" i="66"/>
  <c r="D83" i="73"/>
  <c r="E83" i="73" s="1"/>
  <c r="D83" i="60"/>
  <c r="E83" i="60" s="1"/>
  <c r="D83" i="58"/>
  <c r="E83" i="58" s="1"/>
  <c r="D83" i="66"/>
  <c r="E83" i="66" s="1"/>
  <c r="F49" i="73"/>
  <c r="I22" i="76"/>
  <c r="D83" i="62"/>
  <c r="E83" i="62" s="1"/>
  <c r="D83" i="63"/>
  <c r="E83" i="63" s="1"/>
  <c r="F49" i="71"/>
  <c r="I20" i="76"/>
  <c r="I10" i="76"/>
  <c r="F49" i="61"/>
  <c r="F30" i="80"/>
  <c r="I28" i="76"/>
  <c r="F49" i="47"/>
  <c r="J28" i="76"/>
  <c r="J131" i="47"/>
  <c r="T17" i="47"/>
  <c r="O142" i="79"/>
  <c r="I142" i="47"/>
  <c r="F30" i="81"/>
  <c r="D89" i="47"/>
  <c r="E89" i="47" s="1"/>
  <c r="L135" i="47"/>
  <c r="N136" i="47" s="1"/>
  <c r="M136" i="47" s="1"/>
  <c r="H30" i="83"/>
  <c r="H30" i="80"/>
  <c r="I141" i="46"/>
  <c r="D93" i="46"/>
  <c r="E93" i="46" s="1"/>
  <c r="F149" i="46"/>
  <c r="F29" i="80"/>
  <c r="H29" i="81"/>
  <c r="Q141" i="79"/>
  <c r="J51" i="46"/>
  <c r="J49" i="46" s="1"/>
  <c r="T17" i="46"/>
  <c r="O141" i="79"/>
  <c r="F29" i="81"/>
  <c r="I142" i="46"/>
  <c r="H29" i="83"/>
  <c r="H29" i="80"/>
  <c r="I27" i="76"/>
  <c r="F49" i="46"/>
  <c r="J27" i="76"/>
  <c r="J131" i="46"/>
  <c r="I145" i="45"/>
  <c r="J49" i="45"/>
  <c r="C142" i="45"/>
  <c r="I141" i="45"/>
  <c r="F28" i="80"/>
  <c r="H12" i="45"/>
  <c r="F28" i="83"/>
  <c r="D84" i="45"/>
  <c r="E84" i="45" s="1"/>
  <c r="H28" i="80"/>
  <c r="H28" i="83"/>
  <c r="D28" i="80"/>
  <c r="D83" i="45"/>
  <c r="E83" i="45" s="1"/>
  <c r="D28" i="83"/>
  <c r="F49" i="45"/>
  <c r="I26" i="76"/>
  <c r="N137" i="47" l="1"/>
  <c r="M137" i="47" s="1"/>
  <c r="S135" i="47"/>
  <c r="N138" i="47"/>
  <c r="M138" i="47" s="1"/>
  <c r="L131" i="47"/>
  <c r="P131" i="47"/>
  <c r="N140" i="47"/>
  <c r="M140" i="47" s="1"/>
  <c r="AJ28" i="76"/>
  <c r="AH28" i="76"/>
  <c r="D93" i="47"/>
  <c r="E93" i="47" s="1"/>
  <c r="N139" i="47"/>
  <c r="M139" i="47" s="1"/>
  <c r="L131" i="46"/>
  <c r="P131" i="46"/>
  <c r="AH27" i="76"/>
  <c r="AJ27" i="76"/>
  <c r="F9" i="45"/>
  <c r="O140" i="79"/>
  <c r="F28" i="81"/>
  <c r="I142" i="45"/>
  <c r="H12" i="46"/>
  <c r="I12" i="45"/>
  <c r="L12" i="45"/>
  <c r="L135" i="45" l="1"/>
  <c r="S135" i="45" s="1"/>
  <c r="M135" i="47"/>
  <c r="E128" i="47"/>
  <c r="F128" i="47" s="1"/>
  <c r="AK28" i="76"/>
  <c r="D92" i="47"/>
  <c r="E92" i="47" s="1"/>
  <c r="K125" i="47"/>
  <c r="AK27" i="76"/>
  <c r="E128" i="46"/>
  <c r="F128" i="46" s="1"/>
  <c r="K125" i="46"/>
  <c r="D92" i="46"/>
  <c r="E92" i="46" s="1"/>
  <c r="L135" i="46"/>
  <c r="N138" i="45"/>
  <c r="M138" i="45" s="1"/>
  <c r="N136" i="45"/>
  <c r="M136" i="45" s="1"/>
  <c r="N137" i="45"/>
  <c r="M137" i="45" s="1"/>
  <c r="N140" i="45"/>
  <c r="M140" i="45" s="1"/>
  <c r="D93" i="45"/>
  <c r="E93" i="45" s="1"/>
  <c r="F5" i="45"/>
  <c r="I12" i="46"/>
  <c r="H12" i="47"/>
  <c r="L12" i="46"/>
  <c r="N139" i="45" l="1"/>
  <c r="M139" i="45" s="1"/>
  <c r="N136" i="46"/>
  <c r="M136" i="46" s="1"/>
  <c r="S135" i="46"/>
  <c r="N140" i="46"/>
  <c r="M140" i="46" s="1"/>
  <c r="N138" i="46"/>
  <c r="M138" i="46" s="1"/>
  <c r="N139" i="46"/>
  <c r="M139" i="46" s="1"/>
  <c r="N137" i="46"/>
  <c r="M137" i="46" s="1"/>
  <c r="M135" i="45"/>
  <c r="I12" i="47"/>
  <c r="H12" i="48"/>
  <c r="L12" i="47"/>
  <c r="D92" i="45"/>
  <c r="E92" i="45" s="1"/>
  <c r="K125" i="45"/>
  <c r="J26" i="76"/>
  <c r="J131" i="45"/>
  <c r="T17" i="45"/>
  <c r="M135" i="46" l="1"/>
  <c r="P131" i="45"/>
  <c r="L131" i="45"/>
  <c r="AH26" i="76"/>
  <c r="AJ26" i="76"/>
  <c r="H12" i="49"/>
  <c r="I12" i="48"/>
  <c r="L12" i="48"/>
  <c r="AK26" i="76" l="1"/>
  <c r="E128" i="45"/>
  <c r="F128" i="45" s="1"/>
  <c r="I12" i="49"/>
  <c r="H12" i="50"/>
  <c r="L12" i="49"/>
  <c r="I12" i="50" l="1"/>
  <c r="H12" i="52"/>
  <c r="L12" i="50"/>
  <c r="H12" i="78" l="1"/>
  <c r="I12" i="52"/>
  <c r="L12" i="52"/>
  <c r="I12" i="78" l="1"/>
  <c r="L12" i="78"/>
  <c r="H142" i="48" l="1"/>
  <c r="F142" i="48"/>
  <c r="G142" i="48"/>
  <c r="D142" i="48"/>
  <c r="C142" i="48" l="1"/>
  <c r="I141" i="48"/>
  <c r="F72" i="48"/>
  <c r="D82" i="48"/>
  <c r="E82" i="48" s="1"/>
  <c r="G89" i="48"/>
  <c r="H89" i="48"/>
  <c r="H90" i="48"/>
  <c r="G90" i="48"/>
  <c r="H82" i="48"/>
  <c r="G82" i="48"/>
  <c r="D31" i="81"/>
  <c r="M143" i="79"/>
  <c r="H93" i="48"/>
  <c r="G93" i="48"/>
  <c r="S143" i="79"/>
  <c r="J31" i="81"/>
  <c r="P51" i="48"/>
  <c r="J51" i="48" s="1"/>
  <c r="H92" i="48"/>
  <c r="G92" i="48"/>
  <c r="H84" i="48"/>
  <c r="G84" i="48"/>
  <c r="H83" i="48"/>
  <c r="G83" i="48"/>
  <c r="J141" i="48"/>
  <c r="H31" i="81"/>
  <c r="Q143" i="79"/>
  <c r="D31" i="80" l="1"/>
  <c r="D149" i="48"/>
  <c r="J61" i="48"/>
  <c r="J49" i="48"/>
  <c r="D83" i="48"/>
  <c r="E83" i="48" s="1"/>
  <c r="I147" i="48"/>
  <c r="F31" i="80"/>
  <c r="O143" i="79"/>
  <c r="F31" i="81"/>
  <c r="I142" i="48"/>
  <c r="F31" i="83"/>
  <c r="I145" i="48"/>
  <c r="D89" i="48"/>
  <c r="E89" i="48" s="1"/>
  <c r="D31" i="83"/>
  <c r="F149" i="48"/>
  <c r="F9" i="48"/>
  <c r="I29" i="76"/>
  <c r="F49" i="48"/>
  <c r="D84" i="48"/>
  <c r="E84" i="48" s="1"/>
  <c r="H31" i="83"/>
  <c r="H31" i="80"/>
  <c r="F5" i="48" l="1"/>
  <c r="J29" i="76" l="1"/>
  <c r="J131" i="48"/>
  <c r="T17" i="48"/>
  <c r="D92" i="48"/>
  <c r="E92" i="48" s="1"/>
  <c r="K125" i="48"/>
  <c r="L135" i="48"/>
  <c r="N138" i="48" s="1"/>
  <c r="M138" i="48" s="1"/>
  <c r="D93" i="48"/>
  <c r="E93" i="48" s="1"/>
  <c r="S135" i="48" l="1"/>
  <c r="N139" i="48"/>
  <c r="M139" i="48" s="1"/>
  <c r="N136" i="48"/>
  <c r="M136" i="48" s="1"/>
  <c r="N137" i="48"/>
  <c r="M137" i="48" s="1"/>
  <c r="AH29" i="76"/>
  <c r="AJ29" i="76"/>
  <c r="N140" i="48"/>
  <c r="M140" i="48" s="1"/>
  <c r="L131" i="48"/>
  <c r="P131" i="48"/>
  <c r="E128" i="48" l="1"/>
  <c r="F128" i="48" s="1"/>
  <c r="AK29" i="76"/>
  <c r="M135" i="48"/>
  <c r="H142" i="49" l="1"/>
  <c r="F72" i="49" l="1"/>
  <c r="P51" i="49"/>
  <c r="J51" i="49" s="1"/>
  <c r="G142" i="49"/>
  <c r="I145" i="49"/>
  <c r="F142" i="49"/>
  <c r="H93" i="49"/>
  <c r="G93" i="49"/>
  <c r="H92" i="49"/>
  <c r="G92" i="49"/>
  <c r="I147" i="49"/>
  <c r="D149" i="49"/>
  <c r="J61" i="49"/>
  <c r="C142" i="49"/>
  <c r="H89" i="49"/>
  <c r="G89" i="49"/>
  <c r="G90" i="49"/>
  <c r="H90" i="49"/>
  <c r="D32" i="81"/>
  <c r="M144" i="79"/>
  <c r="F9" i="49" l="1"/>
  <c r="J49" i="49"/>
  <c r="I141" i="49"/>
  <c r="D89" i="49"/>
  <c r="E89" i="49" s="1"/>
  <c r="H82" i="49"/>
  <c r="G82" i="49"/>
  <c r="D82" i="49"/>
  <c r="E82" i="49" s="1"/>
  <c r="F32" i="80"/>
  <c r="D84" i="49"/>
  <c r="E84" i="49" s="1"/>
  <c r="G84" i="49"/>
  <c r="H84" i="49"/>
  <c r="H32" i="81"/>
  <c r="Q144" i="79"/>
  <c r="J141" i="49"/>
  <c r="F149" i="49"/>
  <c r="H83" i="49"/>
  <c r="G83" i="49"/>
  <c r="F32" i="83"/>
  <c r="D32" i="83"/>
  <c r="O144" i="79"/>
  <c r="F32" i="81"/>
  <c r="I142" i="49"/>
  <c r="D32" i="80"/>
  <c r="H32" i="83"/>
  <c r="H32" i="80"/>
  <c r="J32" i="81"/>
  <c r="S144" i="79"/>
  <c r="D83" i="49"/>
  <c r="E83" i="49" s="1"/>
  <c r="I30" i="76"/>
  <c r="F49" i="49"/>
  <c r="F5" i="49" l="1"/>
  <c r="L135" i="49" l="1"/>
  <c r="J30" i="76"/>
  <c r="J131" i="49"/>
  <c r="T17" i="49"/>
  <c r="N139" i="49"/>
  <c r="M139" i="49" s="1"/>
  <c r="S135" i="49"/>
  <c r="N140" i="49"/>
  <c r="M140" i="49" s="1"/>
  <c r="N136" i="49"/>
  <c r="M136" i="49" s="1"/>
  <c r="N138" i="49"/>
  <c r="M138" i="49" s="1"/>
  <c r="D92" i="49"/>
  <c r="E92" i="49" s="1"/>
  <c r="K125" i="49"/>
  <c r="N137" i="49"/>
  <c r="M137" i="49" s="1"/>
  <c r="D93" i="49"/>
  <c r="E93" i="49" s="1"/>
  <c r="L131" i="49" l="1"/>
  <c r="P131" i="49"/>
  <c r="AJ30" i="76"/>
  <c r="AH30" i="76"/>
  <c r="M135" i="49"/>
  <c r="AK30" i="76" l="1"/>
  <c r="E128" i="49"/>
  <c r="F128" i="49" s="1"/>
  <c r="C149" i="60" l="1"/>
  <c r="F142" i="50"/>
  <c r="D142" i="50"/>
  <c r="J9" i="60"/>
  <c r="J9" i="64"/>
  <c r="J9" i="65"/>
  <c r="J9" i="69"/>
  <c r="J9" i="70"/>
  <c r="J9" i="73"/>
  <c r="J9" i="49"/>
  <c r="J9" i="57"/>
  <c r="O9" i="76"/>
  <c r="B147" i="60"/>
  <c r="J9" i="61"/>
  <c r="O10" i="76"/>
  <c r="B147" i="61"/>
  <c r="J9" i="62"/>
  <c r="O11" i="76"/>
  <c r="B147" i="62"/>
  <c r="J9" i="63"/>
  <c r="O14" i="76"/>
  <c r="B147" i="65"/>
  <c r="O13" i="76"/>
  <c r="B147" i="64"/>
  <c r="B147" i="63"/>
  <c r="O12" i="76"/>
  <c r="O15" i="76"/>
  <c r="J9" i="66"/>
  <c r="B147" i="66"/>
  <c r="J9" i="67"/>
  <c r="B147" i="67"/>
  <c r="O16" i="76"/>
  <c r="J9" i="68"/>
  <c r="O17" i="76"/>
  <c r="B147" i="68"/>
  <c r="O18" i="76"/>
  <c r="B147" i="69"/>
  <c r="J9" i="72"/>
  <c r="J9" i="71"/>
  <c r="O19" i="76"/>
  <c r="O21" i="76"/>
  <c r="B147" i="72"/>
  <c r="O20" i="76"/>
  <c r="B147" i="71"/>
  <c r="B147" i="70"/>
  <c r="B147" i="73"/>
  <c r="O22" i="76"/>
  <c r="J9" i="74"/>
  <c r="B147" i="74"/>
  <c r="O23" i="76"/>
  <c r="J9" i="43"/>
  <c r="J5" i="43" s="1"/>
  <c r="B147" i="43"/>
  <c r="O24" i="76"/>
  <c r="B147" i="44"/>
  <c r="O25" i="76"/>
  <c r="J9" i="47"/>
  <c r="J9" i="46"/>
  <c r="J9" i="45"/>
  <c r="O28" i="76"/>
  <c r="B147" i="47"/>
  <c r="O27" i="76"/>
  <c r="B147" i="46"/>
  <c r="B147" i="45"/>
  <c r="O26" i="76"/>
  <c r="J9" i="48"/>
  <c r="O29" i="76"/>
  <c r="B147" i="48"/>
  <c r="O30" i="76"/>
  <c r="B147" i="49"/>
  <c r="L144" i="60" l="1"/>
  <c r="N148" i="60" s="1"/>
  <c r="M148" i="60" s="1"/>
  <c r="L144" i="58"/>
  <c r="L144" i="65"/>
  <c r="N146" i="65" s="1"/>
  <c r="M146" i="65" s="1"/>
  <c r="N146" i="60"/>
  <c r="M146" i="60" s="1"/>
  <c r="L144" i="74"/>
  <c r="L144" i="67"/>
  <c r="N146" i="67" s="1"/>
  <c r="M146" i="67" s="1"/>
  <c r="D90" i="47"/>
  <c r="E90" i="47" s="1"/>
  <c r="B145" i="49"/>
  <c r="D90" i="69"/>
  <c r="E90" i="69" s="1"/>
  <c r="B145" i="45"/>
  <c r="J125" i="46"/>
  <c r="M18" i="76"/>
  <c r="B145" i="43"/>
  <c r="J9" i="44"/>
  <c r="R9" i="44" s="1"/>
  <c r="J5" i="64"/>
  <c r="R9" i="64"/>
  <c r="J5" i="73"/>
  <c r="R9" i="73"/>
  <c r="J5" i="65"/>
  <c r="R9" i="65"/>
  <c r="L20" i="76"/>
  <c r="B139" i="71"/>
  <c r="G140" i="71" s="1"/>
  <c r="C148" i="68"/>
  <c r="H148" i="68"/>
  <c r="D148" i="68"/>
  <c r="F148" i="68"/>
  <c r="G148" i="68"/>
  <c r="E148" i="68"/>
  <c r="H149" i="48"/>
  <c r="C149" i="67"/>
  <c r="H149" i="64"/>
  <c r="G148" i="69"/>
  <c r="E148" i="69"/>
  <c r="H148" i="69"/>
  <c r="D148" i="69"/>
  <c r="F148" i="69"/>
  <c r="C148" i="69"/>
  <c r="B145" i="64"/>
  <c r="M13" i="76"/>
  <c r="J125" i="62"/>
  <c r="D90" i="62"/>
  <c r="E90" i="62" s="1"/>
  <c r="B147" i="57"/>
  <c r="I139" i="74"/>
  <c r="C149" i="74"/>
  <c r="H149" i="71"/>
  <c r="I139" i="58"/>
  <c r="C149" i="58"/>
  <c r="B139" i="73"/>
  <c r="L22" i="76"/>
  <c r="J5" i="67"/>
  <c r="R9" i="67"/>
  <c r="G148" i="66"/>
  <c r="E148" i="66"/>
  <c r="F148" i="66"/>
  <c r="C148" i="66"/>
  <c r="H148" i="66"/>
  <c r="D148" i="66"/>
  <c r="I139" i="44"/>
  <c r="C149" i="44"/>
  <c r="G148" i="64"/>
  <c r="D148" i="64"/>
  <c r="E148" i="64"/>
  <c r="C148" i="64"/>
  <c r="H148" i="64"/>
  <c r="F148" i="64"/>
  <c r="L7" i="76"/>
  <c r="B139" i="58"/>
  <c r="C140" i="58" s="1"/>
  <c r="B145" i="67"/>
  <c r="M16" i="76"/>
  <c r="C149" i="49"/>
  <c r="I139" i="49"/>
  <c r="H149" i="62"/>
  <c r="B143" i="47"/>
  <c r="H144" i="47" s="1"/>
  <c r="U142" i="79" s="1"/>
  <c r="N28" i="76"/>
  <c r="M29" i="76"/>
  <c r="B145" i="48"/>
  <c r="J5" i="63"/>
  <c r="R9" i="63"/>
  <c r="N14" i="76"/>
  <c r="B143" i="65"/>
  <c r="H144" i="65" s="1"/>
  <c r="U128" i="79" s="1"/>
  <c r="B143" i="44"/>
  <c r="C144" i="44" s="1"/>
  <c r="N25" i="76"/>
  <c r="N10" i="76"/>
  <c r="B143" i="61"/>
  <c r="C149" i="47"/>
  <c r="I139" i="47"/>
  <c r="H149" i="44"/>
  <c r="I143" i="71"/>
  <c r="C149" i="63"/>
  <c r="I139" i="63"/>
  <c r="J5" i="72"/>
  <c r="R9" i="72"/>
  <c r="F148" i="62"/>
  <c r="G148" i="62"/>
  <c r="D148" i="62"/>
  <c r="E148" i="62"/>
  <c r="H148" i="62"/>
  <c r="C148" i="62"/>
  <c r="B139" i="45"/>
  <c r="G140" i="45" s="1"/>
  <c r="L26" i="76"/>
  <c r="B139" i="68"/>
  <c r="C140" i="68" s="1"/>
  <c r="L17" i="76"/>
  <c r="B143" i="48"/>
  <c r="H144" i="48" s="1"/>
  <c r="U143" i="79" s="1"/>
  <c r="N29" i="76"/>
  <c r="H149" i="46"/>
  <c r="I139" i="65"/>
  <c r="C149" i="65"/>
  <c r="J5" i="61"/>
  <c r="R9" i="61"/>
  <c r="B145" i="58"/>
  <c r="M7" i="76"/>
  <c r="B143" i="46"/>
  <c r="N27" i="76"/>
  <c r="I139" i="72"/>
  <c r="C149" i="72"/>
  <c r="H149" i="69"/>
  <c r="J5" i="47"/>
  <c r="R9" i="47"/>
  <c r="H148" i="73"/>
  <c r="E148" i="73"/>
  <c r="F148" i="73"/>
  <c r="D148" i="73"/>
  <c r="C148" i="73"/>
  <c r="G148" i="73"/>
  <c r="B139" i="63"/>
  <c r="C140" i="63" s="1"/>
  <c r="L12" i="76"/>
  <c r="B139" i="64"/>
  <c r="G140" i="64" s="1"/>
  <c r="L13" i="76"/>
  <c r="L21" i="76"/>
  <c r="B139" i="72"/>
  <c r="H140" i="72" s="1"/>
  <c r="N22" i="76"/>
  <c r="B143" i="73"/>
  <c r="C144" i="73" s="1"/>
  <c r="N15" i="76"/>
  <c r="B143" i="66"/>
  <c r="H144" i="66" s="1"/>
  <c r="U129" i="79" s="1"/>
  <c r="C149" i="70"/>
  <c r="H149" i="67"/>
  <c r="B139" i="43"/>
  <c r="H140" i="43" s="1"/>
  <c r="L24" i="76"/>
  <c r="J5" i="70"/>
  <c r="R9" i="70"/>
  <c r="R9" i="62"/>
  <c r="J5" i="62"/>
  <c r="H149" i="57"/>
  <c r="J125" i="49"/>
  <c r="D90" i="49"/>
  <c r="E90" i="49" s="1"/>
  <c r="R9" i="66"/>
  <c r="J5" i="66"/>
  <c r="F14" i="57"/>
  <c r="M12" i="76"/>
  <c r="B145" i="63"/>
  <c r="D90" i="63"/>
  <c r="E90" i="63" s="1"/>
  <c r="J125" i="63"/>
  <c r="G144" i="73"/>
  <c r="AA136" i="79" s="1"/>
  <c r="G149" i="57"/>
  <c r="F14" i="63"/>
  <c r="C148" i="46"/>
  <c r="H148" i="46"/>
  <c r="G148" i="46"/>
  <c r="F148" i="46"/>
  <c r="E148" i="46"/>
  <c r="D148" i="46"/>
  <c r="L23" i="76"/>
  <c r="B139" i="74"/>
  <c r="C140" i="74" s="1"/>
  <c r="B139" i="69"/>
  <c r="G140" i="69" s="1"/>
  <c r="L18" i="76"/>
  <c r="D90" i="68"/>
  <c r="E90" i="68" s="1"/>
  <c r="J125" i="68"/>
  <c r="B143" i="64"/>
  <c r="C144" i="64" s="1"/>
  <c r="N13" i="76"/>
  <c r="I139" i="45"/>
  <c r="C149" i="45"/>
  <c r="H149" i="74"/>
  <c r="I143" i="69"/>
  <c r="I139" i="67"/>
  <c r="I139" i="61"/>
  <c r="C149" i="61"/>
  <c r="H149" i="58"/>
  <c r="H140" i="58"/>
  <c r="R9" i="68"/>
  <c r="J5" i="68"/>
  <c r="B145" i="66"/>
  <c r="M15" i="76"/>
  <c r="J5" i="57"/>
  <c r="R9" i="57"/>
  <c r="B139" i="57"/>
  <c r="H140" i="57" s="1"/>
  <c r="L6" i="76"/>
  <c r="N23" i="76"/>
  <c r="B143" i="74"/>
  <c r="N21" i="76"/>
  <c r="B143" i="72"/>
  <c r="H144" i="72" s="1"/>
  <c r="U135" i="79" s="1"/>
  <c r="H149" i="49"/>
  <c r="G149" i="44"/>
  <c r="I139" i="68"/>
  <c r="C149" i="68"/>
  <c r="H149" i="65"/>
  <c r="G140" i="58"/>
  <c r="B139" i="48"/>
  <c r="G140" i="48" s="1"/>
  <c r="L29" i="76"/>
  <c r="G148" i="74"/>
  <c r="F148" i="74"/>
  <c r="D148" i="74"/>
  <c r="C148" i="74"/>
  <c r="H148" i="74"/>
  <c r="E148" i="74"/>
  <c r="L19" i="76"/>
  <c r="B139" i="70"/>
  <c r="C140" i="70" s="1"/>
  <c r="D90" i="71"/>
  <c r="E90" i="71" s="1"/>
  <c r="J125" i="71"/>
  <c r="R9" i="71"/>
  <c r="J5" i="71"/>
  <c r="R9" i="69"/>
  <c r="J5" i="69"/>
  <c r="J125" i="69"/>
  <c r="B139" i="61"/>
  <c r="C140" i="61" s="1"/>
  <c r="L10" i="76"/>
  <c r="B147" i="58"/>
  <c r="N7" i="76"/>
  <c r="B143" i="58"/>
  <c r="H144" i="58" s="1"/>
  <c r="U121" i="79" s="1"/>
  <c r="N11" i="76"/>
  <c r="B143" i="62"/>
  <c r="C149" i="43"/>
  <c r="I139" i="43"/>
  <c r="H149" i="72"/>
  <c r="C144" i="61"/>
  <c r="C149" i="59"/>
  <c r="G148" i="45"/>
  <c r="E148" i="45"/>
  <c r="D148" i="45"/>
  <c r="H148" i="45"/>
  <c r="C148" i="45"/>
  <c r="F148" i="45"/>
  <c r="B139" i="47"/>
  <c r="H140" i="47" s="1"/>
  <c r="L28" i="76"/>
  <c r="B139" i="44"/>
  <c r="C140" i="44" s="1"/>
  <c r="L25" i="76"/>
  <c r="J125" i="73"/>
  <c r="D90" i="73"/>
  <c r="E90" i="73" s="1"/>
  <c r="M21" i="76"/>
  <c r="B145" i="72"/>
  <c r="F14" i="67"/>
  <c r="D148" i="67"/>
  <c r="E148" i="67"/>
  <c r="H148" i="67"/>
  <c r="F148" i="67"/>
  <c r="C148" i="67"/>
  <c r="G148" i="67"/>
  <c r="D90" i="64"/>
  <c r="E90" i="64" s="1"/>
  <c r="J125" i="64"/>
  <c r="M11" i="76"/>
  <c r="B145" i="62"/>
  <c r="O7" i="76"/>
  <c r="B143" i="57"/>
  <c r="N6" i="76"/>
  <c r="N19" i="76"/>
  <c r="B143" i="70"/>
  <c r="H144" i="70" s="1"/>
  <c r="U133" i="79" s="1"/>
  <c r="N17" i="76"/>
  <c r="B143" i="68"/>
  <c r="C144" i="68" s="1"/>
  <c r="H149" i="47"/>
  <c r="G149" i="74"/>
  <c r="G140" i="72"/>
  <c r="C149" i="66"/>
  <c r="I139" i="66"/>
  <c r="H149" i="63"/>
  <c r="J5" i="45"/>
  <c r="R9" i="45"/>
  <c r="B145" i="70"/>
  <c r="M19" i="76"/>
  <c r="F14" i="70"/>
  <c r="B145" i="65"/>
  <c r="M14" i="76"/>
  <c r="D148" i="61"/>
  <c r="E148" i="61"/>
  <c r="F148" i="61"/>
  <c r="C148" i="61"/>
  <c r="H148" i="61"/>
  <c r="G148" i="61"/>
  <c r="D90" i="57"/>
  <c r="E90" i="57" s="1"/>
  <c r="J125" i="57"/>
  <c r="J9" i="58"/>
  <c r="B143" i="69"/>
  <c r="N18" i="76"/>
  <c r="G149" i="49"/>
  <c r="H149" i="70"/>
  <c r="G140" i="63"/>
  <c r="I139" i="57"/>
  <c r="C149" i="57"/>
  <c r="D90" i="48"/>
  <c r="E90" i="48" s="1"/>
  <c r="J125" i="48"/>
  <c r="D90" i="70"/>
  <c r="E90" i="70" s="1"/>
  <c r="J125" i="70"/>
  <c r="G148" i="63"/>
  <c r="C148" i="63"/>
  <c r="D148" i="63"/>
  <c r="H148" i="63"/>
  <c r="E148" i="63"/>
  <c r="F148" i="63"/>
  <c r="B143" i="67"/>
  <c r="N16" i="76"/>
  <c r="I139" i="48"/>
  <c r="C149" i="48"/>
  <c r="H149" i="45"/>
  <c r="I139" i="70"/>
  <c r="I143" i="66"/>
  <c r="I139" i="64"/>
  <c r="H149" i="61"/>
  <c r="L27" i="76"/>
  <c r="B139" i="46"/>
  <c r="C140" i="46" s="1"/>
  <c r="D148" i="44"/>
  <c r="E148" i="44"/>
  <c r="C148" i="44"/>
  <c r="F148" i="44"/>
  <c r="H148" i="44"/>
  <c r="G148" i="44"/>
  <c r="M23" i="76"/>
  <c r="B145" i="74"/>
  <c r="J5" i="74"/>
  <c r="R9" i="74"/>
  <c r="M22" i="76"/>
  <c r="B145" i="73"/>
  <c r="H148" i="72"/>
  <c r="G148" i="72"/>
  <c r="E148" i="72"/>
  <c r="D148" i="72"/>
  <c r="C148" i="72"/>
  <c r="F148" i="72"/>
  <c r="B143" i="45"/>
  <c r="C144" i="45" s="1"/>
  <c r="N26" i="76"/>
  <c r="I143" i="47"/>
  <c r="C149" i="73"/>
  <c r="I139" i="71"/>
  <c r="C149" i="71"/>
  <c r="H149" i="68"/>
  <c r="I143" i="63"/>
  <c r="G149" i="43"/>
  <c r="L30" i="76"/>
  <c r="B139" i="49"/>
  <c r="G140" i="49" s="1"/>
  <c r="G148" i="48"/>
  <c r="C148" i="48"/>
  <c r="D148" i="48"/>
  <c r="F148" i="48"/>
  <c r="E148" i="48"/>
  <c r="H148" i="48"/>
  <c r="G148" i="47"/>
  <c r="C148" i="47"/>
  <c r="H148" i="47"/>
  <c r="D148" i="47"/>
  <c r="F148" i="47"/>
  <c r="E148" i="47"/>
  <c r="M17" i="76"/>
  <c r="B145" i="68"/>
  <c r="L15" i="76"/>
  <c r="B139" i="66"/>
  <c r="C140" i="66" s="1"/>
  <c r="L11" i="76"/>
  <c r="B139" i="62"/>
  <c r="O6" i="76"/>
  <c r="F14" i="58"/>
  <c r="B143" i="49"/>
  <c r="H144" i="49" s="1"/>
  <c r="U144" i="79" s="1"/>
  <c r="N30" i="76"/>
  <c r="N12" i="76"/>
  <c r="B143" i="63"/>
  <c r="C144" i="63" s="1"/>
  <c r="C149" i="46"/>
  <c r="I139" i="46"/>
  <c r="H149" i="43"/>
  <c r="G149" i="70"/>
  <c r="C149" i="64"/>
  <c r="C149" i="62"/>
  <c r="I139" i="62"/>
  <c r="H144" i="61"/>
  <c r="U124" i="79" s="1"/>
  <c r="D90" i="67"/>
  <c r="E90" i="67" s="1"/>
  <c r="J125" i="67"/>
  <c r="I139" i="73"/>
  <c r="H149" i="73"/>
  <c r="J5" i="46"/>
  <c r="R9" i="46"/>
  <c r="D90" i="43"/>
  <c r="E90" i="43" s="1"/>
  <c r="J125" i="43"/>
  <c r="B139" i="67"/>
  <c r="L16" i="76"/>
  <c r="E148" i="65"/>
  <c r="C148" i="65"/>
  <c r="G148" i="65"/>
  <c r="D148" i="65"/>
  <c r="H148" i="65"/>
  <c r="F148" i="65"/>
  <c r="Q24" i="76"/>
  <c r="B143" i="43"/>
  <c r="N24" i="76"/>
  <c r="J5" i="49"/>
  <c r="R9" i="49"/>
  <c r="G148" i="49"/>
  <c r="D148" i="49"/>
  <c r="H148" i="49"/>
  <c r="F148" i="49"/>
  <c r="E148" i="49"/>
  <c r="C148" i="49"/>
  <c r="J125" i="74"/>
  <c r="D90" i="74"/>
  <c r="E90" i="74" s="1"/>
  <c r="R9" i="48"/>
  <c r="J5" i="48"/>
  <c r="E148" i="43"/>
  <c r="H148" i="43"/>
  <c r="C148" i="43"/>
  <c r="D148" i="43"/>
  <c r="F148" i="43"/>
  <c r="G148" i="43"/>
  <c r="H148" i="70"/>
  <c r="D148" i="70"/>
  <c r="E148" i="70"/>
  <c r="F148" i="70"/>
  <c r="C148" i="70"/>
  <c r="G148" i="70"/>
  <c r="F148" i="71"/>
  <c r="D148" i="71"/>
  <c r="E148" i="71"/>
  <c r="H148" i="71"/>
  <c r="C148" i="71"/>
  <c r="G148" i="71"/>
  <c r="F14" i="64"/>
  <c r="B139" i="65"/>
  <c r="H140" i="65" s="1"/>
  <c r="L14" i="76"/>
  <c r="M10" i="76"/>
  <c r="B145" i="61"/>
  <c r="M6" i="76"/>
  <c r="B145" i="57"/>
  <c r="N20" i="76"/>
  <c r="B143" i="71"/>
  <c r="H144" i="71" s="1"/>
  <c r="U134" i="79" s="1"/>
  <c r="I139" i="69"/>
  <c r="C149" i="69"/>
  <c r="H149" i="66"/>
  <c r="H140" i="66"/>
  <c r="I143" i="61"/>
  <c r="G149" i="60"/>
  <c r="J125" i="60"/>
  <c r="H149" i="60"/>
  <c r="I139" i="60"/>
  <c r="F14" i="60"/>
  <c r="E148" i="60"/>
  <c r="C148" i="60"/>
  <c r="F148" i="60"/>
  <c r="H148" i="60"/>
  <c r="D148" i="60"/>
  <c r="G148" i="60"/>
  <c r="N9" i="76"/>
  <c r="B143" i="60"/>
  <c r="R9" i="60"/>
  <c r="J5" i="60"/>
  <c r="B139" i="60"/>
  <c r="L9" i="76"/>
  <c r="G149" i="59"/>
  <c r="H149" i="59"/>
  <c r="I139" i="59"/>
  <c r="J9" i="59"/>
  <c r="O8" i="76"/>
  <c r="L8" i="76"/>
  <c r="B139" i="59"/>
  <c r="B147" i="59"/>
  <c r="B143" i="59"/>
  <c r="N8" i="76"/>
  <c r="I139" i="50"/>
  <c r="H142" i="50"/>
  <c r="G142" i="50"/>
  <c r="H90" i="50"/>
  <c r="G90" i="50"/>
  <c r="H82" i="50"/>
  <c r="G82" i="50"/>
  <c r="H93" i="50"/>
  <c r="G93" i="50"/>
  <c r="F149" i="50"/>
  <c r="H92" i="50"/>
  <c r="G92" i="50"/>
  <c r="Q145" i="79"/>
  <c r="H33" i="81"/>
  <c r="H84" i="50"/>
  <c r="G84" i="50"/>
  <c r="H83" i="50"/>
  <c r="G83" i="50"/>
  <c r="I147" i="50"/>
  <c r="D149" i="50"/>
  <c r="J61" i="50"/>
  <c r="C149" i="50"/>
  <c r="C142" i="50"/>
  <c r="F72" i="50"/>
  <c r="D82" i="50"/>
  <c r="E82" i="50" s="1"/>
  <c r="P51" i="50"/>
  <c r="J51" i="50" s="1"/>
  <c r="H140" i="63" l="1"/>
  <c r="C140" i="64"/>
  <c r="I143" i="57"/>
  <c r="P29" i="76"/>
  <c r="G144" i="67"/>
  <c r="AA130" i="79" s="1"/>
  <c r="C140" i="57"/>
  <c r="I145" i="50"/>
  <c r="D90" i="46"/>
  <c r="E90" i="46" s="1"/>
  <c r="C140" i="48"/>
  <c r="G144" i="68"/>
  <c r="AA131" i="79" s="1"/>
  <c r="C144" i="65"/>
  <c r="W128" i="79" s="1"/>
  <c r="J147" i="72"/>
  <c r="I143" i="70"/>
  <c r="I149" i="70" s="1"/>
  <c r="G140" i="74"/>
  <c r="J25" i="82" s="1"/>
  <c r="G144" i="64"/>
  <c r="AA127" i="79" s="1"/>
  <c r="G144" i="65"/>
  <c r="AA128" i="79" s="1"/>
  <c r="I143" i="73"/>
  <c r="I149" i="73" s="1"/>
  <c r="H140" i="70"/>
  <c r="D21" i="82" s="1"/>
  <c r="I148" i="66"/>
  <c r="P11" i="76"/>
  <c r="J147" i="65"/>
  <c r="H140" i="61"/>
  <c r="D12" i="82" s="1"/>
  <c r="I143" i="74"/>
  <c r="G140" i="61"/>
  <c r="C140" i="72"/>
  <c r="F23" i="82" s="1"/>
  <c r="G149" i="61"/>
  <c r="H140" i="45"/>
  <c r="D28" i="82" s="1"/>
  <c r="J147" i="68"/>
  <c r="I148" i="72"/>
  <c r="H140" i="68"/>
  <c r="D19" i="82" s="1"/>
  <c r="I143" i="44"/>
  <c r="I149" i="44" s="1"/>
  <c r="P23" i="76"/>
  <c r="I143" i="64"/>
  <c r="I149" i="64" s="1"/>
  <c r="G140" i="68"/>
  <c r="J19" i="82" s="1"/>
  <c r="T14" i="63"/>
  <c r="G140" i="57"/>
  <c r="J147" i="67"/>
  <c r="P15" i="76"/>
  <c r="H144" i="68"/>
  <c r="U131" i="79" s="1"/>
  <c r="H144" i="63"/>
  <c r="U126" i="79" s="1"/>
  <c r="H140" i="64"/>
  <c r="E127" i="79" s="1"/>
  <c r="N146" i="74"/>
  <c r="M146" i="74" s="1"/>
  <c r="T14" i="64"/>
  <c r="L144" i="73"/>
  <c r="N146" i="73" s="1"/>
  <c r="M146" i="73" s="1"/>
  <c r="L144" i="68"/>
  <c r="N146" i="68" s="1"/>
  <c r="M146" i="68" s="1"/>
  <c r="N147" i="60"/>
  <c r="M147" i="60" s="1"/>
  <c r="N145" i="60"/>
  <c r="M145" i="60" s="1"/>
  <c r="L144" i="70"/>
  <c r="N146" i="70" s="1"/>
  <c r="M146" i="70" s="1"/>
  <c r="L144" i="71"/>
  <c r="N146" i="71" s="1"/>
  <c r="M146" i="71" s="1"/>
  <c r="N146" i="58"/>
  <c r="M146" i="58" s="1"/>
  <c r="N147" i="58"/>
  <c r="M147" i="58" s="1"/>
  <c r="N145" i="58"/>
  <c r="M145" i="58" s="1"/>
  <c r="N148" i="58"/>
  <c r="M148" i="58" s="1"/>
  <c r="N148" i="67"/>
  <c r="M148" i="67" s="1"/>
  <c r="N145" i="67"/>
  <c r="M145" i="67" s="1"/>
  <c r="N147" i="67"/>
  <c r="M147" i="67" s="1"/>
  <c r="N145" i="74"/>
  <c r="M145" i="74" s="1"/>
  <c r="N147" i="74"/>
  <c r="M147" i="74" s="1"/>
  <c r="N148" i="74"/>
  <c r="M148" i="74" s="1"/>
  <c r="N145" i="65"/>
  <c r="M145" i="65" s="1"/>
  <c r="N147" i="65"/>
  <c r="M147" i="65" s="1"/>
  <c r="N148" i="65"/>
  <c r="M148" i="65" s="1"/>
  <c r="L144" i="44"/>
  <c r="N146" i="44" s="1"/>
  <c r="M146" i="44" s="1"/>
  <c r="C140" i="45"/>
  <c r="F28" i="82" s="1"/>
  <c r="I143" i="49"/>
  <c r="J125" i="47"/>
  <c r="G144" i="44"/>
  <c r="AA139" i="79" s="1"/>
  <c r="C144" i="49"/>
  <c r="W144" i="79" s="1"/>
  <c r="J147" i="46"/>
  <c r="M30" i="76"/>
  <c r="P30" i="76" s="1"/>
  <c r="F14" i="49"/>
  <c r="T14" i="49" s="1"/>
  <c r="C140" i="71"/>
  <c r="F22" i="82" s="1"/>
  <c r="B145" i="69"/>
  <c r="D146" i="69" s="1"/>
  <c r="H144" i="45"/>
  <c r="U140" i="79" s="1"/>
  <c r="G144" i="45"/>
  <c r="AA140" i="79" s="1"/>
  <c r="J5" i="44"/>
  <c r="G144" i="43"/>
  <c r="AA138" i="79" s="1"/>
  <c r="T14" i="70"/>
  <c r="G144" i="49"/>
  <c r="AA144" i="79" s="1"/>
  <c r="G140" i="70"/>
  <c r="J21" i="82" s="1"/>
  <c r="M24" i="76"/>
  <c r="P24" i="76" s="1"/>
  <c r="I148" i="45"/>
  <c r="C144" i="47"/>
  <c r="W142" i="79" s="1"/>
  <c r="M26" i="76"/>
  <c r="P26" i="76" s="1"/>
  <c r="G144" i="47"/>
  <c r="AA142" i="79" s="1"/>
  <c r="C144" i="70"/>
  <c r="W133" i="79" s="1"/>
  <c r="C140" i="69"/>
  <c r="G132" i="79" s="1"/>
  <c r="F14" i="82"/>
  <c r="G126" i="79"/>
  <c r="E128" i="79"/>
  <c r="D16" i="82"/>
  <c r="W126" i="79"/>
  <c r="G133" i="79"/>
  <c r="F21" i="82"/>
  <c r="J20" i="82"/>
  <c r="K132" i="79"/>
  <c r="W131" i="79"/>
  <c r="F25" i="82"/>
  <c r="G137" i="79"/>
  <c r="G124" i="79"/>
  <c r="F12" i="82"/>
  <c r="E120" i="79"/>
  <c r="D8" i="82"/>
  <c r="J15" i="82"/>
  <c r="K127" i="79"/>
  <c r="J32" i="82"/>
  <c r="K144" i="79"/>
  <c r="F140" i="43"/>
  <c r="E140" i="43"/>
  <c r="D140" i="43"/>
  <c r="G149" i="48"/>
  <c r="G144" i="48"/>
  <c r="AA143" i="79" s="1"/>
  <c r="I148" i="68"/>
  <c r="J147" i="71"/>
  <c r="I143" i="67"/>
  <c r="I149" i="67" s="1"/>
  <c r="P16" i="76"/>
  <c r="I148" i="48"/>
  <c r="I149" i="66"/>
  <c r="C144" i="67"/>
  <c r="F144" i="67"/>
  <c r="Y130" i="79" s="1"/>
  <c r="D144" i="67"/>
  <c r="E144" i="67"/>
  <c r="B149" i="70"/>
  <c r="G150" i="70" s="1"/>
  <c r="H146" i="70"/>
  <c r="F146" i="70"/>
  <c r="C146" i="70"/>
  <c r="G146" i="70"/>
  <c r="E146" i="70"/>
  <c r="D146" i="70"/>
  <c r="H144" i="62"/>
  <c r="U125" i="79" s="1"/>
  <c r="E144" i="62"/>
  <c r="F144" i="62"/>
  <c r="Y125" i="79" s="1"/>
  <c r="D144" i="62"/>
  <c r="H144" i="64"/>
  <c r="U127" i="79" s="1"/>
  <c r="F144" i="64"/>
  <c r="Y127" i="79" s="1"/>
  <c r="E144" i="64"/>
  <c r="D144" i="64"/>
  <c r="B149" i="72"/>
  <c r="H150" i="72" s="1"/>
  <c r="E140" i="72"/>
  <c r="D140" i="72"/>
  <c r="F140" i="72"/>
  <c r="P17" i="76"/>
  <c r="G121" i="79"/>
  <c r="F9" i="82"/>
  <c r="J12" i="82"/>
  <c r="K124" i="79"/>
  <c r="D146" i="65"/>
  <c r="G146" i="65"/>
  <c r="E146" i="65"/>
  <c r="F146" i="65"/>
  <c r="C146" i="65"/>
  <c r="H146" i="65"/>
  <c r="W140" i="79"/>
  <c r="C144" i="74"/>
  <c r="D144" i="74"/>
  <c r="F144" i="74"/>
  <c r="Y137" i="79" s="1"/>
  <c r="E144" i="74"/>
  <c r="I148" i="71"/>
  <c r="D146" i="74"/>
  <c r="E146" i="74"/>
  <c r="C146" i="74"/>
  <c r="H146" i="74"/>
  <c r="G146" i="74"/>
  <c r="F146" i="74"/>
  <c r="D9" i="82"/>
  <c r="E121" i="79"/>
  <c r="I148" i="65"/>
  <c r="G127" i="79"/>
  <c r="F15" i="82"/>
  <c r="I148" i="74"/>
  <c r="G149" i="63"/>
  <c r="E146" i="67"/>
  <c r="D146" i="67"/>
  <c r="C146" i="67"/>
  <c r="F146" i="67"/>
  <c r="G146" i="67"/>
  <c r="H146" i="67"/>
  <c r="E129" i="79"/>
  <c r="D17" i="82"/>
  <c r="E140" i="67"/>
  <c r="B149" i="67"/>
  <c r="D140" i="67"/>
  <c r="F140" i="67"/>
  <c r="D140" i="66"/>
  <c r="F140" i="66"/>
  <c r="E140" i="66"/>
  <c r="B149" i="66"/>
  <c r="H150" i="66" s="1"/>
  <c r="F144" i="45"/>
  <c r="Y140" i="79" s="1"/>
  <c r="E144" i="45"/>
  <c r="D144" i="45"/>
  <c r="F14" i="74"/>
  <c r="T14" i="74" s="1"/>
  <c r="J23" i="82"/>
  <c r="K135" i="79"/>
  <c r="E146" i="62"/>
  <c r="H146" i="62"/>
  <c r="G146" i="62"/>
  <c r="F146" i="62"/>
  <c r="D146" i="62"/>
  <c r="C146" i="62"/>
  <c r="G140" i="65"/>
  <c r="I149" i="61"/>
  <c r="P21" i="76"/>
  <c r="E140" i="68"/>
  <c r="B149" i="68"/>
  <c r="H150" i="68" s="1"/>
  <c r="F140" i="68"/>
  <c r="D140" i="68"/>
  <c r="I149" i="63"/>
  <c r="D146" i="48"/>
  <c r="E146" i="48"/>
  <c r="H146" i="48"/>
  <c r="G146" i="48"/>
  <c r="F146" i="48"/>
  <c r="C146" i="48"/>
  <c r="C140" i="67"/>
  <c r="F140" i="71"/>
  <c r="D140" i="71"/>
  <c r="E140" i="71"/>
  <c r="D26" i="82"/>
  <c r="E138" i="79"/>
  <c r="H144" i="69"/>
  <c r="U132" i="79" s="1"/>
  <c r="F144" i="69"/>
  <c r="Y132" i="79" s="1"/>
  <c r="D144" i="69"/>
  <c r="E144" i="69"/>
  <c r="G144" i="46"/>
  <c r="AA141" i="79" s="1"/>
  <c r="K126" i="79"/>
  <c r="J14" i="82"/>
  <c r="F148" i="57"/>
  <c r="H148" i="57"/>
  <c r="D148" i="57"/>
  <c r="G148" i="57"/>
  <c r="C148" i="57"/>
  <c r="E148" i="57"/>
  <c r="G141" i="79"/>
  <c r="F29" i="82"/>
  <c r="E140" i="62"/>
  <c r="B149" i="62"/>
  <c r="F140" i="62"/>
  <c r="D140" i="62"/>
  <c r="J5" i="58"/>
  <c r="T14" i="58" s="1"/>
  <c r="R9" i="58"/>
  <c r="I143" i="68"/>
  <c r="I149" i="68" s="1"/>
  <c r="W124" i="79"/>
  <c r="C140" i="62"/>
  <c r="I143" i="48"/>
  <c r="E140" i="49"/>
  <c r="B149" i="49"/>
  <c r="G150" i="49" s="1"/>
  <c r="F140" i="49"/>
  <c r="D140" i="49"/>
  <c r="I148" i="44"/>
  <c r="E140" i="44"/>
  <c r="D140" i="44"/>
  <c r="F140" i="44"/>
  <c r="G149" i="65"/>
  <c r="G144" i="62"/>
  <c r="AA125" i="79" s="1"/>
  <c r="G140" i="62"/>
  <c r="G144" i="61"/>
  <c r="AA124" i="79" s="1"/>
  <c r="E144" i="61"/>
  <c r="F144" i="61"/>
  <c r="Y124" i="79" s="1"/>
  <c r="D144" i="61"/>
  <c r="G146" i="64"/>
  <c r="H146" i="64"/>
  <c r="C146" i="64"/>
  <c r="D146" i="64"/>
  <c r="F146" i="64"/>
  <c r="E146" i="64"/>
  <c r="F14" i="72"/>
  <c r="T14" i="72" s="1"/>
  <c r="G129" i="79"/>
  <c r="F17" i="82"/>
  <c r="C144" i="46"/>
  <c r="E144" i="46"/>
  <c r="D144" i="46"/>
  <c r="F144" i="46"/>
  <c r="Y141" i="79" s="1"/>
  <c r="J8" i="82"/>
  <c r="K120" i="79"/>
  <c r="G146" i="72"/>
  <c r="H146" i="72"/>
  <c r="F146" i="72"/>
  <c r="C146" i="72"/>
  <c r="E146" i="72"/>
  <c r="D146" i="72"/>
  <c r="F144" i="57"/>
  <c r="Y120" i="79" s="1"/>
  <c r="E144" i="57"/>
  <c r="D144" i="57"/>
  <c r="I149" i="47"/>
  <c r="D15" i="82"/>
  <c r="J147" i="48"/>
  <c r="B149" i="43"/>
  <c r="H150" i="43" s="1"/>
  <c r="D146" i="43"/>
  <c r="E146" i="43"/>
  <c r="G146" i="43"/>
  <c r="C146" i="43"/>
  <c r="H146" i="43"/>
  <c r="F146" i="43"/>
  <c r="J147" i="74"/>
  <c r="D146" i="58"/>
  <c r="E146" i="58"/>
  <c r="C146" i="58"/>
  <c r="H146" i="58"/>
  <c r="G146" i="58"/>
  <c r="F146" i="58"/>
  <c r="H144" i="57"/>
  <c r="U120" i="79" s="1"/>
  <c r="D90" i="58"/>
  <c r="E90" i="58" s="1"/>
  <c r="J125" i="58"/>
  <c r="F144" i="71"/>
  <c r="Y134" i="79" s="1"/>
  <c r="E144" i="71"/>
  <c r="D144" i="71"/>
  <c r="I148" i="70"/>
  <c r="F144" i="43"/>
  <c r="Y138" i="79" s="1"/>
  <c r="D144" i="43"/>
  <c r="E144" i="43"/>
  <c r="G144" i="74"/>
  <c r="AA137" i="79" s="1"/>
  <c r="C144" i="58"/>
  <c r="D144" i="58"/>
  <c r="E144" i="58"/>
  <c r="F144" i="58"/>
  <c r="Y121" i="79" s="1"/>
  <c r="F140" i="48"/>
  <c r="E140" i="48"/>
  <c r="D140" i="48"/>
  <c r="B149" i="48"/>
  <c r="C150" i="48" s="1"/>
  <c r="H140" i="49"/>
  <c r="D140" i="57"/>
  <c r="E140" i="57"/>
  <c r="F140" i="57"/>
  <c r="B149" i="57"/>
  <c r="H150" i="57" s="1"/>
  <c r="G140" i="67"/>
  <c r="I148" i="46"/>
  <c r="G144" i="57"/>
  <c r="AA120" i="79" s="1"/>
  <c r="I143" i="62"/>
  <c r="I149" i="62" s="1"/>
  <c r="P13" i="76"/>
  <c r="G149" i="62"/>
  <c r="D140" i="45"/>
  <c r="E140" i="45"/>
  <c r="F140" i="45"/>
  <c r="I143" i="65"/>
  <c r="I149" i="65" s="1"/>
  <c r="J147" i="66"/>
  <c r="I148" i="69"/>
  <c r="K143" i="79"/>
  <c r="J31" i="82"/>
  <c r="C144" i="62"/>
  <c r="H140" i="67"/>
  <c r="E140" i="64"/>
  <c r="B149" i="64"/>
  <c r="C150" i="64" s="1"/>
  <c r="F140" i="64"/>
  <c r="D140" i="64"/>
  <c r="H140" i="69"/>
  <c r="C140" i="65"/>
  <c r="G140" i="66"/>
  <c r="F144" i="47"/>
  <c r="Y142" i="79" s="1"/>
  <c r="E144" i="47"/>
  <c r="D144" i="47"/>
  <c r="F140" i="58"/>
  <c r="D140" i="58"/>
  <c r="B149" i="58"/>
  <c r="C150" i="58" s="1"/>
  <c r="E140" i="58"/>
  <c r="G149" i="64"/>
  <c r="C144" i="69"/>
  <c r="B149" i="73"/>
  <c r="C150" i="73" s="1"/>
  <c r="F140" i="73"/>
  <c r="D140" i="73"/>
  <c r="E140" i="73"/>
  <c r="J147" i="44"/>
  <c r="E142" i="79"/>
  <c r="D30" i="82"/>
  <c r="F140" i="47"/>
  <c r="E140" i="47"/>
  <c r="D140" i="47"/>
  <c r="G146" i="57"/>
  <c r="F146" i="57"/>
  <c r="E146" i="57"/>
  <c r="D146" i="57"/>
  <c r="C146" i="57"/>
  <c r="H146" i="57"/>
  <c r="W127" i="79"/>
  <c r="G144" i="63"/>
  <c r="AA126" i="79" s="1"/>
  <c r="E144" i="63"/>
  <c r="D144" i="63"/>
  <c r="F144" i="63"/>
  <c r="Y126" i="79" s="1"/>
  <c r="I149" i="71"/>
  <c r="E140" i="46"/>
  <c r="D140" i="46"/>
  <c r="F140" i="46"/>
  <c r="C140" i="73"/>
  <c r="D23" i="82"/>
  <c r="E135" i="79"/>
  <c r="H144" i="43"/>
  <c r="U138" i="79" s="1"/>
  <c r="P12" i="76"/>
  <c r="I143" i="46"/>
  <c r="I149" i="46" s="1"/>
  <c r="P7" i="76"/>
  <c r="G149" i="66"/>
  <c r="G144" i="66"/>
  <c r="AA129" i="79" s="1"/>
  <c r="J147" i="69"/>
  <c r="G140" i="73"/>
  <c r="F27" i="82"/>
  <c r="G139" i="79"/>
  <c r="E146" i="68"/>
  <c r="D146" i="68"/>
  <c r="F146" i="68"/>
  <c r="H146" i="68"/>
  <c r="G146" i="68"/>
  <c r="C146" i="68"/>
  <c r="G149" i="67"/>
  <c r="P6" i="76"/>
  <c r="J147" i="70"/>
  <c r="W136" i="79"/>
  <c r="C144" i="43"/>
  <c r="J9" i="82"/>
  <c r="K121" i="79"/>
  <c r="T14" i="57"/>
  <c r="G149" i="69"/>
  <c r="G144" i="69"/>
  <c r="AA132" i="79" s="1"/>
  <c r="D146" i="49"/>
  <c r="C146" i="49"/>
  <c r="H146" i="49"/>
  <c r="G146" i="49"/>
  <c r="F146" i="49"/>
  <c r="E146" i="49"/>
  <c r="E140" i="63"/>
  <c r="B149" i="63"/>
  <c r="C150" i="63" s="1"/>
  <c r="D140" i="63"/>
  <c r="F140" i="63"/>
  <c r="G135" i="79"/>
  <c r="I148" i="62"/>
  <c r="G144" i="71"/>
  <c r="AA134" i="79" s="1"/>
  <c r="H144" i="44"/>
  <c r="U139" i="79" s="1"/>
  <c r="F144" i="44"/>
  <c r="Y139" i="79" s="1"/>
  <c r="D144" i="44"/>
  <c r="E144" i="44"/>
  <c r="H140" i="62"/>
  <c r="G149" i="73"/>
  <c r="G150" i="57"/>
  <c r="G149" i="72"/>
  <c r="G144" i="72"/>
  <c r="AA135" i="79" s="1"/>
  <c r="I149" i="69"/>
  <c r="E146" i="61"/>
  <c r="D146" i="61"/>
  <c r="H146" i="61"/>
  <c r="F146" i="61"/>
  <c r="C146" i="61"/>
  <c r="G146" i="61"/>
  <c r="I148" i="49"/>
  <c r="J147" i="63"/>
  <c r="B149" i="45"/>
  <c r="C150" i="45" s="1"/>
  <c r="D146" i="45"/>
  <c r="E146" i="45"/>
  <c r="C146" i="45"/>
  <c r="H146" i="45"/>
  <c r="G146" i="45"/>
  <c r="F146" i="45"/>
  <c r="I143" i="43"/>
  <c r="I149" i="43" s="1"/>
  <c r="I148" i="61"/>
  <c r="G149" i="58"/>
  <c r="G144" i="58"/>
  <c r="AA121" i="79" s="1"/>
  <c r="F144" i="68"/>
  <c r="Y131" i="79" s="1"/>
  <c r="D144" i="68"/>
  <c r="E144" i="68"/>
  <c r="I148" i="67"/>
  <c r="H144" i="74"/>
  <c r="U137" i="79" s="1"/>
  <c r="F144" i="72"/>
  <c r="Y135" i="79" s="1"/>
  <c r="E144" i="72"/>
  <c r="D144" i="72"/>
  <c r="P18" i="76"/>
  <c r="H140" i="46"/>
  <c r="F144" i="65"/>
  <c r="Y128" i="79" s="1"/>
  <c r="E144" i="65"/>
  <c r="D144" i="65"/>
  <c r="H150" i="62"/>
  <c r="H140" i="71"/>
  <c r="H140" i="48"/>
  <c r="C144" i="71"/>
  <c r="F144" i="49"/>
  <c r="Y144" i="79" s="1"/>
  <c r="E144" i="49"/>
  <c r="D144" i="49"/>
  <c r="J147" i="47"/>
  <c r="I148" i="63"/>
  <c r="G140" i="47"/>
  <c r="J147" i="45"/>
  <c r="C140" i="43"/>
  <c r="E146" i="66"/>
  <c r="G146" i="66"/>
  <c r="C146" i="66"/>
  <c r="H146" i="66"/>
  <c r="F146" i="66"/>
  <c r="D146" i="66"/>
  <c r="H140" i="74"/>
  <c r="E140" i="69"/>
  <c r="F140" i="69"/>
  <c r="D140" i="69"/>
  <c r="I143" i="58"/>
  <c r="I149" i="58" s="1"/>
  <c r="C144" i="72"/>
  <c r="C144" i="66"/>
  <c r="D144" i="66"/>
  <c r="F144" i="66"/>
  <c r="Y129" i="79" s="1"/>
  <c r="E144" i="66"/>
  <c r="I148" i="73"/>
  <c r="H140" i="44"/>
  <c r="J22" i="82"/>
  <c r="K134" i="79"/>
  <c r="I148" i="64"/>
  <c r="G140" i="43"/>
  <c r="P14" i="76"/>
  <c r="G149" i="68"/>
  <c r="J28" i="82"/>
  <c r="K140" i="79"/>
  <c r="H146" i="73"/>
  <c r="D146" i="73"/>
  <c r="G146" i="73"/>
  <c r="F146" i="73"/>
  <c r="E146" i="73"/>
  <c r="C146" i="73"/>
  <c r="F31" i="82"/>
  <c r="G143" i="79"/>
  <c r="G149" i="47"/>
  <c r="D14" i="82"/>
  <c r="E126" i="79"/>
  <c r="F148" i="58"/>
  <c r="H148" i="58"/>
  <c r="D148" i="58"/>
  <c r="E148" i="58"/>
  <c r="G148" i="58"/>
  <c r="C148" i="58"/>
  <c r="H144" i="67"/>
  <c r="U130" i="79" s="1"/>
  <c r="D146" i="63"/>
  <c r="E146" i="63"/>
  <c r="F146" i="63"/>
  <c r="C146" i="63"/>
  <c r="H146" i="63"/>
  <c r="G146" i="63"/>
  <c r="I143" i="72"/>
  <c r="I149" i="72" s="1"/>
  <c r="J147" i="73"/>
  <c r="G140" i="46"/>
  <c r="J147" i="62"/>
  <c r="G149" i="71"/>
  <c r="W139" i="79"/>
  <c r="C150" i="62"/>
  <c r="B149" i="65"/>
  <c r="C150" i="65" s="1"/>
  <c r="E140" i="65"/>
  <c r="F140" i="65"/>
  <c r="D140" i="65"/>
  <c r="J147" i="43"/>
  <c r="H140" i="73"/>
  <c r="I148" i="47"/>
  <c r="C144" i="57"/>
  <c r="G149" i="45"/>
  <c r="J147" i="61"/>
  <c r="G144" i="70"/>
  <c r="AA133" i="79" s="1"/>
  <c r="F144" i="70"/>
  <c r="Y133" i="79" s="1"/>
  <c r="E144" i="70"/>
  <c r="D144" i="70"/>
  <c r="P10" i="76"/>
  <c r="E140" i="70"/>
  <c r="D140" i="70"/>
  <c r="F140" i="70"/>
  <c r="G131" i="79"/>
  <c r="F19" i="82"/>
  <c r="G140" i="44"/>
  <c r="H144" i="73"/>
  <c r="U136" i="79" s="1"/>
  <c r="F144" i="73"/>
  <c r="Y136" i="79" s="1"/>
  <c r="E144" i="73"/>
  <c r="D144" i="73"/>
  <c r="G149" i="46"/>
  <c r="H144" i="46"/>
  <c r="U141" i="79" s="1"/>
  <c r="C140" i="49"/>
  <c r="J147" i="64"/>
  <c r="T14" i="67"/>
  <c r="I148" i="43"/>
  <c r="J147" i="49"/>
  <c r="I149" i="57"/>
  <c r="I149" i="48"/>
  <c r="F8" i="82"/>
  <c r="G120" i="79"/>
  <c r="I143" i="45"/>
  <c r="I149" i="45" s="1"/>
  <c r="D140" i="61"/>
  <c r="E140" i="61"/>
  <c r="F140" i="61"/>
  <c r="B149" i="61"/>
  <c r="P19" i="76"/>
  <c r="F140" i="74"/>
  <c r="D140" i="74"/>
  <c r="E140" i="74"/>
  <c r="B149" i="74"/>
  <c r="G150" i="74" s="1"/>
  <c r="C144" i="48"/>
  <c r="F144" i="48"/>
  <c r="Y143" i="79" s="1"/>
  <c r="D144" i="48"/>
  <c r="E144" i="48"/>
  <c r="C140" i="47"/>
  <c r="I149" i="49"/>
  <c r="P22" i="76"/>
  <c r="I149" i="74"/>
  <c r="D90" i="60"/>
  <c r="E90" i="60" s="1"/>
  <c r="I143" i="60"/>
  <c r="I149" i="60" s="1"/>
  <c r="J147" i="60"/>
  <c r="T14" i="60"/>
  <c r="G144" i="60"/>
  <c r="AA123" i="79" s="1"/>
  <c r="H144" i="60"/>
  <c r="U123" i="79" s="1"/>
  <c r="E144" i="60"/>
  <c r="F144" i="60"/>
  <c r="Y123" i="79" s="1"/>
  <c r="D144" i="60"/>
  <c r="C144" i="60"/>
  <c r="I148" i="60"/>
  <c r="B145" i="60"/>
  <c r="B149" i="60" s="1"/>
  <c r="M9" i="76"/>
  <c r="P9" i="76" s="1"/>
  <c r="D140" i="60"/>
  <c r="G140" i="60"/>
  <c r="C140" i="60"/>
  <c r="F140" i="60"/>
  <c r="H140" i="60"/>
  <c r="E140" i="60"/>
  <c r="I143" i="59"/>
  <c r="I149" i="59" s="1"/>
  <c r="E140" i="59"/>
  <c r="H140" i="59"/>
  <c r="C140" i="59"/>
  <c r="D140" i="59"/>
  <c r="G140" i="59"/>
  <c r="F140" i="59"/>
  <c r="H144" i="59"/>
  <c r="U122" i="79" s="1"/>
  <c r="C144" i="59"/>
  <c r="E144" i="59"/>
  <c r="D144" i="59"/>
  <c r="F144" i="59"/>
  <c r="Y122" i="79" s="1"/>
  <c r="G144" i="59"/>
  <c r="AA122" i="79" s="1"/>
  <c r="J5" i="59"/>
  <c r="R9" i="59"/>
  <c r="H148" i="59"/>
  <c r="G148" i="59"/>
  <c r="E148" i="59"/>
  <c r="F148" i="59"/>
  <c r="C148" i="59"/>
  <c r="D148" i="59"/>
  <c r="D90" i="50"/>
  <c r="E90" i="50" s="1"/>
  <c r="J49" i="50"/>
  <c r="G149" i="50"/>
  <c r="J33" i="81"/>
  <c r="S145" i="79"/>
  <c r="D33" i="80"/>
  <c r="H33" i="83"/>
  <c r="H33" i="80"/>
  <c r="G89" i="50"/>
  <c r="H89" i="50"/>
  <c r="D84" i="50"/>
  <c r="E84" i="50" s="1"/>
  <c r="I141" i="50"/>
  <c r="B143" i="50"/>
  <c r="H144" i="50" s="1"/>
  <c r="U145" i="79" s="1"/>
  <c r="N31" i="76"/>
  <c r="D33" i="83"/>
  <c r="J141" i="50"/>
  <c r="F33" i="83"/>
  <c r="F9" i="50"/>
  <c r="H149" i="50"/>
  <c r="I143" i="50"/>
  <c r="J125" i="50"/>
  <c r="D89" i="50"/>
  <c r="E89" i="50" s="1"/>
  <c r="I142" i="50"/>
  <c r="F33" i="81"/>
  <c r="O145" i="79"/>
  <c r="F33" i="80"/>
  <c r="D83" i="50"/>
  <c r="E83" i="50" s="1"/>
  <c r="I31" i="76"/>
  <c r="F49" i="50"/>
  <c r="D33" i="81"/>
  <c r="M145" i="79"/>
  <c r="G140" i="79" l="1"/>
  <c r="J139" i="64"/>
  <c r="C150" i="66"/>
  <c r="G150" i="62"/>
  <c r="G150" i="72"/>
  <c r="E140" i="79"/>
  <c r="I144" i="61"/>
  <c r="J145" i="70"/>
  <c r="G150" i="61"/>
  <c r="J143" i="57"/>
  <c r="E131" i="79"/>
  <c r="C150" i="72"/>
  <c r="G150" i="68"/>
  <c r="J145" i="57"/>
  <c r="K137" i="79"/>
  <c r="J145" i="66"/>
  <c r="J143" i="72"/>
  <c r="E133" i="79"/>
  <c r="N145" i="68"/>
  <c r="M145" i="68" s="1"/>
  <c r="N147" i="68"/>
  <c r="M147" i="68" s="1"/>
  <c r="G146" i="69"/>
  <c r="C146" i="69"/>
  <c r="F146" i="69"/>
  <c r="J139" i="72"/>
  <c r="E124" i="79"/>
  <c r="J139" i="48"/>
  <c r="G134" i="79"/>
  <c r="J143" i="68"/>
  <c r="I140" i="72"/>
  <c r="H150" i="48"/>
  <c r="B149" i="69"/>
  <c r="H150" i="69" s="1"/>
  <c r="I146" i="73"/>
  <c r="G150" i="48"/>
  <c r="J139" i="58"/>
  <c r="C150" i="61"/>
  <c r="G150" i="63"/>
  <c r="J143" i="62"/>
  <c r="I148" i="58"/>
  <c r="I144" i="65"/>
  <c r="G150" i="66"/>
  <c r="H150" i="58"/>
  <c r="I144" i="73"/>
  <c r="H150" i="63"/>
  <c r="I144" i="64"/>
  <c r="J139" i="57"/>
  <c r="I140" i="61"/>
  <c r="J145" i="74"/>
  <c r="I140" i="58"/>
  <c r="I140" i="57"/>
  <c r="J139" i="68"/>
  <c r="J145" i="61"/>
  <c r="J143" i="66"/>
  <c r="N147" i="73"/>
  <c r="M147" i="73" s="1"/>
  <c r="I146" i="57"/>
  <c r="K133" i="79"/>
  <c r="N145" i="73"/>
  <c r="M145" i="73" s="1"/>
  <c r="N148" i="73"/>
  <c r="M148" i="73" s="1"/>
  <c r="J145" i="72"/>
  <c r="J145" i="64"/>
  <c r="I140" i="63"/>
  <c r="J145" i="67"/>
  <c r="K131" i="79"/>
  <c r="M144" i="60"/>
  <c r="I140" i="70"/>
  <c r="G150" i="58"/>
  <c r="N148" i="68"/>
  <c r="M148" i="68" s="1"/>
  <c r="M144" i="67"/>
  <c r="M144" i="65"/>
  <c r="L144" i="59"/>
  <c r="N147" i="59" s="1"/>
  <c r="M147" i="59" s="1"/>
  <c r="L144" i="43"/>
  <c r="N146" i="43" s="1"/>
  <c r="M146" i="43" s="1"/>
  <c r="L144" i="63"/>
  <c r="N146" i="63" s="1"/>
  <c r="M146" i="63" s="1"/>
  <c r="L144" i="62"/>
  <c r="N146" i="62" s="1"/>
  <c r="M146" i="62" s="1"/>
  <c r="M144" i="58"/>
  <c r="L144" i="69"/>
  <c r="N146" i="69" s="1"/>
  <c r="M146" i="69" s="1"/>
  <c r="L144" i="61"/>
  <c r="N146" i="61" s="1"/>
  <c r="M146" i="61" s="1"/>
  <c r="L144" i="49"/>
  <c r="L144" i="48"/>
  <c r="N146" i="48" s="1"/>
  <c r="M146" i="48" s="1"/>
  <c r="L144" i="64"/>
  <c r="N146" i="64" s="1"/>
  <c r="M146" i="64" s="1"/>
  <c r="N145" i="71"/>
  <c r="M145" i="71" s="1"/>
  <c r="N148" i="71"/>
  <c r="M148" i="71" s="1"/>
  <c r="N147" i="71"/>
  <c r="M147" i="71" s="1"/>
  <c r="N147" i="44"/>
  <c r="M147" i="44" s="1"/>
  <c r="N148" i="44"/>
  <c r="M148" i="44" s="1"/>
  <c r="N145" i="44"/>
  <c r="M145" i="44" s="1"/>
  <c r="L144" i="57"/>
  <c r="N146" i="57" s="1"/>
  <c r="M146" i="57" s="1"/>
  <c r="L144" i="72"/>
  <c r="N146" i="72" s="1"/>
  <c r="M146" i="72" s="1"/>
  <c r="L144" i="45"/>
  <c r="L144" i="66"/>
  <c r="N146" i="66" s="1"/>
  <c r="M146" i="66" s="1"/>
  <c r="L144" i="47"/>
  <c r="N146" i="47" s="1"/>
  <c r="M146" i="47" s="1"/>
  <c r="L144" i="46"/>
  <c r="N146" i="46" s="1"/>
  <c r="M146" i="46" s="1"/>
  <c r="M144" i="74"/>
  <c r="N147" i="70"/>
  <c r="M147" i="70" s="1"/>
  <c r="N145" i="70"/>
  <c r="M145" i="70" s="1"/>
  <c r="N148" i="70"/>
  <c r="M148" i="70" s="1"/>
  <c r="E146" i="69"/>
  <c r="I140" i="71"/>
  <c r="F20" i="82"/>
  <c r="M20" i="76"/>
  <c r="P20" i="76" s="1"/>
  <c r="B145" i="71"/>
  <c r="B145" i="44"/>
  <c r="M25" i="76"/>
  <c r="P25" i="76" s="1"/>
  <c r="H146" i="69"/>
  <c r="J143" i="47"/>
  <c r="J143" i="49"/>
  <c r="J143" i="45"/>
  <c r="H150" i="49"/>
  <c r="C150" i="49"/>
  <c r="J139" i="49"/>
  <c r="J139" i="45"/>
  <c r="J143" i="43"/>
  <c r="G150" i="43"/>
  <c r="C150" i="70"/>
  <c r="H150" i="70"/>
  <c r="B145" i="46"/>
  <c r="M27" i="76"/>
  <c r="P27" i="76" s="1"/>
  <c r="I144" i="70"/>
  <c r="I140" i="45"/>
  <c r="J139" i="69"/>
  <c r="I146" i="43"/>
  <c r="I140" i="44"/>
  <c r="G150" i="45"/>
  <c r="F150" i="65"/>
  <c r="E150" i="65"/>
  <c r="D150" i="65"/>
  <c r="G150" i="73"/>
  <c r="F14" i="71"/>
  <c r="T14" i="71" s="1"/>
  <c r="F16" i="82"/>
  <c r="I140" i="65"/>
  <c r="G128" i="79"/>
  <c r="J143" i="58"/>
  <c r="I131" i="79"/>
  <c r="H19" i="82"/>
  <c r="J139" i="67"/>
  <c r="F14" i="45"/>
  <c r="T14" i="45" s="1"/>
  <c r="J125" i="61"/>
  <c r="D90" i="61"/>
  <c r="E90" i="61" s="1"/>
  <c r="G136" i="79"/>
  <c r="I140" i="73"/>
  <c r="F24" i="82"/>
  <c r="G130" i="79"/>
  <c r="F18" i="82"/>
  <c r="I140" i="67"/>
  <c r="H20" i="82"/>
  <c r="I132" i="79"/>
  <c r="K129" i="79"/>
  <c r="J17" i="82"/>
  <c r="F14" i="73"/>
  <c r="T14" i="73" s="1"/>
  <c r="K125" i="79"/>
  <c r="J13" i="82"/>
  <c r="W143" i="79"/>
  <c r="I144" i="48"/>
  <c r="D90" i="72"/>
  <c r="E90" i="72" s="1"/>
  <c r="J125" i="72"/>
  <c r="E150" i="73"/>
  <c r="D150" i="73"/>
  <c r="F150" i="73"/>
  <c r="W141" i="79"/>
  <c r="I144" i="46"/>
  <c r="J27" i="82"/>
  <c r="K139" i="79"/>
  <c r="I146" i="63"/>
  <c r="W121" i="79"/>
  <c r="I144" i="58"/>
  <c r="J145" i="43"/>
  <c r="E150" i="67"/>
  <c r="F150" i="67"/>
  <c r="D150" i="67"/>
  <c r="J139" i="46"/>
  <c r="J143" i="69"/>
  <c r="J139" i="74"/>
  <c r="D27" i="82"/>
  <c r="E139" i="79"/>
  <c r="J143" i="44"/>
  <c r="H15" i="82"/>
  <c r="I127" i="79"/>
  <c r="D90" i="66"/>
  <c r="E90" i="66" s="1"/>
  <c r="J125" i="66"/>
  <c r="I144" i="79"/>
  <c r="H32" i="82"/>
  <c r="J143" i="74"/>
  <c r="J139" i="43"/>
  <c r="I137" i="79"/>
  <c r="H25" i="82"/>
  <c r="I140" i="69"/>
  <c r="J145" i="63"/>
  <c r="I140" i="48"/>
  <c r="D31" i="82"/>
  <c r="E143" i="79"/>
  <c r="I146" i="49"/>
  <c r="J139" i="47"/>
  <c r="E150" i="64"/>
  <c r="D150" i="64"/>
  <c r="F150" i="64"/>
  <c r="K130" i="79"/>
  <c r="J18" i="82"/>
  <c r="D90" i="45"/>
  <c r="E90" i="45" s="1"/>
  <c r="J125" i="45"/>
  <c r="I140" i="66"/>
  <c r="E150" i="49"/>
  <c r="F150" i="49"/>
  <c r="D150" i="49"/>
  <c r="I140" i="64"/>
  <c r="W137" i="79"/>
  <c r="I144" i="74"/>
  <c r="F14" i="48"/>
  <c r="T14" i="48" s="1"/>
  <c r="H16" i="82"/>
  <c r="I128" i="79"/>
  <c r="F150" i="74"/>
  <c r="D150" i="74"/>
  <c r="E150" i="74"/>
  <c r="E125" i="79"/>
  <c r="D13" i="82"/>
  <c r="D20" i="82"/>
  <c r="E132" i="79"/>
  <c r="I140" i="68"/>
  <c r="H150" i="74"/>
  <c r="I146" i="66"/>
  <c r="D22" i="82"/>
  <c r="E134" i="79"/>
  <c r="I146" i="61"/>
  <c r="J145" i="49"/>
  <c r="F14" i="43"/>
  <c r="T14" i="43" s="1"/>
  <c r="H150" i="67"/>
  <c r="G150" i="64"/>
  <c r="I140" i="79"/>
  <c r="H28" i="82"/>
  <c r="E150" i="57"/>
  <c r="F150" i="57"/>
  <c r="D150" i="57"/>
  <c r="I146" i="58"/>
  <c r="I146" i="72"/>
  <c r="H23" i="82"/>
  <c r="I135" i="79"/>
  <c r="I138" i="79"/>
  <c r="H26" i="82"/>
  <c r="I144" i="71"/>
  <c r="W134" i="79"/>
  <c r="F14" i="46"/>
  <c r="T14" i="46" s="1"/>
  <c r="C150" i="68"/>
  <c r="C150" i="74"/>
  <c r="I144" i="44"/>
  <c r="J24" i="82"/>
  <c r="K136" i="79"/>
  <c r="D18" i="82"/>
  <c r="E130" i="79"/>
  <c r="I120" i="79"/>
  <c r="H8" i="82"/>
  <c r="H150" i="61"/>
  <c r="I144" i="45"/>
  <c r="I146" i="70"/>
  <c r="E150" i="43"/>
  <c r="D150" i="43"/>
  <c r="F150" i="43"/>
  <c r="J26" i="82"/>
  <c r="K138" i="79"/>
  <c r="J143" i="65"/>
  <c r="I146" i="45"/>
  <c r="G150" i="67"/>
  <c r="J143" i="63"/>
  <c r="H30" i="82"/>
  <c r="I142" i="79"/>
  <c r="E150" i="58"/>
  <c r="D150" i="58"/>
  <c r="F150" i="58"/>
  <c r="W125" i="79"/>
  <c r="I144" i="62"/>
  <c r="J145" i="58"/>
  <c r="F14" i="69"/>
  <c r="T14" i="69" s="1"/>
  <c r="J143" i="61"/>
  <c r="G150" i="65"/>
  <c r="G125" i="79"/>
  <c r="F13" i="82"/>
  <c r="I140" i="62"/>
  <c r="I148" i="57"/>
  <c r="C150" i="57"/>
  <c r="I144" i="63"/>
  <c r="I144" i="57"/>
  <c r="W120" i="79"/>
  <c r="F14" i="62"/>
  <c r="T14" i="62" s="1"/>
  <c r="H27" i="82"/>
  <c r="I139" i="79"/>
  <c r="J139" i="62"/>
  <c r="I146" i="48"/>
  <c r="K128" i="79"/>
  <c r="J16" i="82"/>
  <c r="I146" i="65"/>
  <c r="D150" i="72"/>
  <c r="E150" i="72"/>
  <c r="F150" i="72"/>
  <c r="D25" i="82"/>
  <c r="E137" i="79"/>
  <c r="I133" i="79"/>
  <c r="H21" i="82"/>
  <c r="H12" i="82"/>
  <c r="I124" i="79"/>
  <c r="G144" i="79"/>
  <c r="I140" i="49"/>
  <c r="F32" i="82"/>
  <c r="J139" i="70"/>
  <c r="W129" i="79"/>
  <c r="I144" i="66"/>
  <c r="G138" i="79"/>
  <c r="I140" i="43"/>
  <c r="F26" i="82"/>
  <c r="J145" i="45"/>
  <c r="I146" i="68"/>
  <c r="H9" i="82"/>
  <c r="I121" i="79"/>
  <c r="E144" i="79"/>
  <c r="D32" i="82"/>
  <c r="J139" i="44"/>
  <c r="H150" i="64"/>
  <c r="I125" i="79"/>
  <c r="H13" i="82"/>
  <c r="J147" i="57"/>
  <c r="I146" i="62"/>
  <c r="I146" i="74"/>
  <c r="E150" i="70"/>
  <c r="D150" i="70"/>
  <c r="F150" i="70"/>
  <c r="I144" i="72"/>
  <c r="W135" i="79"/>
  <c r="D29" i="82"/>
  <c r="E141" i="79"/>
  <c r="E150" i="45"/>
  <c r="D150" i="45"/>
  <c r="F150" i="45"/>
  <c r="D150" i="48"/>
  <c r="E150" i="48"/>
  <c r="F150" i="48"/>
  <c r="E150" i="62"/>
  <c r="D150" i="62"/>
  <c r="F150" i="62"/>
  <c r="J145" i="62"/>
  <c r="D150" i="66"/>
  <c r="E150" i="66"/>
  <c r="F150" i="66"/>
  <c r="I146" i="67"/>
  <c r="J143" i="64"/>
  <c r="I140" i="74"/>
  <c r="W132" i="79"/>
  <c r="I144" i="69"/>
  <c r="H150" i="65"/>
  <c r="I140" i="47"/>
  <c r="F30" i="82"/>
  <c r="G142" i="79"/>
  <c r="J139" i="61"/>
  <c r="H150" i="73"/>
  <c r="D24" i="82"/>
  <c r="E136" i="79"/>
  <c r="J147" i="58"/>
  <c r="I126" i="79"/>
  <c r="H14" i="82"/>
  <c r="J143" i="71"/>
  <c r="C150" i="67"/>
  <c r="I144" i="49"/>
  <c r="I144" i="47"/>
  <c r="F14" i="65"/>
  <c r="T14" i="65" s="1"/>
  <c r="C150" i="43"/>
  <c r="K141" i="79"/>
  <c r="J29" i="82"/>
  <c r="J145" i="73"/>
  <c r="K142" i="79"/>
  <c r="J30" i="82"/>
  <c r="H150" i="45"/>
  <c r="J139" i="63"/>
  <c r="J139" i="71"/>
  <c r="I129" i="79"/>
  <c r="H17" i="82"/>
  <c r="J145" i="65"/>
  <c r="J143" i="67"/>
  <c r="I144" i="68"/>
  <c r="H24" i="82"/>
  <c r="I136" i="79"/>
  <c r="W130" i="79"/>
  <c r="I144" i="67"/>
  <c r="D90" i="44"/>
  <c r="E90" i="44" s="1"/>
  <c r="J125" i="44"/>
  <c r="I146" i="64"/>
  <c r="I130" i="79"/>
  <c r="H18" i="82"/>
  <c r="H29" i="82"/>
  <c r="I141" i="79"/>
  <c r="D90" i="65"/>
  <c r="E90" i="65" s="1"/>
  <c r="J125" i="65"/>
  <c r="E150" i="68"/>
  <c r="D150" i="68"/>
  <c r="F150" i="68"/>
  <c r="E150" i="61"/>
  <c r="F150" i="61"/>
  <c r="D150" i="61"/>
  <c r="J143" i="60"/>
  <c r="J143" i="48"/>
  <c r="J143" i="73"/>
  <c r="J143" i="70"/>
  <c r="J139" i="65"/>
  <c r="D150" i="63"/>
  <c r="E150" i="63"/>
  <c r="F150" i="63"/>
  <c r="W138" i="79"/>
  <c r="I144" i="43"/>
  <c r="J145" i="68"/>
  <c r="J139" i="73"/>
  <c r="I143" i="79"/>
  <c r="H31" i="82"/>
  <c r="J143" i="46"/>
  <c r="I140" i="46"/>
  <c r="H22" i="82"/>
  <c r="I134" i="79"/>
  <c r="J145" i="48"/>
  <c r="J139" i="66"/>
  <c r="I140" i="60"/>
  <c r="G123" i="79"/>
  <c r="F11" i="82"/>
  <c r="J11" i="82"/>
  <c r="K123" i="79"/>
  <c r="E146" i="60"/>
  <c r="C146" i="60"/>
  <c r="G146" i="60"/>
  <c r="F146" i="60"/>
  <c r="D146" i="60"/>
  <c r="H146" i="60"/>
  <c r="I144" i="60"/>
  <c r="W123" i="79"/>
  <c r="E123" i="79"/>
  <c r="D11" i="82"/>
  <c r="H150" i="60"/>
  <c r="C150" i="60"/>
  <c r="G150" i="60"/>
  <c r="F150" i="60"/>
  <c r="D150" i="60"/>
  <c r="E150" i="60"/>
  <c r="J139" i="60"/>
  <c r="H11" i="82"/>
  <c r="I123" i="79"/>
  <c r="D90" i="59"/>
  <c r="E90" i="59" s="1"/>
  <c r="J125" i="59"/>
  <c r="H10" i="82"/>
  <c r="I122" i="79"/>
  <c r="J10" i="82"/>
  <c r="K122" i="79"/>
  <c r="F10" i="82"/>
  <c r="G122" i="79"/>
  <c r="I140" i="59"/>
  <c r="E122" i="79"/>
  <c r="D10" i="82"/>
  <c r="J139" i="59"/>
  <c r="J147" i="59"/>
  <c r="I148" i="59"/>
  <c r="J143" i="59"/>
  <c r="W122" i="79"/>
  <c r="I144" i="59"/>
  <c r="G144" i="50"/>
  <c r="AA145" i="79" s="1"/>
  <c r="I149" i="50"/>
  <c r="F5" i="50"/>
  <c r="E144" i="50"/>
  <c r="D144" i="50"/>
  <c r="C144" i="50"/>
  <c r="F144" i="50"/>
  <c r="Y145" i="79" s="1"/>
  <c r="L144" i="50"/>
  <c r="O31" i="76"/>
  <c r="J9" i="50"/>
  <c r="J145" i="69" l="1"/>
  <c r="M144" i="44"/>
  <c r="M144" i="68"/>
  <c r="G150" i="69"/>
  <c r="E150" i="69"/>
  <c r="F150" i="69"/>
  <c r="D150" i="69"/>
  <c r="M144" i="73"/>
  <c r="I146" i="69"/>
  <c r="I150" i="48"/>
  <c r="I150" i="72"/>
  <c r="I150" i="61"/>
  <c r="C150" i="69"/>
  <c r="I150" i="69" s="1"/>
  <c r="I150" i="65"/>
  <c r="I150" i="66"/>
  <c r="I150" i="58"/>
  <c r="I150" i="64"/>
  <c r="I150" i="62"/>
  <c r="I150" i="73"/>
  <c r="I150" i="67"/>
  <c r="I150" i="63"/>
  <c r="N146" i="59"/>
  <c r="M146" i="59" s="1"/>
  <c r="N145" i="59"/>
  <c r="M145" i="59" s="1"/>
  <c r="N148" i="59"/>
  <c r="M148" i="59" s="1"/>
  <c r="N145" i="57"/>
  <c r="M145" i="57" s="1"/>
  <c r="N148" i="57"/>
  <c r="M148" i="57" s="1"/>
  <c r="N147" i="57"/>
  <c r="M147" i="57" s="1"/>
  <c r="N148" i="49"/>
  <c r="M148" i="49" s="1"/>
  <c r="N147" i="49"/>
  <c r="M147" i="49" s="1"/>
  <c r="N145" i="49"/>
  <c r="M145" i="49" s="1"/>
  <c r="N145" i="45"/>
  <c r="M145" i="45" s="1"/>
  <c r="N148" i="45"/>
  <c r="M148" i="45" s="1"/>
  <c r="N147" i="45"/>
  <c r="M147" i="45" s="1"/>
  <c r="N145" i="72"/>
  <c r="M145" i="72" s="1"/>
  <c r="N147" i="72"/>
  <c r="M147" i="72" s="1"/>
  <c r="N148" i="72"/>
  <c r="M148" i="72" s="1"/>
  <c r="N147" i="61"/>
  <c r="M147" i="61" s="1"/>
  <c r="N145" i="61"/>
  <c r="M145" i="61" s="1"/>
  <c r="N148" i="61"/>
  <c r="M148" i="61" s="1"/>
  <c r="N147" i="69"/>
  <c r="M147" i="69" s="1"/>
  <c r="N148" i="69"/>
  <c r="M148" i="69" s="1"/>
  <c r="N145" i="69"/>
  <c r="M145" i="69" s="1"/>
  <c r="N147" i="46"/>
  <c r="M147" i="46" s="1"/>
  <c r="N145" i="46"/>
  <c r="M145" i="46" s="1"/>
  <c r="N148" i="46"/>
  <c r="M148" i="46" s="1"/>
  <c r="N147" i="47"/>
  <c r="M147" i="47" s="1"/>
  <c r="N148" i="47"/>
  <c r="M148" i="47" s="1"/>
  <c r="N145" i="47"/>
  <c r="M145" i="47" s="1"/>
  <c r="M144" i="71"/>
  <c r="N147" i="62"/>
  <c r="M147" i="62" s="1"/>
  <c r="N145" i="62"/>
  <c r="M145" i="62" s="1"/>
  <c r="N148" i="62"/>
  <c r="M148" i="62" s="1"/>
  <c r="N145" i="64"/>
  <c r="M145" i="64" s="1"/>
  <c r="N147" i="64"/>
  <c r="M147" i="64" s="1"/>
  <c r="N148" i="64"/>
  <c r="M148" i="64" s="1"/>
  <c r="N148" i="66"/>
  <c r="M148" i="66" s="1"/>
  <c r="N147" i="66"/>
  <c r="M147" i="66" s="1"/>
  <c r="N145" i="66"/>
  <c r="M145" i="66" s="1"/>
  <c r="N147" i="63"/>
  <c r="M147" i="63" s="1"/>
  <c r="N148" i="63"/>
  <c r="M148" i="63" s="1"/>
  <c r="N145" i="63"/>
  <c r="M145" i="63" s="1"/>
  <c r="M144" i="63" s="1"/>
  <c r="M144" i="70"/>
  <c r="N145" i="48"/>
  <c r="M145" i="48" s="1"/>
  <c r="N147" i="48"/>
  <c r="M147" i="48" s="1"/>
  <c r="N148" i="48"/>
  <c r="M148" i="48" s="1"/>
  <c r="N146" i="45"/>
  <c r="M146" i="45" s="1"/>
  <c r="N146" i="49"/>
  <c r="M146" i="49" s="1"/>
  <c r="N148" i="43"/>
  <c r="M148" i="43" s="1"/>
  <c r="N145" i="43"/>
  <c r="M145" i="43" s="1"/>
  <c r="N147" i="43"/>
  <c r="M147" i="43" s="1"/>
  <c r="G146" i="44"/>
  <c r="F146" i="44"/>
  <c r="H146" i="44"/>
  <c r="C146" i="44"/>
  <c r="D146" i="44"/>
  <c r="B149" i="44"/>
  <c r="E146" i="44"/>
  <c r="F146" i="71"/>
  <c r="G146" i="71"/>
  <c r="D146" i="71"/>
  <c r="B149" i="71"/>
  <c r="H146" i="71"/>
  <c r="C146" i="71"/>
  <c r="E146" i="71"/>
  <c r="I150" i="43"/>
  <c r="I150" i="49"/>
  <c r="E146" i="46"/>
  <c r="C146" i="46"/>
  <c r="D146" i="46"/>
  <c r="G146" i="46"/>
  <c r="F146" i="46"/>
  <c r="H146" i="46"/>
  <c r="B149" i="46"/>
  <c r="I150" i="70"/>
  <c r="I150" i="45"/>
  <c r="F14" i="68"/>
  <c r="T14" i="68" s="1"/>
  <c r="I150" i="57"/>
  <c r="I150" i="74"/>
  <c r="J145" i="60"/>
  <c r="F14" i="44"/>
  <c r="T14" i="44" s="1"/>
  <c r="I150" i="68"/>
  <c r="F14" i="66"/>
  <c r="T14" i="66" s="1"/>
  <c r="I146" i="60"/>
  <c r="I150" i="60"/>
  <c r="J143" i="50"/>
  <c r="N148" i="50"/>
  <c r="M148" i="50" s="1"/>
  <c r="N147" i="50"/>
  <c r="M147" i="50" s="1"/>
  <c r="N145" i="50"/>
  <c r="M145" i="50" s="1"/>
  <c r="W145" i="79"/>
  <c r="I144" i="50"/>
  <c r="B147" i="50"/>
  <c r="N146" i="50"/>
  <c r="M146" i="50" s="1"/>
  <c r="J5" i="50"/>
  <c r="R9" i="50"/>
  <c r="M31" i="76"/>
  <c r="B145" i="50"/>
  <c r="J31" i="76"/>
  <c r="J131" i="50"/>
  <c r="T17" i="50"/>
  <c r="B139" i="50"/>
  <c r="L31" i="76"/>
  <c r="L135" i="50"/>
  <c r="N137" i="50" s="1"/>
  <c r="M137" i="50" s="1"/>
  <c r="N136" i="50"/>
  <c r="M136" i="50" s="1"/>
  <c r="M144" i="47" l="1"/>
  <c r="M144" i="66"/>
  <c r="N140" i="50"/>
  <c r="M140" i="50" s="1"/>
  <c r="M144" i="46"/>
  <c r="M144" i="64"/>
  <c r="M144" i="59"/>
  <c r="M144" i="62"/>
  <c r="M144" i="61"/>
  <c r="M144" i="72"/>
  <c r="M144" i="48"/>
  <c r="M144" i="45"/>
  <c r="M144" i="49"/>
  <c r="M144" i="69"/>
  <c r="M144" i="43"/>
  <c r="M144" i="57"/>
  <c r="H150" i="71"/>
  <c r="C150" i="71"/>
  <c r="E150" i="71"/>
  <c r="G150" i="71"/>
  <c r="F150" i="71"/>
  <c r="D150" i="71"/>
  <c r="J145" i="71"/>
  <c r="H150" i="44"/>
  <c r="D150" i="44"/>
  <c r="E150" i="44"/>
  <c r="C150" i="44"/>
  <c r="G150" i="44"/>
  <c r="F150" i="44"/>
  <c r="J145" i="44"/>
  <c r="I146" i="44"/>
  <c r="I146" i="71"/>
  <c r="B145" i="47"/>
  <c r="F14" i="47"/>
  <c r="T14" i="47" s="1"/>
  <c r="M28" i="76"/>
  <c r="P28" i="76" s="1"/>
  <c r="C150" i="46"/>
  <c r="D150" i="46"/>
  <c r="G150" i="46"/>
  <c r="H150" i="46"/>
  <c r="E150" i="46"/>
  <c r="F150" i="46"/>
  <c r="J145" i="46"/>
  <c r="I146" i="46"/>
  <c r="F14" i="61"/>
  <c r="T14" i="61" s="1"/>
  <c r="B145" i="59"/>
  <c r="M8" i="76"/>
  <c r="P8" i="76" s="1"/>
  <c r="F14" i="59"/>
  <c r="T14" i="59" s="1"/>
  <c r="F14" i="50"/>
  <c r="T14" i="50" s="1"/>
  <c r="P31" i="76"/>
  <c r="G146" i="50"/>
  <c r="D146" i="50"/>
  <c r="E146" i="50"/>
  <c r="C146" i="50"/>
  <c r="F146" i="50"/>
  <c r="H146" i="50"/>
  <c r="D93" i="50"/>
  <c r="E93" i="50" s="1"/>
  <c r="L131" i="50"/>
  <c r="P131" i="50"/>
  <c r="N139" i="50"/>
  <c r="M139" i="50" s="1"/>
  <c r="S135" i="50"/>
  <c r="N138" i="50"/>
  <c r="M138" i="50" s="1"/>
  <c r="AH31" i="76"/>
  <c r="AJ31" i="76"/>
  <c r="M144" i="50"/>
  <c r="E140" i="50"/>
  <c r="B149" i="50"/>
  <c r="C140" i="50"/>
  <c r="F140" i="50"/>
  <c r="G140" i="50"/>
  <c r="D140" i="50"/>
  <c r="H140" i="50"/>
  <c r="C148" i="50"/>
  <c r="E148" i="50"/>
  <c r="D148" i="50"/>
  <c r="H148" i="50"/>
  <c r="F148" i="50"/>
  <c r="G148" i="50"/>
  <c r="K125" i="50"/>
  <c r="D92" i="50"/>
  <c r="E92" i="50" s="1"/>
  <c r="M135" i="50" l="1"/>
  <c r="I150" i="44"/>
  <c r="I150" i="71"/>
  <c r="C146" i="47"/>
  <c r="E146" i="47"/>
  <c r="D146" i="47"/>
  <c r="B149" i="47"/>
  <c r="F146" i="47"/>
  <c r="H146" i="47"/>
  <c r="G146" i="47"/>
  <c r="I150" i="46"/>
  <c r="G146" i="59"/>
  <c r="F146" i="59"/>
  <c r="D146" i="59"/>
  <c r="H146" i="59"/>
  <c r="E146" i="59"/>
  <c r="C146" i="59"/>
  <c r="B149" i="59"/>
  <c r="J139" i="50"/>
  <c r="I146" i="50"/>
  <c r="AK31" i="76"/>
  <c r="E128" i="50"/>
  <c r="F128" i="50" s="1"/>
  <c r="J33" i="82"/>
  <c r="K145" i="79"/>
  <c r="H33" i="82"/>
  <c r="I145" i="79"/>
  <c r="J145" i="50"/>
  <c r="F33" i="82"/>
  <c r="I140" i="50"/>
  <c r="G145" i="79"/>
  <c r="D33" i="82"/>
  <c r="E145" i="79"/>
  <c r="E150" i="50"/>
  <c r="F150" i="50"/>
  <c r="C150" i="50"/>
  <c r="D150" i="50"/>
  <c r="H150" i="50"/>
  <c r="G150" i="50"/>
  <c r="J147" i="50"/>
  <c r="I148" i="50"/>
  <c r="H150" i="47" l="1"/>
  <c r="G150" i="47"/>
  <c r="E150" i="47"/>
  <c r="C150" i="47"/>
  <c r="F150" i="47"/>
  <c r="D150" i="47"/>
  <c r="J145" i="47"/>
  <c r="I146" i="47"/>
  <c r="I146" i="59"/>
  <c r="J145" i="59"/>
  <c r="F150" i="59"/>
  <c r="H150" i="59"/>
  <c r="C150" i="59"/>
  <c r="D150" i="59"/>
  <c r="G150" i="59"/>
  <c r="E150" i="59"/>
  <c r="I150" i="50"/>
  <c r="I150" i="47" l="1"/>
  <c r="I150" i="59"/>
  <c r="H142" i="52" l="1"/>
  <c r="G142" i="52"/>
  <c r="D142" i="52"/>
  <c r="F142" i="52" l="1"/>
  <c r="J141" i="52" s="1"/>
  <c r="C149" i="52"/>
  <c r="J61" i="52"/>
  <c r="D149" i="52"/>
  <c r="I139" i="52"/>
  <c r="I145" i="52"/>
  <c r="C142" i="52"/>
  <c r="G89" i="52"/>
  <c r="H89" i="52"/>
  <c r="H149" i="52"/>
  <c r="H90" i="52"/>
  <c r="G90" i="52"/>
  <c r="D34" i="81"/>
  <c r="M146" i="79"/>
  <c r="P51" i="52"/>
  <c r="J51" i="52" s="1"/>
  <c r="G82" i="52"/>
  <c r="H82" i="52"/>
  <c r="J34" i="81"/>
  <c r="S146" i="79"/>
  <c r="H93" i="52"/>
  <c r="G93" i="52"/>
  <c r="D82" i="52"/>
  <c r="E82" i="52" s="1"/>
  <c r="F72" i="52"/>
  <c r="G92" i="52"/>
  <c r="H92" i="52"/>
  <c r="G84" i="52"/>
  <c r="H84" i="52"/>
  <c r="N32" i="76"/>
  <c r="B143" i="52"/>
  <c r="H144" i="52" s="1"/>
  <c r="U146" i="79" s="1"/>
  <c r="G83" i="52"/>
  <c r="H83" i="52"/>
  <c r="G144" i="52" l="1"/>
  <c r="AA146" i="79" s="1"/>
  <c r="C144" i="52"/>
  <c r="W146" i="79" s="1"/>
  <c r="I32" i="76"/>
  <c r="F49" i="52"/>
  <c r="D83" i="52"/>
  <c r="E83" i="52" s="1"/>
  <c r="H34" i="80"/>
  <c r="H34" i="83"/>
  <c r="I143" i="52"/>
  <c r="F34" i="80"/>
  <c r="J49" i="52"/>
  <c r="D34" i="83"/>
  <c r="I147" i="52"/>
  <c r="F34" i="83"/>
  <c r="O146" i="79"/>
  <c r="F34" i="81"/>
  <c r="I142" i="52"/>
  <c r="I141" i="52"/>
  <c r="F149" i="52"/>
  <c r="Q146" i="79"/>
  <c r="H34" i="81"/>
  <c r="D144" i="52"/>
  <c r="E144" i="52"/>
  <c r="D89" i="52"/>
  <c r="E89" i="52" s="1"/>
  <c r="J125" i="52"/>
  <c r="D90" i="52"/>
  <c r="E90" i="52" s="1"/>
  <c r="F9" i="52"/>
  <c r="D84" i="52"/>
  <c r="E84" i="52" s="1"/>
  <c r="D34" i="80"/>
  <c r="G149" i="52"/>
  <c r="F144" i="52"/>
  <c r="Y146" i="79" s="1"/>
  <c r="I149" i="52" l="1"/>
  <c r="O32" i="76"/>
  <c r="J9" i="52"/>
  <c r="L144" i="52"/>
  <c r="N146" i="52" s="1"/>
  <c r="M146" i="52" s="1"/>
  <c r="J143" i="52"/>
  <c r="I144" i="52"/>
  <c r="F5" i="52"/>
  <c r="N148" i="52" l="1"/>
  <c r="M148" i="52" s="1"/>
  <c r="B145" i="52"/>
  <c r="M32" i="76"/>
  <c r="B147" i="52"/>
  <c r="B139" i="52"/>
  <c r="L32" i="76"/>
  <c r="N145" i="52"/>
  <c r="M145" i="52" s="1"/>
  <c r="N147" i="52"/>
  <c r="M147" i="52" s="1"/>
  <c r="F14" i="52"/>
  <c r="D93" i="52"/>
  <c r="E93" i="52" s="1"/>
  <c r="L135" i="52"/>
  <c r="N140" i="52" s="1"/>
  <c r="M140" i="52" s="1"/>
  <c r="R9" i="52"/>
  <c r="J5" i="52"/>
  <c r="J32" i="76"/>
  <c r="J131" i="52"/>
  <c r="T17" i="52"/>
  <c r="M144" i="52" l="1"/>
  <c r="AH32" i="76"/>
  <c r="AJ32" i="76"/>
  <c r="D148" i="52"/>
  <c r="E148" i="52"/>
  <c r="G148" i="52"/>
  <c r="H148" i="52"/>
  <c r="F148" i="52"/>
  <c r="C148" i="52"/>
  <c r="I148" i="52" s="1"/>
  <c r="P32" i="76"/>
  <c r="T14" i="52"/>
  <c r="D146" i="52"/>
  <c r="E146" i="52"/>
  <c r="F146" i="52"/>
  <c r="H146" i="52"/>
  <c r="G146" i="52"/>
  <c r="C146" i="52"/>
  <c r="P131" i="52"/>
  <c r="L131" i="52"/>
  <c r="K125" i="52"/>
  <c r="D92" i="52"/>
  <c r="E92" i="52" s="1"/>
  <c r="N136" i="52"/>
  <c r="M136" i="52" s="1"/>
  <c r="S135" i="52"/>
  <c r="N138" i="52"/>
  <c r="M138" i="52" s="1"/>
  <c r="N139" i="52"/>
  <c r="M139" i="52" s="1"/>
  <c r="N137" i="52"/>
  <c r="M137" i="52" s="1"/>
  <c r="E140" i="52"/>
  <c r="B149" i="52"/>
  <c r="G140" i="52"/>
  <c r="F140" i="52"/>
  <c r="D140" i="52"/>
  <c r="J139" i="52" s="1"/>
  <c r="H140" i="52"/>
  <c r="C140" i="52"/>
  <c r="M135" i="52" l="1"/>
  <c r="I146" i="52"/>
  <c r="I146" i="79"/>
  <c r="H34" i="82"/>
  <c r="J147" i="52"/>
  <c r="J34" i="82"/>
  <c r="K146" i="79"/>
  <c r="E150" i="52"/>
  <c r="D150" i="52"/>
  <c r="H150" i="52"/>
  <c r="C150" i="52"/>
  <c r="G150" i="52"/>
  <c r="F150" i="52"/>
  <c r="AK32" i="76"/>
  <c r="E128" i="52"/>
  <c r="F128" i="52" s="1"/>
  <c r="I140" i="52"/>
  <c r="F34" i="82"/>
  <c r="G146" i="79"/>
  <c r="J145" i="52"/>
  <c r="D34" i="82"/>
  <c r="E146" i="79"/>
  <c r="I150" i="52" l="1"/>
  <c r="F142" i="78"/>
  <c r="D142" i="78"/>
  <c r="J125" i="78" l="1"/>
  <c r="H142" i="78"/>
  <c r="G142" i="78"/>
  <c r="J141" i="78" s="1"/>
  <c r="H90" i="78"/>
  <c r="G90" i="78"/>
  <c r="G93" i="78"/>
  <c r="H93" i="78"/>
  <c r="H92" i="78"/>
  <c r="G92" i="78"/>
  <c r="G84" i="78"/>
  <c r="H84" i="78"/>
  <c r="G83" i="78"/>
  <c r="H83" i="78"/>
  <c r="F149" i="78"/>
  <c r="H35" i="81"/>
  <c r="Q147" i="79"/>
  <c r="F72" i="78"/>
  <c r="D82" i="78"/>
  <c r="E82" i="78" s="1"/>
  <c r="J61" i="78"/>
  <c r="D149" i="78"/>
  <c r="C149" i="78"/>
  <c r="C142" i="78"/>
  <c r="I147" i="78" l="1"/>
  <c r="I141" i="78"/>
  <c r="H89" i="78"/>
  <c r="G89" i="78"/>
  <c r="F35" i="80"/>
  <c r="D90" i="78"/>
  <c r="E90" i="78" s="1"/>
  <c r="D84" i="78"/>
  <c r="E84" i="78" s="1"/>
  <c r="H149" i="78"/>
  <c r="D89" i="78"/>
  <c r="E89" i="78" s="1"/>
  <c r="D35" i="81"/>
  <c r="M147" i="79"/>
  <c r="D35" i="83"/>
  <c r="I142" i="78"/>
  <c r="F35" i="81"/>
  <c r="O147" i="79"/>
  <c r="G149" i="78"/>
  <c r="P51" i="78"/>
  <c r="J51" i="78" s="1"/>
  <c r="I139" i="78"/>
  <c r="H35" i="80"/>
  <c r="H35" i="83"/>
  <c r="G82" i="78"/>
  <c r="H82" i="78"/>
  <c r="J35" i="81"/>
  <c r="S147" i="79"/>
  <c r="N33" i="76"/>
  <c r="B143" i="78"/>
  <c r="H144" i="78" s="1"/>
  <c r="U147" i="79" s="1"/>
  <c r="D35" i="80"/>
  <c r="D83" i="78"/>
  <c r="E83" i="78" s="1"/>
  <c r="F9" i="78"/>
  <c r="F35" i="83"/>
  <c r="I145" i="78"/>
  <c r="I143" i="78"/>
  <c r="I33" i="76"/>
  <c r="F49" i="78"/>
  <c r="L144" i="78" l="1"/>
  <c r="N147" i="78" s="1"/>
  <c r="M147" i="78" s="1"/>
  <c r="D144" i="78"/>
  <c r="E144" i="78"/>
  <c r="C144" i="78"/>
  <c r="F144" i="78"/>
  <c r="Y147" i="79" s="1"/>
  <c r="L135" i="78"/>
  <c r="N136" i="78" s="1"/>
  <c r="M136" i="78" s="1"/>
  <c r="G144" i="78"/>
  <c r="AA147" i="79" s="1"/>
  <c r="I149" i="78"/>
  <c r="J49" i="78"/>
  <c r="J9" i="78"/>
  <c r="F5" i="78"/>
  <c r="N148" i="78" l="1"/>
  <c r="M148" i="78" s="1"/>
  <c r="B147" i="78"/>
  <c r="J33" i="76"/>
  <c r="J131" i="78"/>
  <c r="T17" i="78"/>
  <c r="B145" i="78"/>
  <c r="M33" i="76"/>
  <c r="D92" i="78"/>
  <c r="E92" i="78" s="1"/>
  <c r="J5" i="78"/>
  <c r="R9" i="78"/>
  <c r="J143" i="78"/>
  <c r="L33" i="76"/>
  <c r="B139" i="78"/>
  <c r="K125" i="78"/>
  <c r="F14" i="78"/>
  <c r="N145" i="78"/>
  <c r="M145" i="78" s="1"/>
  <c r="N146" i="78"/>
  <c r="M146" i="78" s="1"/>
  <c r="N139" i="78"/>
  <c r="M139" i="78" s="1"/>
  <c r="S135" i="78"/>
  <c r="N138" i="78"/>
  <c r="M138" i="78" s="1"/>
  <c r="N140" i="78"/>
  <c r="M140" i="78" s="1"/>
  <c r="W147" i="79"/>
  <c r="I144" i="78"/>
  <c r="N137" i="78"/>
  <c r="M137" i="78" s="1"/>
  <c r="O33" i="76"/>
  <c r="M135" i="78" l="1"/>
  <c r="B149" i="78"/>
  <c r="E140" i="78"/>
  <c r="D140" i="78"/>
  <c r="C140" i="78"/>
  <c r="G140" i="78"/>
  <c r="F140" i="78"/>
  <c r="H140" i="78"/>
  <c r="M144" i="78"/>
  <c r="T14" i="78"/>
  <c r="D146" i="78"/>
  <c r="E146" i="78"/>
  <c r="C146" i="78"/>
  <c r="F146" i="78"/>
  <c r="H146" i="78"/>
  <c r="G146" i="78"/>
  <c r="L131" i="78"/>
  <c r="P131" i="78"/>
  <c r="AH33" i="76"/>
  <c r="AJ33" i="76"/>
  <c r="D93" i="78"/>
  <c r="E93" i="78" s="1"/>
  <c r="P33" i="76"/>
  <c r="D148" i="78"/>
  <c r="E148" i="78"/>
  <c r="F148" i="78"/>
  <c r="C148" i="78"/>
  <c r="H148" i="78"/>
  <c r="G148" i="78"/>
  <c r="E147" i="79" l="1"/>
  <c r="D35" i="82"/>
  <c r="K147" i="79"/>
  <c r="J35" i="82"/>
  <c r="G147" i="79"/>
  <c r="I140" i="78"/>
  <c r="F35" i="82"/>
  <c r="E128" i="78"/>
  <c r="F128" i="78" s="1"/>
  <c r="AK33" i="76"/>
  <c r="J139" i="78"/>
  <c r="J147" i="78"/>
  <c r="I147" i="79"/>
  <c r="H35" i="82"/>
  <c r="J145" i="78"/>
  <c r="E150" i="78"/>
  <c r="C150" i="78"/>
  <c r="F150" i="78"/>
  <c r="D150" i="78"/>
  <c r="G150" i="78"/>
  <c r="H150" i="78"/>
  <c r="I148" i="78"/>
  <c r="I146" i="78"/>
  <c r="I150" i="78" l="1"/>
  <c r="H59" i="54" l="1"/>
  <c r="H62" i="54" l="1"/>
  <c r="Q3" i="76" l="1"/>
  <c r="H55" i="54"/>
  <c r="I55" i="54" l="1"/>
  <c r="S3" i="76" l="1"/>
  <c r="H58" i="54"/>
  <c r="R3" i="76"/>
  <c r="H54" i="54"/>
  <c r="I54" i="54" s="1"/>
  <c r="I58" i="54" l="1"/>
  <c r="H59" i="55"/>
  <c r="H62" i="55"/>
  <c r="S4" i="76"/>
  <c r="R4" i="76" l="1"/>
  <c r="H54" i="55"/>
  <c r="I54" i="55" s="1"/>
  <c r="Q4" i="76"/>
  <c r="H55" i="55"/>
  <c r="I55" i="55" s="1"/>
  <c r="H58" i="55"/>
  <c r="I58" i="55" s="1"/>
  <c r="H59" i="56"/>
  <c r="H62" i="56"/>
  <c r="R5" i="76" l="1"/>
  <c r="H54" i="56"/>
  <c r="I54" i="56" s="1"/>
  <c r="Q5" i="76"/>
  <c r="H55" i="56"/>
  <c r="I55" i="56" s="1"/>
  <c r="S5" i="76"/>
  <c r="H58" i="56"/>
  <c r="I58" i="56" s="1"/>
  <c r="H59" i="57"/>
  <c r="H62" i="57"/>
  <c r="Q6" i="76" l="1"/>
  <c r="H55" i="57"/>
  <c r="I55" i="57" s="1"/>
  <c r="R6" i="76"/>
  <c r="H54" i="57"/>
  <c r="I54" i="57" s="1"/>
  <c r="S6" i="76"/>
  <c r="H58" i="57"/>
  <c r="I58" i="57" s="1"/>
  <c r="H59" i="58"/>
  <c r="H62" i="58"/>
  <c r="R7" i="76" l="1"/>
  <c r="H54" i="58"/>
  <c r="I54" i="58" s="1"/>
  <c r="S7" i="76"/>
  <c r="H58" i="58"/>
  <c r="I58" i="58" s="1"/>
  <c r="Q7" i="76"/>
  <c r="H55" i="58"/>
  <c r="I55" i="58" s="1"/>
  <c r="H63" i="58"/>
  <c r="H59" i="59"/>
  <c r="H62" i="59"/>
  <c r="R8" i="76" l="1"/>
  <c r="H54" i="59"/>
  <c r="I54" i="59" s="1"/>
  <c r="S8" i="76"/>
  <c r="H58" i="59"/>
  <c r="I58" i="59" s="1"/>
  <c r="Q8" i="76"/>
  <c r="H55" i="59"/>
  <c r="I55" i="59" s="1"/>
  <c r="X7" i="76"/>
  <c r="H69" i="58"/>
  <c r="X8" i="76"/>
  <c r="H63" i="59"/>
  <c r="H59" i="60"/>
  <c r="H62" i="60"/>
  <c r="H63" i="60" l="1"/>
  <c r="H63" i="61" s="1"/>
  <c r="Q9" i="76"/>
  <c r="H55" i="60"/>
  <c r="I55" i="60" s="1"/>
  <c r="H69" i="59"/>
  <c r="H69" i="60" s="1"/>
  <c r="H69" i="61" s="1"/>
  <c r="H69" i="62" s="1"/>
  <c r="H69" i="63" s="1"/>
  <c r="R9" i="76"/>
  <c r="H54" i="60"/>
  <c r="I54" i="60" s="1"/>
  <c r="S9" i="76"/>
  <c r="H58" i="60"/>
  <c r="I58" i="60" s="1"/>
  <c r="H59" i="61"/>
  <c r="H62" i="61" l="1"/>
  <c r="H60" i="61"/>
  <c r="L60" i="61" s="1"/>
  <c r="Q10" i="76"/>
  <c r="H55" i="61"/>
  <c r="I55" i="61" s="1"/>
  <c r="T9" i="76"/>
  <c r="H70" i="60"/>
  <c r="R10" i="76"/>
  <c r="H54" i="61"/>
  <c r="I54" i="61" s="1"/>
  <c r="S10" i="76"/>
  <c r="H58" i="61"/>
  <c r="I58" i="61" s="1"/>
  <c r="H59" i="62"/>
  <c r="H63" i="62"/>
  <c r="Q11" i="76" l="1"/>
  <c r="H55" i="62"/>
  <c r="I55" i="62" s="1"/>
  <c r="H70" i="61"/>
  <c r="L70" i="60"/>
  <c r="S11" i="76"/>
  <c r="H58" i="62"/>
  <c r="I58" i="62" s="1"/>
  <c r="H62" i="62"/>
  <c r="H60" i="62"/>
  <c r="R11" i="76"/>
  <c r="H54" i="62"/>
  <c r="I54" i="62" s="1"/>
  <c r="H59" i="63"/>
  <c r="H63" i="63"/>
  <c r="H62" i="63"/>
  <c r="Q12" i="76" l="1"/>
  <c r="H55" i="63"/>
  <c r="I55" i="63" s="1"/>
  <c r="H70" i="62"/>
  <c r="L70" i="61"/>
  <c r="H60" i="63"/>
  <c r="L60" i="63" s="1"/>
  <c r="L60" i="62"/>
  <c r="R12" i="76"/>
  <c r="H54" i="63"/>
  <c r="I54" i="63" s="1"/>
  <c r="S12" i="76"/>
  <c r="H58" i="63"/>
  <c r="I58" i="63" s="1"/>
  <c r="H59" i="64"/>
  <c r="H62" i="64" l="1"/>
  <c r="H60" i="64"/>
  <c r="L60" i="64" s="1"/>
  <c r="Q13" i="76"/>
  <c r="H55" i="64"/>
  <c r="I55" i="64" s="1"/>
  <c r="H63" i="64"/>
  <c r="H70" i="63"/>
  <c r="L70" i="62"/>
  <c r="S13" i="76"/>
  <c r="H58" i="64"/>
  <c r="I58" i="64" s="1"/>
  <c r="R13" i="76"/>
  <c r="H54" i="64"/>
  <c r="I54" i="64" s="1"/>
  <c r="H59" i="65"/>
  <c r="Q14" i="76" l="1"/>
  <c r="H55" i="65"/>
  <c r="I55" i="65" s="1"/>
  <c r="H63" i="65"/>
  <c r="X13" i="76"/>
  <c r="H69" i="64"/>
  <c r="H70" i="64"/>
  <c r="L70" i="63"/>
  <c r="S14" i="76"/>
  <c r="H58" i="65"/>
  <c r="I58" i="65" s="1"/>
  <c r="R14" i="76"/>
  <c r="H54" i="65"/>
  <c r="I54" i="65" s="1"/>
  <c r="H60" i="65"/>
  <c r="L60" i="65" s="1"/>
  <c r="H62" i="65"/>
  <c r="H59" i="66"/>
  <c r="H62" i="66" l="1"/>
  <c r="H60" i="66"/>
  <c r="X14" i="76"/>
  <c r="H69" i="65"/>
  <c r="S15" i="76"/>
  <c r="H58" i="66"/>
  <c r="I58" i="66" s="1"/>
  <c r="H70" i="65"/>
  <c r="L70" i="64"/>
  <c r="R15" i="76"/>
  <c r="H54" i="66"/>
  <c r="I54" i="66" s="1"/>
  <c r="Q15" i="76"/>
  <c r="H55" i="66"/>
  <c r="I55" i="66" s="1"/>
  <c r="H63" i="66"/>
  <c r="H59" i="67"/>
  <c r="H62" i="67"/>
  <c r="S16" i="76" l="1"/>
  <c r="H58" i="67"/>
  <c r="I58" i="67" s="1"/>
  <c r="H70" i="66"/>
  <c r="L70" i="65"/>
  <c r="L60" i="66"/>
  <c r="H60" i="67"/>
  <c r="L60" i="67" s="1"/>
  <c r="Q16" i="76"/>
  <c r="H55" i="67"/>
  <c r="I55" i="67" s="1"/>
  <c r="X15" i="76"/>
  <c r="H69" i="66"/>
  <c r="R16" i="76"/>
  <c r="H54" i="67"/>
  <c r="I54" i="67" s="1"/>
  <c r="H63" i="67"/>
  <c r="H59" i="68"/>
  <c r="H63" i="68" l="1"/>
  <c r="X16" i="76"/>
  <c r="H69" i="67"/>
  <c r="H69" i="68" s="1"/>
  <c r="R17" i="76"/>
  <c r="H54" i="68"/>
  <c r="I54" i="68" s="1"/>
  <c r="Q17" i="76"/>
  <c r="H55" i="68"/>
  <c r="I55" i="68" s="1"/>
  <c r="S17" i="76"/>
  <c r="H58" i="68"/>
  <c r="I58" i="68" s="1"/>
  <c r="H70" i="67"/>
  <c r="L70" i="66"/>
  <c r="H60" i="68"/>
  <c r="L60" i="68" s="1"/>
  <c r="H62" i="68"/>
  <c r="H59" i="69"/>
  <c r="H63" i="69" l="1"/>
  <c r="R18" i="76"/>
  <c r="H54" i="69"/>
  <c r="I54" i="69" s="1"/>
  <c r="H70" i="68"/>
  <c r="L70" i="67"/>
  <c r="S18" i="76"/>
  <c r="H58" i="69"/>
  <c r="I58" i="69" s="1"/>
  <c r="H60" i="69"/>
  <c r="H62" i="69"/>
  <c r="Q18" i="76"/>
  <c r="H55" i="69"/>
  <c r="I55" i="69" s="1"/>
  <c r="H59" i="70"/>
  <c r="H62" i="70" l="1"/>
  <c r="L60" i="69"/>
  <c r="H60" i="70"/>
  <c r="H70" i="69"/>
  <c r="L70" i="68"/>
  <c r="Q19" i="76"/>
  <c r="H55" i="70"/>
  <c r="I55" i="70" s="1"/>
  <c r="S19" i="76"/>
  <c r="H58" i="70"/>
  <c r="I58" i="70" s="1"/>
  <c r="R19" i="76"/>
  <c r="H54" i="70"/>
  <c r="I54" i="70" s="1"/>
  <c r="H63" i="70"/>
  <c r="H63" i="71" s="1"/>
  <c r="X18" i="76"/>
  <c r="H69" i="69"/>
  <c r="H59" i="71"/>
  <c r="H62" i="71"/>
  <c r="R20" i="76" l="1"/>
  <c r="H54" i="71"/>
  <c r="I54" i="71" s="1"/>
  <c r="S20" i="76"/>
  <c r="H58" i="71"/>
  <c r="I58" i="71" s="1"/>
  <c r="H70" i="70"/>
  <c r="L70" i="69"/>
  <c r="H60" i="71"/>
  <c r="L60" i="71" s="1"/>
  <c r="L60" i="70"/>
  <c r="Q20" i="76"/>
  <c r="H55" i="71"/>
  <c r="I55" i="71" s="1"/>
  <c r="X19" i="76"/>
  <c r="H69" i="70"/>
  <c r="H69" i="71" s="1"/>
  <c r="H59" i="72"/>
  <c r="H63" i="72" l="1"/>
  <c r="H70" i="71"/>
  <c r="L70" i="70"/>
  <c r="S21" i="76"/>
  <c r="H58" i="72"/>
  <c r="I58" i="72" s="1"/>
  <c r="R21" i="76"/>
  <c r="H54" i="72"/>
  <c r="I54" i="72" s="1"/>
  <c r="H60" i="72"/>
  <c r="H62" i="72"/>
  <c r="Q21" i="76"/>
  <c r="H55" i="72"/>
  <c r="I55" i="72" s="1"/>
  <c r="H59" i="73"/>
  <c r="L60" i="72" l="1"/>
  <c r="H60" i="73"/>
  <c r="Q22" i="76"/>
  <c r="H55" i="73"/>
  <c r="I55" i="73" s="1"/>
  <c r="S22" i="76"/>
  <c r="H58" i="73"/>
  <c r="I58" i="73" s="1"/>
  <c r="H70" i="72"/>
  <c r="L70" i="71"/>
  <c r="R22" i="76"/>
  <c r="H54" i="73"/>
  <c r="I54" i="73" s="1"/>
  <c r="H63" i="73"/>
  <c r="H62" i="73"/>
  <c r="X21" i="76"/>
  <c r="H69" i="72"/>
  <c r="H59" i="74"/>
  <c r="H62" i="74" l="1"/>
  <c r="H70" i="73"/>
  <c r="L70" i="72"/>
  <c r="S23" i="76"/>
  <c r="H58" i="74"/>
  <c r="I58" i="74" s="1"/>
  <c r="R23" i="76"/>
  <c r="H54" i="74"/>
  <c r="I54" i="74" s="1"/>
  <c r="Q23" i="76"/>
  <c r="H55" i="74"/>
  <c r="I55" i="74" s="1"/>
  <c r="L60" i="73"/>
  <c r="H60" i="74"/>
  <c r="H63" i="74"/>
  <c r="X22" i="76"/>
  <c r="H69" i="73"/>
  <c r="H59" i="43"/>
  <c r="H62" i="43"/>
  <c r="H55" i="43" l="1"/>
  <c r="I55" i="43" s="1"/>
  <c r="X23" i="76"/>
  <c r="H69" i="74"/>
  <c r="H60" i="43"/>
  <c r="L60" i="74"/>
  <c r="S24" i="76"/>
  <c r="H58" i="43"/>
  <c r="I58" i="43" s="1"/>
  <c r="R24" i="76"/>
  <c r="H54" i="43"/>
  <c r="I54" i="43" s="1"/>
  <c r="H63" i="43"/>
  <c r="H70" i="74"/>
  <c r="L70" i="73"/>
  <c r="H59" i="44"/>
  <c r="H62" i="44"/>
  <c r="H70" i="43" l="1"/>
  <c r="L70" i="43" s="1"/>
  <c r="L70" i="74"/>
  <c r="X24" i="76"/>
  <c r="H69" i="43"/>
  <c r="H69" i="44" s="1"/>
  <c r="H63" i="44"/>
  <c r="R25" i="76"/>
  <c r="H54" i="44"/>
  <c r="I54" i="44" s="1"/>
  <c r="H60" i="44"/>
  <c r="L60" i="43"/>
  <c r="S25" i="76"/>
  <c r="H58" i="44"/>
  <c r="I58" i="44" s="1"/>
  <c r="Q25" i="76"/>
  <c r="H55" i="44"/>
  <c r="I55" i="44" s="1"/>
  <c r="H59" i="45"/>
  <c r="H62" i="45"/>
  <c r="T25" i="76" l="1"/>
  <c r="H70" i="44"/>
  <c r="L60" i="44"/>
  <c r="H60" i="45"/>
  <c r="S26" i="76"/>
  <c r="H58" i="45"/>
  <c r="I58" i="45" s="1"/>
  <c r="Q26" i="76"/>
  <c r="H55" i="45"/>
  <c r="I55" i="45" s="1"/>
  <c r="H63" i="45"/>
  <c r="R26" i="76"/>
  <c r="H54" i="45"/>
  <c r="I54" i="45" s="1"/>
  <c r="H59" i="46"/>
  <c r="H62" i="46"/>
  <c r="H63" i="46" l="1"/>
  <c r="X26" i="76"/>
  <c r="H69" i="45"/>
  <c r="H69" i="46" s="1"/>
  <c r="S27" i="76"/>
  <c r="H58" i="46"/>
  <c r="I58" i="46" s="1"/>
  <c r="H70" i="45"/>
  <c r="L70" i="45" s="1"/>
  <c r="L70" i="44"/>
  <c r="H60" i="46"/>
  <c r="L60" i="45"/>
  <c r="R27" i="76"/>
  <c r="H54" i="46"/>
  <c r="I54" i="46" s="1"/>
  <c r="Q27" i="76"/>
  <c r="H55" i="46"/>
  <c r="I55" i="46" s="1"/>
  <c r="H59" i="47"/>
  <c r="H62" i="47"/>
  <c r="H60" i="47" l="1"/>
  <c r="L60" i="46"/>
  <c r="R28" i="76"/>
  <c r="H54" i="47"/>
  <c r="I54" i="47" s="1"/>
  <c r="S28" i="76"/>
  <c r="H58" i="47"/>
  <c r="I58" i="47" s="1"/>
  <c r="Q28" i="76"/>
  <c r="H55" i="47"/>
  <c r="I55" i="47" s="1"/>
  <c r="H63" i="47"/>
  <c r="T27" i="76"/>
  <c r="H70" i="46"/>
  <c r="H59" i="48"/>
  <c r="H62" i="48"/>
  <c r="H63" i="48" l="1"/>
  <c r="H70" i="47"/>
  <c r="L70" i="46"/>
  <c r="R29" i="76"/>
  <c r="H54" i="48"/>
  <c r="I54" i="48" s="1"/>
  <c r="X28" i="76"/>
  <c r="H69" i="47"/>
  <c r="S29" i="76"/>
  <c r="H58" i="48"/>
  <c r="I58" i="48" s="1"/>
  <c r="L60" i="47"/>
  <c r="H60" i="48"/>
  <c r="Q29" i="76"/>
  <c r="H55" i="48"/>
  <c r="I55" i="48" s="1"/>
  <c r="H59" i="49"/>
  <c r="H62" i="49"/>
  <c r="H63" i="49" l="1"/>
  <c r="R30" i="76"/>
  <c r="H54" i="49"/>
  <c r="I54" i="49" s="1"/>
  <c r="S30" i="76"/>
  <c r="H58" i="49"/>
  <c r="I58" i="49" s="1"/>
  <c r="Q30" i="76"/>
  <c r="H55" i="49"/>
  <c r="I55" i="49" s="1"/>
  <c r="L60" i="48"/>
  <c r="H60" i="49"/>
  <c r="H63" i="50"/>
  <c r="T30" i="76"/>
  <c r="H70" i="48"/>
  <c r="L70" i="48" s="1"/>
  <c r="L70" i="47"/>
  <c r="X29" i="76"/>
  <c r="X34" i="76" s="1"/>
  <c r="H69" i="48"/>
  <c r="H69" i="49" s="1"/>
  <c r="H69" i="50" s="1"/>
  <c r="H69" i="52" s="1"/>
  <c r="H69" i="78" s="1"/>
  <c r="H59" i="50"/>
  <c r="H62" i="50"/>
  <c r="H70" i="49" l="1"/>
  <c r="L70" i="49" s="1"/>
  <c r="T31" i="76"/>
  <c r="H70" i="50"/>
  <c r="L70" i="50" s="1"/>
  <c r="H60" i="50"/>
  <c r="L60" i="49"/>
  <c r="Q31" i="76"/>
  <c r="H55" i="50"/>
  <c r="I55" i="50" s="1"/>
  <c r="S31" i="76"/>
  <c r="H58" i="50"/>
  <c r="I58" i="50" s="1"/>
  <c r="H63" i="52"/>
  <c r="R31" i="76"/>
  <c r="H54" i="50"/>
  <c r="I54" i="50" s="1"/>
  <c r="H59" i="52"/>
  <c r="H62" i="52"/>
  <c r="H63" i="78" l="1"/>
  <c r="T32" i="76"/>
  <c r="T34" i="76" s="1"/>
  <c r="H70" i="52"/>
  <c r="L60" i="50"/>
  <c r="H60" i="52"/>
  <c r="Q32" i="76"/>
  <c r="H55" i="52"/>
  <c r="I55" i="52" s="1"/>
  <c r="S32" i="76"/>
  <c r="S34" i="76" s="1"/>
  <c r="H58" i="52"/>
  <c r="I58" i="52" s="1"/>
  <c r="R32" i="76"/>
  <c r="H54" i="52"/>
  <c r="I54" i="52" s="1"/>
  <c r="H59" i="78"/>
  <c r="H62" i="78"/>
  <c r="S33" i="76" l="1"/>
  <c r="H58" i="78"/>
  <c r="I58" i="78" s="1"/>
  <c r="Q33" i="76"/>
  <c r="Q34" i="76" s="1"/>
  <c r="H55" i="78"/>
  <c r="I55" i="78" s="1"/>
  <c r="L60" i="52"/>
  <c r="H60" i="78"/>
  <c r="L60" i="78" s="1"/>
  <c r="H70" i="78"/>
  <c r="L70" i="78" s="1"/>
  <c r="L70" i="52"/>
  <c r="R33" i="76"/>
  <c r="R34" i="76" s="1"/>
  <c r="H54" i="78"/>
  <c r="I54" i="78" s="1"/>
  <c r="K37" i="54" l="1"/>
  <c r="L37" i="54" s="1"/>
  <c r="F37" i="54"/>
  <c r="K25" i="54"/>
  <c r="H111" i="54" l="1"/>
  <c r="F111" i="54"/>
  <c r="N94" i="54"/>
  <c r="F107" i="54"/>
  <c r="H107" i="54"/>
  <c r="I107" i="54" s="1"/>
  <c r="J21" i="54"/>
  <c r="K21" i="54" s="1"/>
  <c r="K26" i="54"/>
  <c r="L26" i="54" s="1"/>
  <c r="H118" i="54"/>
  <c r="I118" i="54" s="1"/>
  <c r="F118" i="54"/>
  <c r="J18" i="54"/>
  <c r="K18" i="54" s="1"/>
  <c r="L18" i="54" s="1"/>
  <c r="H108" i="54"/>
  <c r="I108" i="54" s="1"/>
  <c r="J20" i="54"/>
  <c r="K20" i="54" s="1"/>
  <c r="F108" i="54"/>
  <c r="H121" i="54"/>
  <c r="I121" i="54" s="1"/>
  <c r="F121" i="54"/>
  <c r="K33" i="54"/>
  <c r="L33" i="54" s="1"/>
  <c r="F103" i="54"/>
  <c r="H103" i="54"/>
  <c r="E101" i="54"/>
  <c r="H119" i="54"/>
  <c r="I119" i="54" s="1"/>
  <c r="F119" i="54"/>
  <c r="H104" i="54"/>
  <c r="I104" i="54" s="1"/>
  <c r="J19" i="54"/>
  <c r="K19" i="54" s="1"/>
  <c r="F105" i="54"/>
  <c r="J22" i="54"/>
  <c r="K22" i="54" s="1"/>
  <c r="H105" i="54"/>
  <c r="K32" i="54"/>
  <c r="L32" i="54" s="1"/>
  <c r="J16" i="54"/>
  <c r="H106" i="54"/>
  <c r="I106" i="54" s="1"/>
  <c r="F106" i="54"/>
  <c r="H113" i="54"/>
  <c r="I113" i="54" s="1"/>
  <c r="F113" i="54"/>
  <c r="F120" i="54"/>
  <c r="H120" i="54"/>
  <c r="I120" i="54" s="1"/>
  <c r="H109" i="54"/>
  <c r="I109" i="54" s="1"/>
  <c r="F109" i="54"/>
  <c r="L25" i="54"/>
  <c r="H122" i="54"/>
  <c r="I122" i="54" s="1"/>
  <c r="F122" i="54"/>
  <c r="K36" i="54"/>
  <c r="L36" i="54" s="1"/>
  <c r="F36" i="54"/>
  <c r="F30" i="54" s="1"/>
  <c r="J17" i="54" l="1"/>
  <c r="K17" i="54" s="1"/>
  <c r="E110" i="54"/>
  <c r="F110" i="54" s="1"/>
  <c r="F120" i="55"/>
  <c r="H120" i="55"/>
  <c r="F112" i="55"/>
  <c r="E100" i="54"/>
  <c r="F100" i="54" s="1"/>
  <c r="F101" i="54"/>
  <c r="F106" i="55"/>
  <c r="H106" i="55"/>
  <c r="I106" i="55" s="1"/>
  <c r="J16" i="55"/>
  <c r="I103" i="54"/>
  <c r="H101" i="54"/>
  <c r="F117" i="54"/>
  <c r="H117" i="54"/>
  <c r="I117" i="54" s="1"/>
  <c r="F118" i="55"/>
  <c r="J18" i="55"/>
  <c r="K18" i="55" s="1"/>
  <c r="H118" i="55"/>
  <c r="I118" i="55" s="1"/>
  <c r="K24" i="54"/>
  <c r="L24" i="54" s="1"/>
  <c r="J23" i="54"/>
  <c r="K23" i="54" s="1"/>
  <c r="L23" i="54" s="1"/>
  <c r="H116" i="54"/>
  <c r="I116" i="54" s="1"/>
  <c r="F116" i="54"/>
  <c r="F108" i="55"/>
  <c r="H108" i="55"/>
  <c r="I108" i="55" s="1"/>
  <c r="J20" i="55"/>
  <c r="K20" i="55" s="1"/>
  <c r="F37" i="55"/>
  <c r="H37" i="55" s="1"/>
  <c r="K37" i="55"/>
  <c r="K33" i="55"/>
  <c r="K26" i="55"/>
  <c r="K16" i="54"/>
  <c r="F115" i="54"/>
  <c r="H115" i="54"/>
  <c r="I115" i="54" s="1"/>
  <c r="K25" i="55"/>
  <c r="F105" i="55"/>
  <c r="J22" i="55"/>
  <c r="K22" i="55" s="1"/>
  <c r="F122" i="55"/>
  <c r="H122" i="55"/>
  <c r="I122" i="55" s="1"/>
  <c r="F103" i="55"/>
  <c r="J17" i="55"/>
  <c r="K17" i="55" s="1"/>
  <c r="E101" i="55"/>
  <c r="H103" i="55"/>
  <c r="F36" i="55"/>
  <c r="K36" i="55"/>
  <c r="F111" i="55"/>
  <c r="N94" i="55"/>
  <c r="H111" i="55"/>
  <c r="F121" i="55"/>
  <c r="H121" i="55"/>
  <c r="I121" i="55" s="1"/>
  <c r="F112" i="54"/>
  <c r="N95" i="54"/>
  <c r="H112" i="54"/>
  <c r="I112" i="54" s="1"/>
  <c r="D94" i="54"/>
  <c r="E94" i="54" s="1"/>
  <c r="O94" i="54"/>
  <c r="I94" i="54" s="1"/>
  <c r="J94" i="54" s="1"/>
  <c r="H109" i="55"/>
  <c r="F109" i="55"/>
  <c r="F119" i="55"/>
  <c r="H119" i="55"/>
  <c r="I119" i="55" s="1"/>
  <c r="K31" i="54"/>
  <c r="L31" i="54" s="1"/>
  <c r="J30" i="54"/>
  <c r="K30" i="54" s="1"/>
  <c r="L30" i="54" s="1"/>
  <c r="F104" i="55"/>
  <c r="H104" i="55"/>
  <c r="I104" i="55" s="1"/>
  <c r="F107" i="55"/>
  <c r="J21" i="55"/>
  <c r="K21" i="55" s="1"/>
  <c r="H107" i="55"/>
  <c r="I107" i="55" s="1"/>
  <c r="H105" i="55"/>
  <c r="I105" i="54"/>
  <c r="H114" i="54"/>
  <c r="I114" i="54" s="1"/>
  <c r="F114" i="54"/>
  <c r="I111" i="54"/>
  <c r="K32" i="55"/>
  <c r="F36" i="56"/>
  <c r="F37" i="56"/>
  <c r="F120" i="56"/>
  <c r="F109" i="56"/>
  <c r="K37" i="56" l="1"/>
  <c r="J14" i="54"/>
  <c r="K14" i="54"/>
  <c r="L37" i="55"/>
  <c r="J30" i="55"/>
  <c r="K30" i="55" s="1"/>
  <c r="K31" i="55"/>
  <c r="I103" i="55"/>
  <c r="H101" i="55"/>
  <c r="F115" i="55"/>
  <c r="H115" i="55"/>
  <c r="I115" i="55" s="1"/>
  <c r="I101" i="54"/>
  <c r="J20" i="56"/>
  <c r="K20" i="56" s="1"/>
  <c r="F108" i="56"/>
  <c r="H108" i="56"/>
  <c r="I108" i="56" s="1"/>
  <c r="H105" i="56"/>
  <c r="I105" i="55"/>
  <c r="O95" i="54"/>
  <c r="I95" i="54" s="1"/>
  <c r="J95" i="54" s="1"/>
  <c r="D95" i="54"/>
  <c r="E95" i="54" s="1"/>
  <c r="F113" i="55"/>
  <c r="H113" i="55"/>
  <c r="I113" i="55" s="1"/>
  <c r="F104" i="56"/>
  <c r="J19" i="56"/>
  <c r="H104" i="56"/>
  <c r="K25" i="56"/>
  <c r="L25" i="55"/>
  <c r="H114" i="55"/>
  <c r="F114" i="55"/>
  <c r="H112" i="55"/>
  <c r="F103" i="56"/>
  <c r="E101" i="56"/>
  <c r="H103" i="56"/>
  <c r="F107" i="56"/>
  <c r="J21" i="56"/>
  <c r="K21" i="56" s="1"/>
  <c r="H107" i="56"/>
  <c r="F105" i="56"/>
  <c r="J22" i="56"/>
  <c r="K22" i="56" s="1"/>
  <c r="H37" i="56"/>
  <c r="I111" i="55"/>
  <c r="F106" i="56"/>
  <c r="J16" i="56"/>
  <c r="H106" i="56"/>
  <c r="I106" i="56" s="1"/>
  <c r="E110" i="55"/>
  <c r="F110" i="55" s="1"/>
  <c r="N95" i="55"/>
  <c r="F111" i="56"/>
  <c r="N94" i="56"/>
  <c r="H111" i="56"/>
  <c r="L32" i="55"/>
  <c r="J19" i="55"/>
  <c r="K19" i="55" s="1"/>
  <c r="D94" i="55"/>
  <c r="E94" i="55" s="1"/>
  <c r="O94" i="55"/>
  <c r="I94" i="55" s="1"/>
  <c r="J94" i="55" s="1"/>
  <c r="F116" i="55"/>
  <c r="H116" i="55"/>
  <c r="F114" i="56"/>
  <c r="K16" i="55"/>
  <c r="N95" i="56"/>
  <c r="F112" i="56"/>
  <c r="F30" i="56"/>
  <c r="K24" i="55"/>
  <c r="J23" i="55"/>
  <c r="K23" i="55" s="1"/>
  <c r="F119" i="56"/>
  <c r="H119" i="56"/>
  <c r="I119" i="56" s="1"/>
  <c r="H109" i="56"/>
  <c r="I109" i="56" s="1"/>
  <c r="I109" i="55"/>
  <c r="J23" i="56"/>
  <c r="F116" i="56"/>
  <c r="K36" i="56"/>
  <c r="F117" i="55"/>
  <c r="H117" i="55"/>
  <c r="I117" i="55" s="1"/>
  <c r="L18" i="55"/>
  <c r="H120" i="56"/>
  <c r="I120" i="55"/>
  <c r="J18" i="56"/>
  <c r="K18" i="56" s="1"/>
  <c r="F118" i="56"/>
  <c r="H118" i="56"/>
  <c r="I118" i="56" s="1"/>
  <c r="H110" i="54"/>
  <c r="I110" i="54" s="1"/>
  <c r="F101" i="55"/>
  <c r="K33" i="56"/>
  <c r="L33" i="55"/>
  <c r="F121" i="56"/>
  <c r="H121" i="56"/>
  <c r="I121" i="56" s="1"/>
  <c r="F122" i="56"/>
  <c r="H122" i="56"/>
  <c r="I122" i="56" s="1"/>
  <c r="H36" i="55"/>
  <c r="H36" i="56" s="1"/>
  <c r="F30" i="55"/>
  <c r="K26" i="56"/>
  <c r="L26" i="55"/>
  <c r="F36" i="57"/>
  <c r="F37" i="57"/>
  <c r="F120" i="57"/>
  <c r="K32" i="56"/>
  <c r="J30" i="56"/>
  <c r="K19" i="56" l="1"/>
  <c r="E100" i="55"/>
  <c r="F100" i="55" s="1"/>
  <c r="J17" i="56"/>
  <c r="K17" i="56" s="1"/>
  <c r="H36" i="57"/>
  <c r="H30" i="56"/>
  <c r="L36" i="56"/>
  <c r="F107" i="57"/>
  <c r="J21" i="57"/>
  <c r="K21" i="57" s="1"/>
  <c r="K37" i="57"/>
  <c r="L33" i="56"/>
  <c r="H114" i="56"/>
  <c r="I114" i="55"/>
  <c r="J18" i="57"/>
  <c r="K18" i="57" s="1"/>
  <c r="F118" i="57"/>
  <c r="H118" i="57"/>
  <c r="I118" i="57" s="1"/>
  <c r="H110" i="55"/>
  <c r="I110" i="55" s="1"/>
  <c r="F104" i="57"/>
  <c r="H100" i="54"/>
  <c r="I100" i="54" s="1"/>
  <c r="J20" i="57"/>
  <c r="K20" i="57" s="1"/>
  <c r="F108" i="57"/>
  <c r="H108" i="57"/>
  <c r="I108" i="57" s="1"/>
  <c r="K24" i="56"/>
  <c r="L24" i="55"/>
  <c r="F117" i="56"/>
  <c r="H117" i="56"/>
  <c r="I117" i="56" s="1"/>
  <c r="F103" i="57"/>
  <c r="E101" i="57"/>
  <c r="H103" i="57"/>
  <c r="H107" i="57"/>
  <c r="I107" i="57" s="1"/>
  <c r="I107" i="56"/>
  <c r="J22" i="57"/>
  <c r="K22" i="57" s="1"/>
  <c r="F105" i="57"/>
  <c r="K16" i="56"/>
  <c r="H105" i="57"/>
  <c r="I105" i="57" s="1"/>
  <c r="I105" i="56"/>
  <c r="F113" i="57"/>
  <c r="K25" i="57"/>
  <c r="F121" i="57"/>
  <c r="H121" i="57"/>
  <c r="I121" i="57" s="1"/>
  <c r="L26" i="56"/>
  <c r="H120" i="57"/>
  <c r="I120" i="56"/>
  <c r="I111" i="56"/>
  <c r="I101" i="55"/>
  <c r="L25" i="56"/>
  <c r="H37" i="57"/>
  <c r="L37" i="56"/>
  <c r="K23" i="56"/>
  <c r="L23" i="55"/>
  <c r="K33" i="57"/>
  <c r="D95" i="56"/>
  <c r="E95" i="56" s="1"/>
  <c r="D94" i="56"/>
  <c r="E94" i="56" s="1"/>
  <c r="O94" i="56"/>
  <c r="I94" i="56" s="1"/>
  <c r="J94" i="56" s="1"/>
  <c r="L32" i="56"/>
  <c r="F106" i="57"/>
  <c r="H106" i="57"/>
  <c r="I106" i="57" s="1"/>
  <c r="H30" i="55"/>
  <c r="L36" i="55"/>
  <c r="K14" i="55"/>
  <c r="E110" i="56"/>
  <c r="F110" i="56" s="1"/>
  <c r="I103" i="56"/>
  <c r="H101" i="56"/>
  <c r="F115" i="56"/>
  <c r="H115" i="56"/>
  <c r="I115" i="56" s="1"/>
  <c r="K31" i="56"/>
  <c r="L31" i="55"/>
  <c r="F114" i="57"/>
  <c r="K26" i="57"/>
  <c r="J14" i="55"/>
  <c r="K30" i="56"/>
  <c r="F111" i="57"/>
  <c r="N94" i="57"/>
  <c r="H111" i="57"/>
  <c r="F119" i="57"/>
  <c r="H119" i="57"/>
  <c r="I119" i="57" s="1"/>
  <c r="H104" i="57"/>
  <c r="I104" i="57" s="1"/>
  <c r="I104" i="56"/>
  <c r="F112" i="57"/>
  <c r="D95" i="55"/>
  <c r="E95" i="55" s="1"/>
  <c r="O95" i="55"/>
  <c r="I95" i="55" s="1"/>
  <c r="J95" i="55" s="1"/>
  <c r="F101" i="56"/>
  <c r="F109" i="57"/>
  <c r="H109" i="57"/>
  <c r="I109" i="57" s="1"/>
  <c r="F30" i="57"/>
  <c r="K36" i="57"/>
  <c r="F113" i="56"/>
  <c r="H113" i="56"/>
  <c r="F122" i="57"/>
  <c r="H122" i="57"/>
  <c r="I122" i="57" s="1"/>
  <c r="H116" i="56"/>
  <c r="I116" i="56" s="1"/>
  <c r="I116" i="55"/>
  <c r="H112" i="56"/>
  <c r="I112" i="55"/>
  <c r="F36" i="58"/>
  <c r="F37" i="58"/>
  <c r="F120" i="58"/>
  <c r="K32" i="57"/>
  <c r="O95" i="56" l="1"/>
  <c r="I95" i="56" s="1"/>
  <c r="J95" i="56" s="1"/>
  <c r="H100" i="55"/>
  <c r="I100" i="55" s="1"/>
  <c r="K14" i="56"/>
  <c r="E110" i="57"/>
  <c r="F110" i="57" s="1"/>
  <c r="H110" i="56"/>
  <c r="I110" i="56" s="1"/>
  <c r="J14" i="56"/>
  <c r="L32" i="57"/>
  <c r="L25" i="57"/>
  <c r="L33" i="57"/>
  <c r="F109" i="58"/>
  <c r="H109" i="58"/>
  <c r="I109" i="58" s="1"/>
  <c r="F116" i="57"/>
  <c r="H116" i="57"/>
  <c r="I116" i="57" s="1"/>
  <c r="I30" i="55"/>
  <c r="L30" i="55"/>
  <c r="K33" i="58"/>
  <c r="K36" i="58"/>
  <c r="F119" i="58"/>
  <c r="H119" i="58"/>
  <c r="I119" i="58" s="1"/>
  <c r="J23" i="57"/>
  <c r="K23" i="57" s="1"/>
  <c r="D94" i="57"/>
  <c r="E94" i="57" s="1"/>
  <c r="O94" i="57"/>
  <c r="H37" i="58"/>
  <c r="L37" i="57"/>
  <c r="K24" i="57"/>
  <c r="L24" i="56"/>
  <c r="F114" i="58"/>
  <c r="K26" i="58"/>
  <c r="F111" i="58"/>
  <c r="N94" i="58"/>
  <c r="D94" i="58" s="1"/>
  <c r="E94" i="58" s="1"/>
  <c r="F118" i="58"/>
  <c r="J18" i="58"/>
  <c r="K18" i="58" s="1"/>
  <c r="H118" i="58"/>
  <c r="I118" i="58" s="1"/>
  <c r="J16" i="57"/>
  <c r="F115" i="57"/>
  <c r="H115" i="57"/>
  <c r="I115" i="57" s="1"/>
  <c r="L26" i="57"/>
  <c r="H114" i="57"/>
  <c r="I114" i="57" s="1"/>
  <c r="I114" i="56"/>
  <c r="F112" i="58"/>
  <c r="F30" i="58"/>
  <c r="H111" i="58"/>
  <c r="I111" i="57"/>
  <c r="L23" i="56"/>
  <c r="J30" i="57"/>
  <c r="K30" i="57" s="1"/>
  <c r="J16" i="58"/>
  <c r="K25" i="58"/>
  <c r="E100" i="56"/>
  <c r="F100" i="56" s="1"/>
  <c r="F117" i="57"/>
  <c r="H117" i="57"/>
  <c r="I117" i="57" s="1"/>
  <c r="J19" i="57"/>
  <c r="K19" i="57" s="1"/>
  <c r="F106" i="58"/>
  <c r="H106" i="58"/>
  <c r="I106" i="58" s="1"/>
  <c r="F104" i="58"/>
  <c r="H104" i="58"/>
  <c r="I104" i="58" s="1"/>
  <c r="K37" i="58"/>
  <c r="J20" i="58"/>
  <c r="K20" i="58" s="1"/>
  <c r="F108" i="58"/>
  <c r="H108" i="58"/>
  <c r="I30" i="56"/>
  <c r="L30" i="56"/>
  <c r="F105" i="58"/>
  <c r="J22" i="58"/>
  <c r="K22" i="58" s="1"/>
  <c r="H105" i="58"/>
  <c r="F107" i="58"/>
  <c r="J21" i="58"/>
  <c r="K21" i="58" s="1"/>
  <c r="H107" i="58"/>
  <c r="I107" i="58" s="1"/>
  <c r="H112" i="57"/>
  <c r="I112" i="56"/>
  <c r="H36" i="58"/>
  <c r="H30" i="57"/>
  <c r="L36" i="57"/>
  <c r="F122" i="58"/>
  <c r="H122" i="58"/>
  <c r="I122" i="58" s="1"/>
  <c r="I101" i="56"/>
  <c r="H100" i="56"/>
  <c r="I100" i="56" s="1"/>
  <c r="F103" i="58"/>
  <c r="E101" i="58"/>
  <c r="H103" i="58"/>
  <c r="N95" i="57"/>
  <c r="I103" i="57"/>
  <c r="H101" i="57"/>
  <c r="F101" i="57"/>
  <c r="E100" i="57"/>
  <c r="F100" i="57" s="1"/>
  <c r="J17" i="58"/>
  <c r="H113" i="57"/>
  <c r="I113" i="57" s="1"/>
  <c r="I113" i="56"/>
  <c r="F121" i="58"/>
  <c r="H121" i="58"/>
  <c r="I121" i="58" s="1"/>
  <c r="K31" i="57"/>
  <c r="L31" i="56"/>
  <c r="H120" i="58"/>
  <c r="I120" i="58" s="1"/>
  <c r="I120" i="57"/>
  <c r="J17" i="57"/>
  <c r="K17" i="57" s="1"/>
  <c r="F36" i="59"/>
  <c r="F37" i="59"/>
  <c r="H37" i="59" s="1"/>
  <c r="K32" i="58"/>
  <c r="H114" i="58" l="1"/>
  <c r="I114" i="58" s="1"/>
  <c r="J30" i="58"/>
  <c r="L37" i="58"/>
  <c r="K17" i="58"/>
  <c r="K30" i="58"/>
  <c r="L32" i="58"/>
  <c r="L25" i="58"/>
  <c r="F118" i="59"/>
  <c r="J18" i="59"/>
  <c r="K18" i="59" s="1"/>
  <c r="H118" i="59"/>
  <c r="I118" i="59" s="1"/>
  <c r="J17" i="59"/>
  <c r="K17" i="59" s="1"/>
  <c r="F122" i="59"/>
  <c r="H122" i="59"/>
  <c r="I122" i="59" s="1"/>
  <c r="K31" i="58"/>
  <c r="L31" i="57"/>
  <c r="F113" i="58"/>
  <c r="H113" i="58"/>
  <c r="I113" i="58" s="1"/>
  <c r="J14" i="57"/>
  <c r="K16" i="57"/>
  <c r="K14" i="57" s="1"/>
  <c r="O94" i="58"/>
  <c r="I94" i="58" s="1"/>
  <c r="J94" i="58" s="1"/>
  <c r="I94" i="57"/>
  <c r="J94" i="57" s="1"/>
  <c r="J20" i="59"/>
  <c r="K20" i="59" s="1"/>
  <c r="F108" i="59"/>
  <c r="I101" i="57"/>
  <c r="F111" i="59"/>
  <c r="N94" i="59"/>
  <c r="H111" i="59"/>
  <c r="F30" i="59"/>
  <c r="H108" i="59"/>
  <c r="I108" i="58"/>
  <c r="F109" i="59"/>
  <c r="H109" i="59"/>
  <c r="I109" i="59" s="1"/>
  <c r="H101" i="58"/>
  <c r="I103" i="58"/>
  <c r="L26" i="58"/>
  <c r="K33" i="59"/>
  <c r="L33" i="58"/>
  <c r="K16" i="58"/>
  <c r="F117" i="58"/>
  <c r="H117" i="58"/>
  <c r="I117" i="58" s="1"/>
  <c r="F121" i="59"/>
  <c r="H121" i="59"/>
  <c r="I121" i="59" s="1"/>
  <c r="F106" i="59"/>
  <c r="H106" i="59"/>
  <c r="I106" i="59" s="1"/>
  <c r="L23" i="57"/>
  <c r="F120" i="59"/>
  <c r="H120" i="59"/>
  <c r="I120" i="59" s="1"/>
  <c r="K24" i="58"/>
  <c r="L24" i="57"/>
  <c r="F119" i="59"/>
  <c r="H119" i="59"/>
  <c r="I119" i="59" s="1"/>
  <c r="F105" i="59"/>
  <c r="J22" i="59"/>
  <c r="K22" i="59" s="1"/>
  <c r="K37" i="59"/>
  <c r="L37" i="59" s="1"/>
  <c r="H110" i="57"/>
  <c r="I110" i="57" s="1"/>
  <c r="F103" i="59"/>
  <c r="E101" i="59"/>
  <c r="H103" i="59"/>
  <c r="D95" i="57"/>
  <c r="E95" i="57" s="1"/>
  <c r="O95" i="57"/>
  <c r="I95" i="57" s="1"/>
  <c r="J95" i="57" s="1"/>
  <c r="H105" i="59"/>
  <c r="I105" i="58"/>
  <c r="F104" i="59"/>
  <c r="H104" i="59"/>
  <c r="I104" i="59" s="1"/>
  <c r="J23" i="58"/>
  <c r="K23" i="58" s="1"/>
  <c r="I30" i="57"/>
  <c r="L30" i="57"/>
  <c r="E110" i="58"/>
  <c r="F110" i="58" s="1"/>
  <c r="K36" i="59"/>
  <c r="K26" i="59"/>
  <c r="J19" i="59"/>
  <c r="F116" i="58"/>
  <c r="H116" i="58"/>
  <c r="I116" i="58" s="1"/>
  <c r="H36" i="59"/>
  <c r="H30" i="58"/>
  <c r="L36" i="58"/>
  <c r="J19" i="58"/>
  <c r="K19" i="58" s="1"/>
  <c r="I111" i="58"/>
  <c r="F115" i="58"/>
  <c r="H115" i="58"/>
  <c r="I115" i="58" s="1"/>
  <c r="F101" i="58"/>
  <c r="F112" i="59"/>
  <c r="F107" i="59"/>
  <c r="J21" i="59"/>
  <c r="K21" i="59" s="1"/>
  <c r="H107" i="59"/>
  <c r="I107" i="59" s="1"/>
  <c r="K25" i="59"/>
  <c r="H112" i="58"/>
  <c r="I112" i="58" s="1"/>
  <c r="I112" i="57"/>
  <c r="N95" i="58"/>
  <c r="K32" i="59"/>
  <c r="F36" i="60"/>
  <c r="F37" i="60"/>
  <c r="H37" i="60" s="1"/>
  <c r="F30" i="60" l="1"/>
  <c r="H100" i="57"/>
  <c r="I100" i="57" s="1"/>
  <c r="K19" i="59"/>
  <c r="L25" i="59"/>
  <c r="L23" i="58"/>
  <c r="L32" i="59"/>
  <c r="L33" i="59"/>
  <c r="H36" i="60"/>
  <c r="H30" i="59"/>
  <c r="L36" i="59"/>
  <c r="K24" i="59"/>
  <c r="L24" i="58"/>
  <c r="F115" i="59"/>
  <c r="H115" i="59"/>
  <c r="I115" i="59" s="1"/>
  <c r="J23" i="59"/>
  <c r="K23" i="59" s="1"/>
  <c r="F112" i="60"/>
  <c r="H112" i="59"/>
  <c r="I112" i="59" s="1"/>
  <c r="F117" i="59"/>
  <c r="H117" i="59"/>
  <c r="I117" i="59" s="1"/>
  <c r="L26" i="59"/>
  <c r="F113" i="59"/>
  <c r="H113" i="59"/>
  <c r="I113" i="59" s="1"/>
  <c r="J14" i="58"/>
  <c r="E110" i="59"/>
  <c r="F110" i="59" s="1"/>
  <c r="F118" i="60"/>
  <c r="J18" i="60"/>
  <c r="K18" i="60" s="1"/>
  <c r="H118" i="60"/>
  <c r="I118" i="60" s="1"/>
  <c r="F114" i="60"/>
  <c r="K26" i="60"/>
  <c r="H105" i="60"/>
  <c r="I105" i="60" s="1"/>
  <c r="I105" i="59"/>
  <c r="J16" i="60"/>
  <c r="K25" i="60"/>
  <c r="J30" i="59"/>
  <c r="K30" i="59" s="1"/>
  <c r="N95" i="59"/>
  <c r="F104" i="60"/>
  <c r="H104" i="60"/>
  <c r="I104" i="60" s="1"/>
  <c r="F108" i="60"/>
  <c r="J20" i="60"/>
  <c r="K20" i="60" s="1"/>
  <c r="K36" i="60"/>
  <c r="I103" i="59"/>
  <c r="H101" i="59"/>
  <c r="I101" i="58"/>
  <c r="F119" i="60"/>
  <c r="H119" i="60"/>
  <c r="I119" i="60" s="1"/>
  <c r="J21" i="60"/>
  <c r="K21" i="60" s="1"/>
  <c r="F107" i="60"/>
  <c r="H107" i="60"/>
  <c r="I107" i="60" s="1"/>
  <c r="F101" i="59"/>
  <c r="J16" i="59"/>
  <c r="N95" i="60"/>
  <c r="K33" i="60"/>
  <c r="K14" i="58"/>
  <c r="D94" i="59"/>
  <c r="E94" i="59" s="1"/>
  <c r="O94" i="59"/>
  <c r="I94" i="59" s="1"/>
  <c r="J94" i="59" s="1"/>
  <c r="K31" i="59"/>
  <c r="L31" i="58"/>
  <c r="F106" i="60"/>
  <c r="H106" i="60"/>
  <c r="I106" i="60" s="1"/>
  <c r="F103" i="60"/>
  <c r="E101" i="60"/>
  <c r="H103" i="60"/>
  <c r="E100" i="58"/>
  <c r="F100" i="58" s="1"/>
  <c r="F109" i="60"/>
  <c r="H109" i="60"/>
  <c r="I109" i="60" s="1"/>
  <c r="F121" i="60"/>
  <c r="H121" i="60"/>
  <c r="I121" i="60" s="1"/>
  <c r="F122" i="60"/>
  <c r="H122" i="60"/>
  <c r="I122" i="60" s="1"/>
  <c r="F120" i="60"/>
  <c r="H120" i="60"/>
  <c r="I120" i="60" s="1"/>
  <c r="H108" i="60"/>
  <c r="I108" i="60" s="1"/>
  <c r="I108" i="59"/>
  <c r="I30" i="58"/>
  <c r="L30" i="58"/>
  <c r="F116" i="59"/>
  <c r="H116" i="59"/>
  <c r="I116" i="59" s="1"/>
  <c r="D95" i="58"/>
  <c r="E95" i="58" s="1"/>
  <c r="O95" i="58"/>
  <c r="I95" i="58" s="1"/>
  <c r="J95" i="58" s="1"/>
  <c r="F114" i="59"/>
  <c r="H114" i="59"/>
  <c r="I114" i="59" s="1"/>
  <c r="K37" i="60"/>
  <c r="F105" i="60"/>
  <c r="J22" i="60"/>
  <c r="K22" i="60" s="1"/>
  <c r="N94" i="60"/>
  <c r="F111" i="60"/>
  <c r="H111" i="60"/>
  <c r="H110" i="58"/>
  <c r="I110" i="58" s="1"/>
  <c r="I111" i="59"/>
  <c r="K32" i="60"/>
  <c r="F36" i="61"/>
  <c r="F37" i="61"/>
  <c r="H37" i="61" s="1"/>
  <c r="J30" i="60" l="1"/>
  <c r="H114" i="60"/>
  <c r="I114" i="60" s="1"/>
  <c r="L25" i="60"/>
  <c r="E110" i="60"/>
  <c r="F110" i="60" s="1"/>
  <c r="D94" i="60"/>
  <c r="E94" i="60" s="1"/>
  <c r="O94" i="60"/>
  <c r="I94" i="60" s="1"/>
  <c r="J94" i="60" s="1"/>
  <c r="D95" i="60"/>
  <c r="E95" i="60" s="1"/>
  <c r="F122" i="61"/>
  <c r="H122" i="61"/>
  <c r="I122" i="61" s="1"/>
  <c r="F30" i="61"/>
  <c r="F119" i="61"/>
  <c r="H119" i="61"/>
  <c r="I119" i="61" s="1"/>
  <c r="F111" i="61"/>
  <c r="N94" i="61"/>
  <c r="H111" i="61"/>
  <c r="H100" i="58"/>
  <c r="I100" i="58" s="1"/>
  <c r="F117" i="60"/>
  <c r="H117" i="60"/>
  <c r="I117" i="60" s="1"/>
  <c r="H112" i="60"/>
  <c r="I112" i="60" s="1"/>
  <c r="L32" i="60"/>
  <c r="K31" i="60"/>
  <c r="L31" i="59"/>
  <c r="I101" i="59"/>
  <c r="L23" i="59"/>
  <c r="F105" i="61"/>
  <c r="J22" i="61"/>
  <c r="K22" i="61" s="1"/>
  <c r="H105" i="61"/>
  <c r="I105" i="61" s="1"/>
  <c r="K37" i="61"/>
  <c r="K36" i="61"/>
  <c r="F118" i="61"/>
  <c r="J18" i="61"/>
  <c r="K18" i="61" s="1"/>
  <c r="H118" i="61"/>
  <c r="I118" i="61" s="1"/>
  <c r="I111" i="60"/>
  <c r="F116" i="60"/>
  <c r="H116" i="60"/>
  <c r="I116" i="60" s="1"/>
  <c r="F104" i="61"/>
  <c r="H104" i="61"/>
  <c r="I104" i="61" s="1"/>
  <c r="J23" i="60"/>
  <c r="K23" i="60" s="1"/>
  <c r="F103" i="61"/>
  <c r="E101" i="61"/>
  <c r="H103" i="61"/>
  <c r="F101" i="60"/>
  <c r="E100" i="60"/>
  <c r="F100" i="60" s="1"/>
  <c r="L26" i="60"/>
  <c r="H36" i="61"/>
  <c r="H30" i="60"/>
  <c r="L36" i="60"/>
  <c r="F120" i="61"/>
  <c r="H120" i="61"/>
  <c r="I120" i="61" s="1"/>
  <c r="L33" i="60"/>
  <c r="F109" i="61"/>
  <c r="H109" i="61"/>
  <c r="I109" i="61" s="1"/>
  <c r="K26" i="61"/>
  <c r="F115" i="60"/>
  <c r="H115" i="60"/>
  <c r="I115" i="60" s="1"/>
  <c r="K24" i="60"/>
  <c r="L24" i="59"/>
  <c r="F121" i="61"/>
  <c r="H121" i="61"/>
  <c r="I121" i="61" s="1"/>
  <c r="F112" i="61"/>
  <c r="J14" i="59"/>
  <c r="K16" i="59"/>
  <c r="K14" i="59" s="1"/>
  <c r="J19" i="60"/>
  <c r="K19" i="60" s="1"/>
  <c r="L37" i="60"/>
  <c r="J16" i="61"/>
  <c r="K25" i="61"/>
  <c r="K33" i="61"/>
  <c r="N95" i="61"/>
  <c r="F108" i="61"/>
  <c r="J20" i="61"/>
  <c r="K20" i="61" s="1"/>
  <c r="H108" i="61"/>
  <c r="I108" i="61" s="1"/>
  <c r="H101" i="60"/>
  <c r="I103" i="60"/>
  <c r="E100" i="59"/>
  <c r="F100" i="59" s="1"/>
  <c r="D95" i="59"/>
  <c r="E95" i="59" s="1"/>
  <c r="O95" i="59"/>
  <c r="I95" i="59" s="1"/>
  <c r="J95" i="59" s="1"/>
  <c r="F113" i="60"/>
  <c r="H113" i="60"/>
  <c r="I113" i="60" s="1"/>
  <c r="F106" i="61"/>
  <c r="H106" i="61"/>
  <c r="I106" i="61" s="1"/>
  <c r="F107" i="61"/>
  <c r="J21" i="61"/>
  <c r="K21" i="61" s="1"/>
  <c r="H107" i="61"/>
  <c r="I107" i="61" s="1"/>
  <c r="H110" i="59"/>
  <c r="I110" i="59" s="1"/>
  <c r="J17" i="60"/>
  <c r="K17" i="60" s="1"/>
  <c r="K30" i="60"/>
  <c r="I30" i="59"/>
  <c r="L30" i="59"/>
  <c r="F37" i="62"/>
  <c r="H37" i="62" s="1"/>
  <c r="F36" i="62"/>
  <c r="K32" i="61"/>
  <c r="O95" i="60" l="1"/>
  <c r="I95" i="60" s="1"/>
  <c r="J95" i="60" s="1"/>
  <c r="J30" i="61"/>
  <c r="K30" i="61" s="1"/>
  <c r="F30" i="62"/>
  <c r="J17" i="61"/>
  <c r="K36" i="62"/>
  <c r="K37" i="62"/>
  <c r="L37" i="62" s="1"/>
  <c r="L25" i="61"/>
  <c r="L23" i="60"/>
  <c r="L33" i="61"/>
  <c r="D95" i="61"/>
  <c r="E95" i="61" s="1"/>
  <c r="O95" i="61"/>
  <c r="I95" i="61" s="1"/>
  <c r="J95" i="61" s="1"/>
  <c r="L32" i="61"/>
  <c r="F118" i="62"/>
  <c r="J18" i="62"/>
  <c r="K18" i="62" s="1"/>
  <c r="H118" i="62"/>
  <c r="I118" i="62" s="1"/>
  <c r="F121" i="62"/>
  <c r="H121" i="62"/>
  <c r="I121" i="62" s="1"/>
  <c r="I111" i="61"/>
  <c r="F108" i="62"/>
  <c r="J20" i="62"/>
  <c r="K20" i="62" s="1"/>
  <c r="H108" i="62"/>
  <c r="I108" i="62" s="1"/>
  <c r="F101" i="61"/>
  <c r="F107" i="62"/>
  <c r="J21" i="62"/>
  <c r="K21" i="62" s="1"/>
  <c r="H107" i="62"/>
  <c r="I107" i="62" s="1"/>
  <c r="F117" i="61"/>
  <c r="H117" i="61"/>
  <c r="I117" i="61" s="1"/>
  <c r="L37" i="61"/>
  <c r="F103" i="62"/>
  <c r="E101" i="62"/>
  <c r="H103" i="62"/>
  <c r="F113" i="61"/>
  <c r="H113" i="61"/>
  <c r="I113" i="61" s="1"/>
  <c r="F111" i="62"/>
  <c r="N94" i="62"/>
  <c r="H111" i="62"/>
  <c r="F120" i="62"/>
  <c r="H120" i="62"/>
  <c r="I120" i="62" s="1"/>
  <c r="E110" i="61"/>
  <c r="F110" i="61" s="1"/>
  <c r="F119" i="62"/>
  <c r="H119" i="62"/>
  <c r="I119" i="62" s="1"/>
  <c r="K33" i="62"/>
  <c r="J19" i="61"/>
  <c r="J14" i="61" s="1"/>
  <c r="D94" i="61"/>
  <c r="E94" i="61" s="1"/>
  <c r="O94" i="61"/>
  <c r="I94" i="61" s="1"/>
  <c r="J94" i="61" s="1"/>
  <c r="K26" i="62"/>
  <c r="K16" i="60"/>
  <c r="K14" i="60" s="1"/>
  <c r="F106" i="62"/>
  <c r="H106" i="62"/>
  <c r="I106" i="62" s="1"/>
  <c r="H112" i="61"/>
  <c r="I112" i="61" s="1"/>
  <c r="J14" i="60"/>
  <c r="F109" i="62"/>
  <c r="H109" i="62"/>
  <c r="I109" i="62" s="1"/>
  <c r="H100" i="59"/>
  <c r="I100" i="59" s="1"/>
  <c r="F104" i="62"/>
  <c r="H104" i="62"/>
  <c r="I104" i="62" s="1"/>
  <c r="K17" i="61"/>
  <c r="K24" i="61"/>
  <c r="L24" i="60"/>
  <c r="K25" i="62"/>
  <c r="F115" i="61"/>
  <c r="H115" i="61"/>
  <c r="I115" i="61" s="1"/>
  <c r="F122" i="62"/>
  <c r="H122" i="62"/>
  <c r="I122" i="62" s="1"/>
  <c r="I30" i="60"/>
  <c r="L30" i="60"/>
  <c r="F114" i="61"/>
  <c r="H114" i="61"/>
  <c r="I114" i="61" s="1"/>
  <c r="L26" i="61"/>
  <c r="F116" i="61"/>
  <c r="H116" i="61"/>
  <c r="I116" i="61" s="1"/>
  <c r="F105" i="62"/>
  <c r="J22" i="62"/>
  <c r="K22" i="62" s="1"/>
  <c r="H105" i="62"/>
  <c r="I105" i="62" s="1"/>
  <c r="H36" i="62"/>
  <c r="H30" i="61"/>
  <c r="L36" i="61"/>
  <c r="K31" i="61"/>
  <c r="L31" i="60"/>
  <c r="F112" i="62"/>
  <c r="H112" i="62"/>
  <c r="I112" i="62" s="1"/>
  <c r="I103" i="61"/>
  <c r="H101" i="61"/>
  <c r="I101" i="60"/>
  <c r="H110" i="60"/>
  <c r="I110" i="60" s="1"/>
  <c r="J23" i="61"/>
  <c r="K23" i="61" s="1"/>
  <c r="K32" i="62"/>
  <c r="F36" i="63"/>
  <c r="F37" i="63"/>
  <c r="H37" i="63" s="1"/>
  <c r="F30" i="63" l="1"/>
  <c r="E100" i="61"/>
  <c r="F100" i="61" s="1"/>
  <c r="J23" i="62"/>
  <c r="K23" i="62" s="1"/>
  <c r="J19" i="62"/>
  <c r="L23" i="61"/>
  <c r="L25" i="62"/>
  <c r="L26" i="62"/>
  <c r="I101" i="61"/>
  <c r="F106" i="63"/>
  <c r="H106" i="63"/>
  <c r="I106" i="63" s="1"/>
  <c r="F115" i="62"/>
  <c r="H115" i="62"/>
  <c r="I115" i="62" s="1"/>
  <c r="I103" i="62"/>
  <c r="H101" i="62"/>
  <c r="L32" i="62"/>
  <c r="F107" i="63"/>
  <c r="J21" i="63"/>
  <c r="K21" i="63" s="1"/>
  <c r="H107" i="63"/>
  <c r="I107" i="63" s="1"/>
  <c r="F116" i="62"/>
  <c r="H116" i="62"/>
  <c r="I116" i="62" s="1"/>
  <c r="D94" i="62"/>
  <c r="E94" i="62" s="1"/>
  <c r="O94" i="62"/>
  <c r="I94" i="62" s="1"/>
  <c r="J94" i="62" s="1"/>
  <c r="F103" i="63"/>
  <c r="E101" i="63"/>
  <c r="H103" i="63"/>
  <c r="H100" i="60"/>
  <c r="I100" i="60" s="1"/>
  <c r="K24" i="62"/>
  <c r="L24" i="61"/>
  <c r="K36" i="63"/>
  <c r="F121" i="63"/>
  <c r="H121" i="63"/>
  <c r="I121" i="63" s="1"/>
  <c r="F114" i="62"/>
  <c r="H114" i="62"/>
  <c r="I114" i="62" s="1"/>
  <c r="F120" i="63"/>
  <c r="H120" i="63"/>
  <c r="I120" i="63" s="1"/>
  <c r="F109" i="63"/>
  <c r="H109" i="63"/>
  <c r="I109" i="63" s="1"/>
  <c r="J30" i="62"/>
  <c r="K30" i="62" s="1"/>
  <c r="J17" i="62"/>
  <c r="K17" i="62" s="1"/>
  <c r="H110" i="61"/>
  <c r="I110" i="61" s="1"/>
  <c r="F122" i="63"/>
  <c r="H122" i="63"/>
  <c r="I122" i="63" s="1"/>
  <c r="N95" i="62"/>
  <c r="F101" i="62"/>
  <c r="J20" i="63"/>
  <c r="K20" i="63" s="1"/>
  <c r="F108" i="63"/>
  <c r="H108" i="63"/>
  <c r="I108" i="63" s="1"/>
  <c r="F113" i="62"/>
  <c r="H113" i="62"/>
  <c r="I113" i="62" s="1"/>
  <c r="E110" i="62"/>
  <c r="F110" i="62" s="1"/>
  <c r="J22" i="63"/>
  <c r="K22" i="63" s="1"/>
  <c r="F105" i="63"/>
  <c r="H105" i="63"/>
  <c r="I105" i="63" s="1"/>
  <c r="F111" i="63"/>
  <c r="N94" i="63"/>
  <c r="H111" i="63"/>
  <c r="J17" i="63"/>
  <c r="K31" i="62"/>
  <c r="L31" i="61"/>
  <c r="F104" i="63"/>
  <c r="H104" i="63"/>
  <c r="I104" i="63" s="1"/>
  <c r="K19" i="61"/>
  <c r="K37" i="63"/>
  <c r="L33" i="62"/>
  <c r="K26" i="63"/>
  <c r="I30" i="61"/>
  <c r="L30" i="61"/>
  <c r="J16" i="62"/>
  <c r="F112" i="63"/>
  <c r="H112" i="63"/>
  <c r="I112" i="63" s="1"/>
  <c r="H36" i="63"/>
  <c r="H30" i="62"/>
  <c r="L36" i="62"/>
  <c r="K16" i="61"/>
  <c r="F118" i="63"/>
  <c r="J18" i="63"/>
  <c r="K18" i="63" s="1"/>
  <c r="H118" i="63"/>
  <c r="I118" i="63" s="1"/>
  <c r="F117" i="62"/>
  <c r="H117" i="62"/>
  <c r="I117" i="62" s="1"/>
  <c r="K33" i="63"/>
  <c r="F119" i="63"/>
  <c r="H119" i="63"/>
  <c r="I119" i="63" s="1"/>
  <c r="K25" i="63"/>
  <c r="J16" i="63"/>
  <c r="I111" i="62"/>
  <c r="K32" i="63"/>
  <c r="F37" i="64"/>
  <c r="H37" i="64" s="1"/>
  <c r="F36" i="64"/>
  <c r="N95" i="63" l="1"/>
  <c r="J19" i="63"/>
  <c r="J14" i="63" s="1"/>
  <c r="H100" i="61"/>
  <c r="I100" i="61" s="1"/>
  <c r="K37" i="64"/>
  <c r="J23" i="63"/>
  <c r="K19" i="62"/>
  <c r="K17" i="63"/>
  <c r="L26" i="63"/>
  <c r="L37" i="64"/>
  <c r="L25" i="63"/>
  <c r="L32" i="63"/>
  <c r="F112" i="64"/>
  <c r="H112" i="64"/>
  <c r="I112" i="64" s="1"/>
  <c r="F113" i="63"/>
  <c r="H113" i="63"/>
  <c r="I113" i="63" s="1"/>
  <c r="D95" i="63"/>
  <c r="E95" i="63" s="1"/>
  <c r="F114" i="63"/>
  <c r="H114" i="63"/>
  <c r="I114" i="63" s="1"/>
  <c r="F122" i="64"/>
  <c r="H122" i="64"/>
  <c r="I122" i="64" s="1"/>
  <c r="K14" i="61"/>
  <c r="F104" i="64"/>
  <c r="H104" i="64"/>
  <c r="I104" i="64" s="1"/>
  <c r="H110" i="62"/>
  <c r="I110" i="62" s="1"/>
  <c r="H36" i="64"/>
  <c r="H30" i="63"/>
  <c r="L36" i="63"/>
  <c r="K26" i="64"/>
  <c r="J19" i="64"/>
  <c r="K31" i="63"/>
  <c r="L31" i="62"/>
  <c r="E100" i="62"/>
  <c r="F100" i="62" s="1"/>
  <c r="L37" i="63"/>
  <c r="F30" i="64"/>
  <c r="F118" i="64"/>
  <c r="J18" i="64"/>
  <c r="K18" i="64" s="1"/>
  <c r="H118" i="64"/>
  <c r="I118" i="64" s="1"/>
  <c r="K25" i="64"/>
  <c r="D95" i="62"/>
  <c r="E95" i="62" s="1"/>
  <c r="O95" i="62"/>
  <c r="I95" i="62" s="1"/>
  <c r="J95" i="62" s="1"/>
  <c r="F116" i="63"/>
  <c r="H116" i="63"/>
  <c r="I116" i="63" s="1"/>
  <c r="F111" i="64"/>
  <c r="N94" i="64"/>
  <c r="H111" i="64"/>
  <c r="J14" i="62"/>
  <c r="K16" i="62"/>
  <c r="K14" i="62" s="1"/>
  <c r="I111" i="63"/>
  <c r="I30" i="62"/>
  <c r="L30" i="62"/>
  <c r="F108" i="64"/>
  <c r="J20" i="64"/>
  <c r="K20" i="64" s="1"/>
  <c r="H108" i="64"/>
  <c r="I108" i="64" s="1"/>
  <c r="E110" i="63"/>
  <c r="F110" i="63" s="1"/>
  <c r="F107" i="64"/>
  <c r="J21" i="64"/>
  <c r="K21" i="64" s="1"/>
  <c r="H107" i="64"/>
  <c r="I107" i="64" s="1"/>
  <c r="D94" i="63"/>
  <c r="E94" i="63" s="1"/>
  <c r="O94" i="63"/>
  <c r="I94" i="63" s="1"/>
  <c r="J94" i="63" s="1"/>
  <c r="F119" i="64"/>
  <c r="H119" i="64"/>
  <c r="I119" i="64" s="1"/>
  <c r="F103" i="64"/>
  <c r="E101" i="64"/>
  <c r="H103" i="64"/>
  <c r="F115" i="63"/>
  <c r="H115" i="63"/>
  <c r="I115" i="63" s="1"/>
  <c r="F105" i="64"/>
  <c r="J22" i="64"/>
  <c r="K22" i="64" s="1"/>
  <c r="H105" i="64"/>
  <c r="I105" i="64" s="1"/>
  <c r="F101" i="63"/>
  <c r="F121" i="64"/>
  <c r="H121" i="64"/>
  <c r="I121" i="64" s="1"/>
  <c r="F117" i="63"/>
  <c r="H117" i="63"/>
  <c r="I117" i="63" s="1"/>
  <c r="K36" i="64"/>
  <c r="K23" i="63"/>
  <c r="L23" i="62"/>
  <c r="F109" i="64"/>
  <c r="H109" i="64"/>
  <c r="I109" i="64" s="1"/>
  <c r="I103" i="63"/>
  <c r="H101" i="63"/>
  <c r="K33" i="64"/>
  <c r="J30" i="63"/>
  <c r="K30" i="63" s="1"/>
  <c r="I101" i="62"/>
  <c r="F106" i="64"/>
  <c r="H106" i="64"/>
  <c r="I106" i="64" s="1"/>
  <c r="F120" i="64"/>
  <c r="H120" i="64"/>
  <c r="I120" i="64" s="1"/>
  <c r="L33" i="63"/>
  <c r="K24" i="63"/>
  <c r="L24" i="62"/>
  <c r="F37" i="65"/>
  <c r="H37" i="65" s="1"/>
  <c r="F36" i="65"/>
  <c r="K32" i="64"/>
  <c r="N95" i="64" l="1"/>
  <c r="J30" i="64"/>
  <c r="K30" i="64" s="1"/>
  <c r="K19" i="63"/>
  <c r="K19" i="64" s="1"/>
  <c r="E110" i="64"/>
  <c r="F110" i="64" s="1"/>
  <c r="J23" i="64"/>
  <c r="F30" i="65"/>
  <c r="K37" i="65"/>
  <c r="L25" i="64"/>
  <c r="L37" i="65"/>
  <c r="L26" i="64"/>
  <c r="F109" i="65"/>
  <c r="H109" i="65"/>
  <c r="I109" i="65" s="1"/>
  <c r="L33" i="64"/>
  <c r="D95" i="64"/>
  <c r="E95" i="64" s="1"/>
  <c r="O95" i="64"/>
  <c r="I95" i="64" s="1"/>
  <c r="J95" i="64" s="1"/>
  <c r="F101" i="64"/>
  <c r="L32" i="64"/>
  <c r="F112" i="65"/>
  <c r="H112" i="65"/>
  <c r="I112" i="65" s="1"/>
  <c r="J16" i="64"/>
  <c r="H110" i="63"/>
  <c r="I110" i="63" s="1"/>
  <c r="J21" i="65"/>
  <c r="K21" i="65" s="1"/>
  <c r="F107" i="65"/>
  <c r="H107" i="65"/>
  <c r="I107" i="65" s="1"/>
  <c r="J16" i="65"/>
  <c r="K25" i="65"/>
  <c r="K16" i="63"/>
  <c r="K14" i="63" s="1"/>
  <c r="I30" i="63"/>
  <c r="L30" i="63"/>
  <c r="F118" i="65"/>
  <c r="J18" i="65"/>
  <c r="K18" i="65" s="1"/>
  <c r="H118" i="65"/>
  <c r="I118" i="65" s="1"/>
  <c r="F103" i="65"/>
  <c r="E101" i="65"/>
  <c r="H103" i="65"/>
  <c r="H100" i="62"/>
  <c r="I100" i="62" s="1"/>
  <c r="F104" i="65"/>
  <c r="H104" i="65"/>
  <c r="I104" i="65" s="1"/>
  <c r="K23" i="64"/>
  <c r="L23" i="63"/>
  <c r="F120" i="65"/>
  <c r="H120" i="65"/>
  <c r="I120" i="65" s="1"/>
  <c r="F121" i="65"/>
  <c r="H121" i="65"/>
  <c r="I121" i="65" s="1"/>
  <c r="K36" i="65"/>
  <c r="F111" i="65"/>
  <c r="N94" i="65"/>
  <c r="H111" i="65"/>
  <c r="E100" i="63"/>
  <c r="F100" i="63" s="1"/>
  <c r="I111" i="64"/>
  <c r="O95" i="63"/>
  <c r="I95" i="63" s="1"/>
  <c r="J95" i="63" s="1"/>
  <c r="F122" i="65"/>
  <c r="H122" i="65"/>
  <c r="I122" i="65" s="1"/>
  <c r="F116" i="64"/>
  <c r="H116" i="64"/>
  <c r="I116" i="64" s="1"/>
  <c r="H36" i="65"/>
  <c r="H30" i="64"/>
  <c r="L36" i="64"/>
  <c r="D94" i="64"/>
  <c r="E94" i="64" s="1"/>
  <c r="O94" i="64"/>
  <c r="I94" i="64" s="1"/>
  <c r="J94" i="64" s="1"/>
  <c r="K31" i="64"/>
  <c r="L31" i="63"/>
  <c r="F105" i="65"/>
  <c r="J22" i="65"/>
  <c r="K22" i="65" s="1"/>
  <c r="H105" i="65"/>
  <c r="I105" i="65" s="1"/>
  <c r="I103" i="64"/>
  <c r="H101" i="64"/>
  <c r="K26" i="65"/>
  <c r="K33" i="65"/>
  <c r="F115" i="64"/>
  <c r="H115" i="64"/>
  <c r="I115" i="64" s="1"/>
  <c r="F117" i="64"/>
  <c r="H117" i="64"/>
  <c r="I117" i="64" s="1"/>
  <c r="J17" i="64"/>
  <c r="K17" i="64" s="1"/>
  <c r="F113" i="64"/>
  <c r="H113" i="64"/>
  <c r="I113" i="64" s="1"/>
  <c r="F119" i="65"/>
  <c r="H119" i="65"/>
  <c r="I119" i="65" s="1"/>
  <c r="K24" i="64"/>
  <c r="L24" i="63"/>
  <c r="I101" i="63"/>
  <c r="J20" i="65"/>
  <c r="K20" i="65" s="1"/>
  <c r="F108" i="65"/>
  <c r="H108" i="65"/>
  <c r="I108" i="65" s="1"/>
  <c r="F106" i="65"/>
  <c r="H106" i="65"/>
  <c r="I106" i="65" s="1"/>
  <c r="F114" i="64"/>
  <c r="H114" i="64"/>
  <c r="I114" i="64" s="1"/>
  <c r="F37" i="66"/>
  <c r="H37" i="66" s="1"/>
  <c r="F36" i="66"/>
  <c r="F30" i="66" s="1"/>
  <c r="K32" i="65"/>
  <c r="J19" i="65" l="1"/>
  <c r="K19" i="65" s="1"/>
  <c r="E100" i="64"/>
  <c r="F100" i="64" s="1"/>
  <c r="J23" i="65"/>
  <c r="H110" i="64"/>
  <c r="I110" i="64" s="1"/>
  <c r="K36" i="66"/>
  <c r="J30" i="65"/>
  <c r="K30" i="65" s="1"/>
  <c r="L32" i="65"/>
  <c r="L25" i="65"/>
  <c r="F108" i="66"/>
  <c r="J20" i="66"/>
  <c r="K20" i="66" s="1"/>
  <c r="H108" i="66"/>
  <c r="I108" i="66" s="1"/>
  <c r="F121" i="66"/>
  <c r="H121" i="66"/>
  <c r="I121" i="66" s="1"/>
  <c r="I111" i="65"/>
  <c r="F113" i="65"/>
  <c r="H113" i="65"/>
  <c r="I113" i="65" s="1"/>
  <c r="L33" i="65"/>
  <c r="F119" i="66"/>
  <c r="H119" i="66"/>
  <c r="I119" i="66" s="1"/>
  <c r="E110" i="65"/>
  <c r="F110" i="65" s="1"/>
  <c r="N94" i="66"/>
  <c r="F111" i="66"/>
  <c r="H111" i="66"/>
  <c r="K31" i="65"/>
  <c r="L31" i="64"/>
  <c r="D94" i="65"/>
  <c r="E94" i="65" s="1"/>
  <c r="O94" i="65"/>
  <c r="I94" i="65" s="1"/>
  <c r="J94" i="65" s="1"/>
  <c r="I103" i="65"/>
  <c r="H101" i="65"/>
  <c r="J14" i="64"/>
  <c r="K16" i="64"/>
  <c r="K14" i="64" s="1"/>
  <c r="L26" i="65"/>
  <c r="F106" i="66"/>
  <c r="H106" i="66"/>
  <c r="I106" i="66" s="1"/>
  <c r="I30" i="64"/>
  <c r="L30" i="64"/>
  <c r="F114" i="65"/>
  <c r="H114" i="65"/>
  <c r="I114" i="65" s="1"/>
  <c r="F120" i="66"/>
  <c r="H120" i="66"/>
  <c r="I120" i="66" s="1"/>
  <c r="J16" i="66"/>
  <c r="K25" i="66"/>
  <c r="F109" i="66"/>
  <c r="H109" i="66"/>
  <c r="I109" i="66" s="1"/>
  <c r="H36" i="66"/>
  <c r="H30" i="65"/>
  <c r="L36" i="65"/>
  <c r="N95" i="65"/>
  <c r="F112" i="66"/>
  <c r="H112" i="66"/>
  <c r="I112" i="66" s="1"/>
  <c r="F122" i="66"/>
  <c r="H122" i="66"/>
  <c r="I122" i="66" s="1"/>
  <c r="F115" i="65"/>
  <c r="H115" i="65"/>
  <c r="I115" i="65" s="1"/>
  <c r="F105" i="66"/>
  <c r="J22" i="66"/>
  <c r="K22" i="66" s="1"/>
  <c r="H105" i="66"/>
  <c r="I105" i="66" s="1"/>
  <c r="K37" i="66"/>
  <c r="L37" i="66" s="1"/>
  <c r="K26" i="66"/>
  <c r="F116" i="65"/>
  <c r="H116" i="65"/>
  <c r="I116" i="65" s="1"/>
  <c r="K33" i="66"/>
  <c r="H100" i="63"/>
  <c r="I100" i="63" s="1"/>
  <c r="F107" i="66"/>
  <c r="J21" i="66"/>
  <c r="K21" i="66" s="1"/>
  <c r="H107" i="66"/>
  <c r="I107" i="66" s="1"/>
  <c r="F101" i="65"/>
  <c r="F118" i="66"/>
  <c r="J18" i="66"/>
  <c r="K18" i="66" s="1"/>
  <c r="H118" i="66"/>
  <c r="I118" i="66" s="1"/>
  <c r="F117" i="65"/>
  <c r="H117" i="65"/>
  <c r="I117" i="65" s="1"/>
  <c r="F103" i="66"/>
  <c r="E101" i="66"/>
  <c r="H103" i="66"/>
  <c r="J17" i="65"/>
  <c r="J14" i="65" s="1"/>
  <c r="F104" i="66"/>
  <c r="H104" i="66"/>
  <c r="I104" i="66" s="1"/>
  <c r="K24" i="65"/>
  <c r="L24" i="64"/>
  <c r="I101" i="64"/>
  <c r="H100" i="64"/>
  <c r="I100" i="64" s="1"/>
  <c r="K23" i="65"/>
  <c r="L23" i="64"/>
  <c r="F37" i="67"/>
  <c r="H37" i="67" s="1"/>
  <c r="F36" i="67"/>
  <c r="K32" i="66"/>
  <c r="F30" i="67" l="1"/>
  <c r="K17" i="65"/>
  <c r="N95" i="66"/>
  <c r="K16" i="65"/>
  <c r="J30" i="66"/>
  <c r="K30" i="66" s="1"/>
  <c r="J23" i="66"/>
  <c r="L32" i="66"/>
  <c r="L25" i="66"/>
  <c r="L33" i="66"/>
  <c r="K26" i="67"/>
  <c r="L26" i="66"/>
  <c r="D95" i="66"/>
  <c r="E95" i="66" s="1"/>
  <c r="J20" i="67"/>
  <c r="K20" i="67" s="1"/>
  <c r="F108" i="67"/>
  <c r="H108" i="67"/>
  <c r="I108" i="67" s="1"/>
  <c r="E110" i="66"/>
  <c r="F110" i="66" s="1"/>
  <c r="F115" i="66"/>
  <c r="H115" i="66"/>
  <c r="I115" i="66" s="1"/>
  <c r="D95" i="65"/>
  <c r="E95" i="65" s="1"/>
  <c r="O95" i="65"/>
  <c r="I95" i="65" s="1"/>
  <c r="J95" i="65" s="1"/>
  <c r="K16" i="66"/>
  <c r="F104" i="67"/>
  <c r="H104" i="67"/>
  <c r="I104" i="67" s="1"/>
  <c r="F106" i="67"/>
  <c r="J16" i="67"/>
  <c r="H106" i="67"/>
  <c r="I106" i="67" s="1"/>
  <c r="F116" i="66"/>
  <c r="H116" i="66"/>
  <c r="I116" i="66" s="1"/>
  <c r="F109" i="67"/>
  <c r="H109" i="67"/>
  <c r="I109" i="67" s="1"/>
  <c r="K24" i="66"/>
  <c r="L24" i="65"/>
  <c r="I30" i="65"/>
  <c r="L30" i="65"/>
  <c r="N94" i="67"/>
  <c r="F111" i="67"/>
  <c r="H111" i="67"/>
  <c r="F122" i="67"/>
  <c r="H122" i="67"/>
  <c r="I122" i="67" s="1"/>
  <c r="E100" i="65"/>
  <c r="F100" i="65" s="1"/>
  <c r="H36" i="67"/>
  <c r="H30" i="66"/>
  <c r="L36" i="66"/>
  <c r="F121" i="67"/>
  <c r="H121" i="67"/>
  <c r="I121" i="67" s="1"/>
  <c r="J19" i="66"/>
  <c r="K19" i="66" s="1"/>
  <c r="K36" i="67"/>
  <c r="F117" i="66"/>
  <c r="H117" i="66"/>
  <c r="I117" i="66" s="1"/>
  <c r="F112" i="67"/>
  <c r="H112" i="67"/>
  <c r="I112" i="67" s="1"/>
  <c r="F101" i="66"/>
  <c r="J18" i="67"/>
  <c r="K18" i="67" s="1"/>
  <c r="F118" i="67"/>
  <c r="H118" i="67"/>
  <c r="I118" i="67" s="1"/>
  <c r="K31" i="66"/>
  <c r="L31" i="65"/>
  <c r="K23" i="66"/>
  <c r="L23" i="65"/>
  <c r="K33" i="67"/>
  <c r="D94" i="66"/>
  <c r="E94" i="66" s="1"/>
  <c r="O94" i="66"/>
  <c r="I94" i="66" s="1"/>
  <c r="J94" i="66" s="1"/>
  <c r="F103" i="67"/>
  <c r="E101" i="67"/>
  <c r="H103" i="67"/>
  <c r="F105" i="67"/>
  <c r="J22" i="67"/>
  <c r="K22" i="67" s="1"/>
  <c r="H105" i="67"/>
  <c r="I105" i="67" s="1"/>
  <c r="K14" i="65"/>
  <c r="K37" i="67"/>
  <c r="F119" i="67"/>
  <c r="H119" i="67"/>
  <c r="I119" i="67" s="1"/>
  <c r="F114" i="66"/>
  <c r="H114" i="66"/>
  <c r="I114" i="66" s="1"/>
  <c r="I111" i="66"/>
  <c r="I101" i="65"/>
  <c r="K25" i="67"/>
  <c r="F120" i="67"/>
  <c r="H120" i="67"/>
  <c r="I120" i="67" s="1"/>
  <c r="I103" i="66"/>
  <c r="H101" i="66"/>
  <c r="F113" i="66"/>
  <c r="H113" i="66"/>
  <c r="I113" i="66" s="1"/>
  <c r="H110" i="65"/>
  <c r="I110" i="65" s="1"/>
  <c r="F107" i="67"/>
  <c r="J21" i="67"/>
  <c r="K21" i="67" s="1"/>
  <c r="H107" i="67"/>
  <c r="I107" i="67" s="1"/>
  <c r="J17" i="66"/>
  <c r="K17" i="66" s="1"/>
  <c r="K32" i="67"/>
  <c r="F36" i="68"/>
  <c r="F37" i="68"/>
  <c r="H37" i="68" s="1"/>
  <c r="F30" i="68" l="1"/>
  <c r="E100" i="66"/>
  <c r="F100" i="66" s="1"/>
  <c r="J23" i="67"/>
  <c r="K36" i="68"/>
  <c r="L25" i="67"/>
  <c r="L32" i="67"/>
  <c r="K33" i="68"/>
  <c r="L33" i="67"/>
  <c r="F122" i="68"/>
  <c r="H122" i="68"/>
  <c r="I122" i="68" s="1"/>
  <c r="J16" i="68"/>
  <c r="K25" i="68"/>
  <c r="K14" i="66"/>
  <c r="H110" i="66"/>
  <c r="I110" i="66" s="1"/>
  <c r="L26" i="67"/>
  <c r="F106" i="68"/>
  <c r="H106" i="68"/>
  <c r="I106" i="68" s="1"/>
  <c r="F115" i="67"/>
  <c r="H115" i="67"/>
  <c r="I115" i="67" s="1"/>
  <c r="F112" i="68"/>
  <c r="H112" i="68"/>
  <c r="I112" i="68" s="1"/>
  <c r="F121" i="68"/>
  <c r="H121" i="68"/>
  <c r="I121" i="68" s="1"/>
  <c r="I101" i="66"/>
  <c r="H100" i="66"/>
  <c r="I100" i="66" s="1"/>
  <c r="K37" i="68"/>
  <c r="L37" i="68" s="1"/>
  <c r="K31" i="67"/>
  <c r="L31" i="66"/>
  <c r="I30" i="66"/>
  <c r="L30" i="66"/>
  <c r="F111" i="68"/>
  <c r="N94" i="68"/>
  <c r="H111" i="68"/>
  <c r="F114" i="67"/>
  <c r="H114" i="67"/>
  <c r="I114" i="67" s="1"/>
  <c r="D94" i="67"/>
  <c r="E94" i="67" s="1"/>
  <c r="O94" i="67"/>
  <c r="I94" i="67" s="1"/>
  <c r="J94" i="67" s="1"/>
  <c r="J14" i="66"/>
  <c r="F109" i="68"/>
  <c r="H109" i="68"/>
  <c r="I109" i="68" s="1"/>
  <c r="K23" i="67"/>
  <c r="L23" i="66"/>
  <c r="F117" i="67"/>
  <c r="H117" i="67"/>
  <c r="I117" i="67" s="1"/>
  <c r="H36" i="68"/>
  <c r="H30" i="67"/>
  <c r="L36" i="67"/>
  <c r="F120" i="68"/>
  <c r="H120" i="68"/>
  <c r="I120" i="68" s="1"/>
  <c r="F103" i="68"/>
  <c r="E101" i="68"/>
  <c r="H103" i="68"/>
  <c r="K16" i="67"/>
  <c r="F104" i="68"/>
  <c r="H104" i="68"/>
  <c r="I104" i="68" s="1"/>
  <c r="K26" i="68"/>
  <c r="F113" i="67"/>
  <c r="H113" i="67"/>
  <c r="I113" i="67" s="1"/>
  <c r="F105" i="68"/>
  <c r="J22" i="68"/>
  <c r="K22" i="68" s="1"/>
  <c r="H105" i="68"/>
  <c r="I105" i="68" s="1"/>
  <c r="F107" i="68"/>
  <c r="J21" i="68"/>
  <c r="K21" i="68" s="1"/>
  <c r="H107" i="68"/>
  <c r="I107" i="68" s="1"/>
  <c r="I103" i="67"/>
  <c r="H101" i="67"/>
  <c r="I111" i="67"/>
  <c r="J19" i="67"/>
  <c r="K19" i="67" s="1"/>
  <c r="J18" i="68"/>
  <c r="K18" i="68" s="1"/>
  <c r="F118" i="68"/>
  <c r="H118" i="68"/>
  <c r="I118" i="68" s="1"/>
  <c r="J30" i="67"/>
  <c r="K30" i="67" s="1"/>
  <c r="H100" i="65"/>
  <c r="I100" i="65" s="1"/>
  <c r="F101" i="67"/>
  <c r="L37" i="67"/>
  <c r="F108" i="68"/>
  <c r="J20" i="68"/>
  <c r="K20" i="68" s="1"/>
  <c r="H108" i="68"/>
  <c r="I108" i="68" s="1"/>
  <c r="K24" i="67"/>
  <c r="L24" i="66"/>
  <c r="F116" i="67"/>
  <c r="H116" i="67"/>
  <c r="I116" i="67" s="1"/>
  <c r="F119" i="68"/>
  <c r="H119" i="68"/>
  <c r="I119" i="68" s="1"/>
  <c r="J17" i="67"/>
  <c r="K17" i="67" s="1"/>
  <c r="N95" i="67"/>
  <c r="E110" i="67"/>
  <c r="F110" i="67" s="1"/>
  <c r="O95" i="66"/>
  <c r="I95" i="66" s="1"/>
  <c r="J95" i="66" s="1"/>
  <c r="K32" i="68"/>
  <c r="F36" i="69"/>
  <c r="F37" i="69"/>
  <c r="H37" i="69" s="1"/>
  <c r="J30" i="68"/>
  <c r="J19" i="68" l="1"/>
  <c r="K19" i="68" s="1"/>
  <c r="H119" i="69"/>
  <c r="I119" i="69" s="1"/>
  <c r="H121" i="69"/>
  <c r="I121" i="69" s="1"/>
  <c r="H122" i="69"/>
  <c r="I122" i="69" s="1"/>
  <c r="K30" i="68"/>
  <c r="J23" i="68"/>
  <c r="L26" i="68"/>
  <c r="L25" i="68"/>
  <c r="F116" i="68"/>
  <c r="H116" i="68"/>
  <c r="I116" i="68" s="1"/>
  <c r="D95" i="67"/>
  <c r="E95" i="67" s="1"/>
  <c r="O95" i="67"/>
  <c r="I95" i="67" s="1"/>
  <c r="J95" i="67" s="1"/>
  <c r="H120" i="69"/>
  <c r="I120" i="69" s="1"/>
  <c r="K33" i="69"/>
  <c r="K36" i="69"/>
  <c r="I111" i="68"/>
  <c r="F114" i="68"/>
  <c r="H114" i="68"/>
  <c r="I114" i="68" s="1"/>
  <c r="K26" i="69"/>
  <c r="K31" i="68"/>
  <c r="L31" i="67"/>
  <c r="F107" i="69"/>
  <c r="J21" i="69"/>
  <c r="K21" i="69" s="1"/>
  <c r="H107" i="69"/>
  <c r="I107" i="69" s="1"/>
  <c r="F111" i="69"/>
  <c r="N94" i="69"/>
  <c r="H111" i="69"/>
  <c r="F30" i="69"/>
  <c r="K24" i="68"/>
  <c r="L24" i="67"/>
  <c r="H110" i="67"/>
  <c r="I110" i="67" s="1"/>
  <c r="K23" i="68"/>
  <c r="L23" i="67"/>
  <c r="K37" i="69"/>
  <c r="F109" i="69"/>
  <c r="H109" i="69"/>
  <c r="I109" i="69" s="1"/>
  <c r="F104" i="69"/>
  <c r="H104" i="69"/>
  <c r="I104" i="69" s="1"/>
  <c r="F117" i="68"/>
  <c r="H117" i="68"/>
  <c r="I117" i="68" s="1"/>
  <c r="H36" i="69"/>
  <c r="H30" i="68"/>
  <c r="L36" i="68"/>
  <c r="L32" i="68"/>
  <c r="F106" i="69"/>
  <c r="H106" i="69"/>
  <c r="I106" i="69" s="1"/>
  <c r="F115" i="68"/>
  <c r="H115" i="68"/>
  <c r="I115" i="68" s="1"/>
  <c r="D94" i="68"/>
  <c r="E94" i="68" s="1"/>
  <c r="O94" i="68"/>
  <c r="I94" i="68" s="1"/>
  <c r="J94" i="68" s="1"/>
  <c r="I101" i="67"/>
  <c r="K14" i="67"/>
  <c r="J18" i="69"/>
  <c r="K18" i="69" s="1"/>
  <c r="H118" i="69"/>
  <c r="I118" i="69" s="1"/>
  <c r="F112" i="69"/>
  <c r="H112" i="69"/>
  <c r="I112" i="69" s="1"/>
  <c r="J14" i="67"/>
  <c r="F108" i="69"/>
  <c r="J20" i="69"/>
  <c r="K20" i="69" s="1"/>
  <c r="H108" i="69"/>
  <c r="I108" i="69" s="1"/>
  <c r="E110" i="68"/>
  <c r="F110" i="68" s="1"/>
  <c r="L33" i="68"/>
  <c r="K16" i="68"/>
  <c r="J16" i="69"/>
  <c r="K25" i="69"/>
  <c r="F103" i="69"/>
  <c r="E101" i="69"/>
  <c r="H103" i="69"/>
  <c r="H101" i="68"/>
  <c r="I103" i="68"/>
  <c r="F113" i="68"/>
  <c r="H113" i="68"/>
  <c r="I113" i="68" s="1"/>
  <c r="F101" i="68"/>
  <c r="I30" i="67"/>
  <c r="L30" i="67"/>
  <c r="F105" i="69"/>
  <c r="J22" i="69"/>
  <c r="K22" i="69" s="1"/>
  <c r="H105" i="69"/>
  <c r="I105" i="69" s="1"/>
  <c r="E100" i="67"/>
  <c r="F100" i="67" s="1"/>
  <c r="J17" i="68"/>
  <c r="J14" i="68" s="1"/>
  <c r="N95" i="68"/>
  <c r="K32" i="69"/>
  <c r="H119" i="70"/>
  <c r="I119" i="70" s="1"/>
  <c r="F36" i="70"/>
  <c r="H122" i="70"/>
  <c r="I122" i="70" s="1"/>
  <c r="H121" i="70"/>
  <c r="I121" i="70" s="1"/>
  <c r="F37" i="70"/>
  <c r="H37" i="70" s="1"/>
  <c r="J17" i="69" l="1"/>
  <c r="K17" i="69" s="1"/>
  <c r="K17" i="68"/>
  <c r="H117" i="69"/>
  <c r="I117" i="69" s="1"/>
  <c r="H120" i="70"/>
  <c r="I120" i="70" s="1"/>
  <c r="K37" i="70"/>
  <c r="E100" i="68"/>
  <c r="F100" i="68" s="1"/>
  <c r="H116" i="69"/>
  <c r="I116" i="69" s="1"/>
  <c r="L32" i="69"/>
  <c r="L25" i="69"/>
  <c r="L26" i="69"/>
  <c r="L37" i="70"/>
  <c r="J22" i="70"/>
  <c r="K22" i="70" s="1"/>
  <c r="F105" i="70"/>
  <c r="H105" i="70"/>
  <c r="I105" i="70" s="1"/>
  <c r="K16" i="69"/>
  <c r="L23" i="68"/>
  <c r="I103" i="69"/>
  <c r="H101" i="69"/>
  <c r="K24" i="69"/>
  <c r="L24" i="68"/>
  <c r="F30" i="70"/>
  <c r="F101" i="69"/>
  <c r="N95" i="69"/>
  <c r="J23" i="69"/>
  <c r="K23" i="69" s="1"/>
  <c r="H110" i="68"/>
  <c r="I110" i="68" s="1"/>
  <c r="L37" i="69"/>
  <c r="K31" i="69"/>
  <c r="L31" i="68"/>
  <c r="F103" i="70"/>
  <c r="E101" i="70"/>
  <c r="H103" i="70"/>
  <c r="D95" i="68"/>
  <c r="E95" i="68" s="1"/>
  <c r="O95" i="68"/>
  <c r="I95" i="68" s="1"/>
  <c r="J95" i="68" s="1"/>
  <c r="I30" i="68"/>
  <c r="L30" i="68"/>
  <c r="K33" i="70"/>
  <c r="J30" i="69"/>
  <c r="K30" i="69" s="1"/>
  <c r="H36" i="70"/>
  <c r="H30" i="69"/>
  <c r="L36" i="69"/>
  <c r="K36" i="70"/>
  <c r="F106" i="70"/>
  <c r="H106" i="70"/>
  <c r="I106" i="70" s="1"/>
  <c r="F108" i="70"/>
  <c r="J20" i="70"/>
  <c r="K20" i="70" s="1"/>
  <c r="H108" i="70"/>
  <c r="I108" i="70" s="1"/>
  <c r="I111" i="69"/>
  <c r="H115" i="69"/>
  <c r="I115" i="69" s="1"/>
  <c r="F112" i="70"/>
  <c r="H112" i="70"/>
  <c r="I112" i="70" s="1"/>
  <c r="F109" i="70"/>
  <c r="H109" i="70"/>
  <c r="I109" i="70" s="1"/>
  <c r="I101" i="68"/>
  <c r="H117" i="70"/>
  <c r="I117" i="70" s="1"/>
  <c r="K26" i="70"/>
  <c r="J18" i="70"/>
  <c r="K18" i="70" s="1"/>
  <c r="H118" i="70"/>
  <c r="I118" i="70" s="1"/>
  <c r="F113" i="69"/>
  <c r="H113" i="69"/>
  <c r="I113" i="69" s="1"/>
  <c r="H100" i="67"/>
  <c r="I100" i="67" s="1"/>
  <c r="D94" i="69"/>
  <c r="E94" i="69" s="1"/>
  <c r="O94" i="69"/>
  <c r="I94" i="69" s="1"/>
  <c r="J94" i="69" s="1"/>
  <c r="H116" i="70"/>
  <c r="I116" i="70" s="1"/>
  <c r="F114" i="69"/>
  <c r="H114" i="69"/>
  <c r="I114" i="69" s="1"/>
  <c r="K14" i="68"/>
  <c r="E110" i="69"/>
  <c r="F110" i="69" s="1"/>
  <c r="F104" i="70"/>
  <c r="H104" i="70"/>
  <c r="I104" i="70" s="1"/>
  <c r="F111" i="70"/>
  <c r="N94" i="70"/>
  <c r="H111" i="70"/>
  <c r="J19" i="69"/>
  <c r="K19" i="69" s="1"/>
  <c r="K25" i="70"/>
  <c r="F107" i="70"/>
  <c r="J21" i="70"/>
  <c r="K21" i="70" s="1"/>
  <c r="H107" i="70"/>
  <c r="I107" i="70" s="1"/>
  <c r="L33" i="69"/>
  <c r="F36" i="71"/>
  <c r="F37" i="71"/>
  <c r="F30" i="71" s="1"/>
  <c r="K32" i="70"/>
  <c r="H115" i="70" l="1"/>
  <c r="I115" i="70" s="1"/>
  <c r="E100" i="69"/>
  <c r="F100" i="69" s="1"/>
  <c r="K37" i="71"/>
  <c r="K14" i="69"/>
  <c r="N95" i="70"/>
  <c r="J14" i="69"/>
  <c r="E110" i="70"/>
  <c r="F110" i="70" s="1"/>
  <c r="L26" i="70"/>
  <c r="L32" i="70"/>
  <c r="L25" i="70"/>
  <c r="L23" i="69"/>
  <c r="L33" i="70"/>
  <c r="F111" i="71"/>
  <c r="N94" i="71"/>
  <c r="H111" i="71"/>
  <c r="K26" i="71"/>
  <c r="D94" i="70"/>
  <c r="E94" i="70" s="1"/>
  <c r="O94" i="70"/>
  <c r="I94" i="70" s="1"/>
  <c r="J94" i="70" s="1"/>
  <c r="F114" i="70"/>
  <c r="H114" i="70"/>
  <c r="I114" i="70" s="1"/>
  <c r="H37" i="71"/>
  <c r="F112" i="71"/>
  <c r="H112" i="71"/>
  <c r="I112" i="71" s="1"/>
  <c r="I111" i="70"/>
  <c r="H110" i="70"/>
  <c r="I110" i="70" s="1"/>
  <c r="F105" i="71"/>
  <c r="J22" i="71"/>
  <c r="K22" i="71" s="1"/>
  <c r="H105" i="71"/>
  <c r="I105" i="71" s="1"/>
  <c r="J21" i="71"/>
  <c r="K21" i="71" s="1"/>
  <c r="F107" i="71"/>
  <c r="H107" i="71"/>
  <c r="I107" i="71" s="1"/>
  <c r="K25" i="71"/>
  <c r="J16" i="71"/>
  <c r="F113" i="70"/>
  <c r="H113" i="70"/>
  <c r="I113" i="70" s="1"/>
  <c r="D95" i="69"/>
  <c r="E95" i="69" s="1"/>
  <c r="O95" i="69"/>
  <c r="I95" i="69" s="1"/>
  <c r="J95" i="69" s="1"/>
  <c r="J30" i="70"/>
  <c r="K30" i="70" s="1"/>
  <c r="I103" i="70"/>
  <c r="H101" i="70"/>
  <c r="F119" i="71"/>
  <c r="H119" i="71"/>
  <c r="I119" i="71" s="1"/>
  <c r="D95" i="70"/>
  <c r="E95" i="70" s="1"/>
  <c r="F106" i="71"/>
  <c r="H106" i="71"/>
  <c r="I106" i="71" s="1"/>
  <c r="J17" i="70"/>
  <c r="K17" i="70" s="1"/>
  <c r="F120" i="71"/>
  <c r="H120" i="71"/>
  <c r="I120" i="71" s="1"/>
  <c r="H110" i="69"/>
  <c r="I110" i="69" s="1"/>
  <c r="J19" i="70"/>
  <c r="K19" i="70" s="1"/>
  <c r="J16" i="70"/>
  <c r="F101" i="70"/>
  <c r="K24" i="70"/>
  <c r="L24" i="69"/>
  <c r="K33" i="71"/>
  <c r="H36" i="71"/>
  <c r="H30" i="70"/>
  <c r="L36" i="70"/>
  <c r="F122" i="71"/>
  <c r="H122" i="71"/>
  <c r="I122" i="71" s="1"/>
  <c r="F108" i="71"/>
  <c r="J20" i="71"/>
  <c r="K20" i="71" s="1"/>
  <c r="H108" i="71"/>
  <c r="I108" i="71" s="1"/>
  <c r="I101" i="69"/>
  <c r="F104" i="71"/>
  <c r="H104" i="71"/>
  <c r="I104" i="71" s="1"/>
  <c r="J23" i="70"/>
  <c r="K23" i="70" s="1"/>
  <c r="F121" i="71"/>
  <c r="H121" i="71"/>
  <c r="I121" i="71" s="1"/>
  <c r="K36" i="71"/>
  <c r="F118" i="71"/>
  <c r="J18" i="71"/>
  <c r="K18" i="71" s="1"/>
  <c r="H118" i="71"/>
  <c r="I118" i="71" s="1"/>
  <c r="E101" i="71"/>
  <c r="F103" i="71"/>
  <c r="H103" i="71"/>
  <c r="H100" i="68"/>
  <c r="I100" i="68" s="1"/>
  <c r="F109" i="71"/>
  <c r="H109" i="71"/>
  <c r="I109" i="71" s="1"/>
  <c r="I30" i="69"/>
  <c r="L30" i="69"/>
  <c r="K31" i="70"/>
  <c r="L31" i="69"/>
  <c r="K32" i="71"/>
  <c r="F36" i="72"/>
  <c r="F37" i="72"/>
  <c r="J17" i="71" l="1"/>
  <c r="J23" i="71"/>
  <c r="N95" i="71"/>
  <c r="J19" i="71"/>
  <c r="K19" i="71" s="1"/>
  <c r="E110" i="71"/>
  <c r="F110" i="71" s="1"/>
  <c r="K17" i="71"/>
  <c r="E100" i="70"/>
  <c r="F100" i="70" s="1"/>
  <c r="L32" i="71"/>
  <c r="L26" i="71"/>
  <c r="L25" i="71"/>
  <c r="F104" i="72"/>
  <c r="H104" i="72"/>
  <c r="I104" i="72" s="1"/>
  <c r="H37" i="72"/>
  <c r="L37" i="71"/>
  <c r="J18" i="72"/>
  <c r="K18" i="72" s="1"/>
  <c r="F118" i="72"/>
  <c r="H118" i="72"/>
  <c r="I118" i="72" s="1"/>
  <c r="K36" i="72"/>
  <c r="J14" i="71"/>
  <c r="K23" i="71"/>
  <c r="L23" i="70"/>
  <c r="F109" i="72"/>
  <c r="H109" i="72"/>
  <c r="I109" i="72" s="1"/>
  <c r="J14" i="70"/>
  <c r="K16" i="70"/>
  <c r="K14" i="70" s="1"/>
  <c r="F116" i="71"/>
  <c r="H116" i="71"/>
  <c r="I116" i="71" s="1"/>
  <c r="F30" i="72"/>
  <c r="N95" i="72"/>
  <c r="L33" i="71"/>
  <c r="K25" i="72"/>
  <c r="K37" i="72"/>
  <c r="F103" i="72"/>
  <c r="E101" i="72"/>
  <c r="H103" i="72"/>
  <c r="F119" i="72"/>
  <c r="H119" i="72"/>
  <c r="I119" i="72" s="1"/>
  <c r="I30" i="70"/>
  <c r="L30" i="70"/>
  <c r="F113" i="71"/>
  <c r="H113" i="71"/>
  <c r="I113" i="71" s="1"/>
  <c r="F107" i="72"/>
  <c r="J21" i="72"/>
  <c r="K21" i="72" s="1"/>
  <c r="H107" i="72"/>
  <c r="I107" i="72" s="1"/>
  <c r="F101" i="71"/>
  <c r="E100" i="71"/>
  <c r="F100" i="71" s="1"/>
  <c r="F108" i="72"/>
  <c r="J20" i="72"/>
  <c r="K20" i="72" s="1"/>
  <c r="H108" i="72"/>
  <c r="I108" i="72" s="1"/>
  <c r="F121" i="72"/>
  <c r="H121" i="72"/>
  <c r="I121" i="72" s="1"/>
  <c r="K31" i="71"/>
  <c r="L31" i="70"/>
  <c r="H36" i="72"/>
  <c r="H30" i="71"/>
  <c r="L36" i="71"/>
  <c r="F114" i="71"/>
  <c r="H114" i="71"/>
  <c r="I114" i="71" s="1"/>
  <c r="F105" i="72"/>
  <c r="J22" i="72"/>
  <c r="K22" i="72" s="1"/>
  <c r="H105" i="72"/>
  <c r="I105" i="72" s="1"/>
  <c r="K26" i="72"/>
  <c r="F111" i="72"/>
  <c r="N94" i="72"/>
  <c r="H111" i="72"/>
  <c r="F115" i="71"/>
  <c r="H115" i="71"/>
  <c r="I115" i="71" s="1"/>
  <c r="F117" i="71"/>
  <c r="H117" i="71"/>
  <c r="I117" i="71" s="1"/>
  <c r="O95" i="70"/>
  <c r="I95" i="70" s="1"/>
  <c r="J95" i="70" s="1"/>
  <c r="F122" i="72"/>
  <c r="H122" i="72"/>
  <c r="I122" i="72" s="1"/>
  <c r="F112" i="72"/>
  <c r="H112" i="72"/>
  <c r="I112" i="72" s="1"/>
  <c r="K24" i="71"/>
  <c r="L24" i="70"/>
  <c r="F106" i="72"/>
  <c r="H106" i="72"/>
  <c r="I106" i="72" s="1"/>
  <c r="J30" i="71"/>
  <c r="K30" i="71" s="1"/>
  <c r="D95" i="71"/>
  <c r="E95" i="71" s="1"/>
  <c r="K33" i="72"/>
  <c r="I111" i="71"/>
  <c r="F120" i="72"/>
  <c r="H120" i="72"/>
  <c r="I120" i="72" s="1"/>
  <c r="H101" i="71"/>
  <c r="I103" i="71"/>
  <c r="H100" i="69"/>
  <c r="I101" i="70"/>
  <c r="H100" i="70"/>
  <c r="I100" i="70" s="1"/>
  <c r="D94" i="71"/>
  <c r="E94" i="71" s="1"/>
  <c r="O94" i="71"/>
  <c r="I94" i="71" s="1"/>
  <c r="J94" i="71" s="1"/>
  <c r="F36" i="73"/>
  <c r="F37" i="73"/>
  <c r="K32" i="72"/>
  <c r="J17" i="72" l="1"/>
  <c r="K17" i="72" s="1"/>
  <c r="J19" i="72"/>
  <c r="K19" i="72" s="1"/>
  <c r="E110" i="72"/>
  <c r="F110" i="72" s="1"/>
  <c r="I100" i="69"/>
  <c r="O95" i="71"/>
  <c r="I95" i="71" s="1"/>
  <c r="J95" i="71" s="1"/>
  <c r="J30" i="72"/>
  <c r="K30" i="72" s="1"/>
  <c r="J16" i="72"/>
  <c r="J14" i="72" s="1"/>
  <c r="L26" i="72"/>
  <c r="L32" i="72"/>
  <c r="D95" i="72"/>
  <c r="E95" i="72" s="1"/>
  <c r="O95" i="72"/>
  <c r="I95" i="72" s="1"/>
  <c r="J95" i="72" s="1"/>
  <c r="K33" i="73"/>
  <c r="L33" i="72"/>
  <c r="F103" i="73"/>
  <c r="E101" i="73"/>
  <c r="H103" i="73"/>
  <c r="H36" i="73"/>
  <c r="H30" i="72"/>
  <c r="L36" i="72"/>
  <c r="F105" i="73"/>
  <c r="J22" i="73"/>
  <c r="K22" i="73" s="1"/>
  <c r="H105" i="73"/>
  <c r="I105" i="73" s="1"/>
  <c r="F30" i="73"/>
  <c r="K24" i="72"/>
  <c r="L24" i="71"/>
  <c r="L23" i="71"/>
  <c r="F107" i="73"/>
  <c r="J21" i="73"/>
  <c r="K21" i="73" s="1"/>
  <c r="H107" i="73"/>
  <c r="I107" i="73" s="1"/>
  <c r="I30" i="71"/>
  <c r="L30" i="71"/>
  <c r="H37" i="73"/>
  <c r="L37" i="72"/>
  <c r="I101" i="71"/>
  <c r="F117" i="72"/>
  <c r="H117" i="72"/>
  <c r="I117" i="72" s="1"/>
  <c r="K37" i="73"/>
  <c r="K16" i="71"/>
  <c r="K14" i="71" s="1"/>
  <c r="F109" i="73"/>
  <c r="H109" i="73"/>
  <c r="I109" i="73" s="1"/>
  <c r="F106" i="73"/>
  <c r="H106" i="73"/>
  <c r="I106" i="73" s="1"/>
  <c r="F111" i="73"/>
  <c r="N94" i="73"/>
  <c r="H111" i="73"/>
  <c r="N95" i="73"/>
  <c r="F113" i="72"/>
  <c r="H113" i="72"/>
  <c r="I113" i="72" s="1"/>
  <c r="K36" i="73"/>
  <c r="F121" i="73"/>
  <c r="H121" i="73"/>
  <c r="I121" i="73" s="1"/>
  <c r="F104" i="73"/>
  <c r="H104" i="73"/>
  <c r="I104" i="73" s="1"/>
  <c r="F118" i="73"/>
  <c r="J18" i="73"/>
  <c r="K18" i="73" s="1"/>
  <c r="H118" i="73"/>
  <c r="I118" i="73" s="1"/>
  <c r="I111" i="72"/>
  <c r="L25" i="72"/>
  <c r="K25" i="73"/>
  <c r="H110" i="71"/>
  <c r="I110" i="71" s="1"/>
  <c r="F120" i="73"/>
  <c r="H120" i="73"/>
  <c r="I120" i="73" s="1"/>
  <c r="K31" i="72"/>
  <c r="L31" i="71"/>
  <c r="I103" i="72"/>
  <c r="H101" i="72"/>
  <c r="D94" i="72"/>
  <c r="E94" i="72" s="1"/>
  <c r="O94" i="72"/>
  <c r="I94" i="72" s="1"/>
  <c r="J94" i="72" s="1"/>
  <c r="F101" i="72"/>
  <c r="E100" i="72"/>
  <c r="F100" i="72" s="1"/>
  <c r="F122" i="73"/>
  <c r="H122" i="73"/>
  <c r="I122" i="73" s="1"/>
  <c r="F119" i="73"/>
  <c r="H119" i="73"/>
  <c r="I119" i="73" s="1"/>
  <c r="F114" i="72"/>
  <c r="H114" i="72"/>
  <c r="I114" i="72" s="1"/>
  <c r="F112" i="73"/>
  <c r="H112" i="73"/>
  <c r="I112" i="73" s="1"/>
  <c r="J19" i="73"/>
  <c r="K19" i="73" s="1"/>
  <c r="K26" i="73"/>
  <c r="F116" i="72"/>
  <c r="H116" i="72"/>
  <c r="I116" i="72" s="1"/>
  <c r="J20" i="73"/>
  <c r="K20" i="73" s="1"/>
  <c r="F108" i="73"/>
  <c r="H108" i="73"/>
  <c r="I108" i="73" s="1"/>
  <c r="F115" i="72"/>
  <c r="H115" i="72"/>
  <c r="I115" i="72" s="1"/>
  <c r="J23" i="72"/>
  <c r="K23" i="72" s="1"/>
  <c r="F36" i="74"/>
  <c r="F37" i="74"/>
  <c r="K32" i="73"/>
  <c r="F30" i="74" l="1"/>
  <c r="K37" i="74"/>
  <c r="K36" i="74"/>
  <c r="E110" i="73"/>
  <c r="F110" i="73" s="1"/>
  <c r="L32" i="73"/>
  <c r="L25" i="73"/>
  <c r="L26" i="73"/>
  <c r="F108" i="74"/>
  <c r="J20" i="74"/>
  <c r="K20" i="74" s="1"/>
  <c r="H108" i="74"/>
  <c r="I108" i="74" s="1"/>
  <c r="J23" i="73"/>
  <c r="K23" i="73" s="1"/>
  <c r="F107" i="74"/>
  <c r="J21" i="74"/>
  <c r="K21" i="74" s="1"/>
  <c r="H107" i="74"/>
  <c r="I107" i="74" s="1"/>
  <c r="F116" i="73"/>
  <c r="H116" i="73"/>
  <c r="I116" i="73" s="1"/>
  <c r="H100" i="71"/>
  <c r="I100" i="71" s="1"/>
  <c r="F112" i="74"/>
  <c r="H112" i="74"/>
  <c r="I112" i="74" s="1"/>
  <c r="F109" i="74"/>
  <c r="H109" i="74"/>
  <c r="I109" i="74" s="1"/>
  <c r="E101" i="74"/>
  <c r="F103" i="74"/>
  <c r="J17" i="74"/>
  <c r="H103" i="74"/>
  <c r="F114" i="73"/>
  <c r="H114" i="73"/>
  <c r="I114" i="73" s="1"/>
  <c r="K31" i="73"/>
  <c r="L31" i="72"/>
  <c r="F118" i="74"/>
  <c r="J18" i="74"/>
  <c r="K18" i="74" s="1"/>
  <c r="H118" i="74"/>
  <c r="I118" i="74" s="1"/>
  <c r="F121" i="74"/>
  <c r="H121" i="74"/>
  <c r="I121" i="74" s="1"/>
  <c r="F115" i="73"/>
  <c r="H115" i="73"/>
  <c r="I115" i="73" s="1"/>
  <c r="L33" i="73"/>
  <c r="F122" i="74"/>
  <c r="H122" i="74"/>
  <c r="I122" i="74" s="1"/>
  <c r="F120" i="74"/>
  <c r="H120" i="74"/>
  <c r="I120" i="74" s="1"/>
  <c r="H110" i="72"/>
  <c r="I110" i="72" s="1"/>
  <c r="I111" i="73"/>
  <c r="F111" i="74"/>
  <c r="N94" i="74"/>
  <c r="H111" i="74"/>
  <c r="L23" i="72"/>
  <c r="I101" i="72"/>
  <c r="I30" i="72"/>
  <c r="L30" i="72"/>
  <c r="J19" i="74"/>
  <c r="K19" i="74" s="1"/>
  <c r="K26" i="74"/>
  <c r="D94" i="73"/>
  <c r="E94" i="73" s="1"/>
  <c r="O94" i="73"/>
  <c r="I94" i="73" s="1"/>
  <c r="J94" i="73" s="1"/>
  <c r="H37" i="74"/>
  <c r="L37" i="73"/>
  <c r="H36" i="74"/>
  <c r="H30" i="73"/>
  <c r="L36" i="73"/>
  <c r="F104" i="74"/>
  <c r="H104" i="74"/>
  <c r="I104" i="74" s="1"/>
  <c r="J30" i="73"/>
  <c r="K30" i="73" s="1"/>
  <c r="F105" i="74"/>
  <c r="J22" i="74"/>
  <c r="K22" i="74" s="1"/>
  <c r="H105" i="74"/>
  <c r="I105" i="74" s="1"/>
  <c r="F117" i="73"/>
  <c r="H117" i="73"/>
  <c r="I117" i="73" s="1"/>
  <c r="K16" i="72"/>
  <c r="K14" i="72" s="1"/>
  <c r="I103" i="73"/>
  <c r="H101" i="73"/>
  <c r="F119" i="74"/>
  <c r="H119" i="74"/>
  <c r="I119" i="74" s="1"/>
  <c r="D95" i="73"/>
  <c r="E95" i="73" s="1"/>
  <c r="O95" i="73"/>
  <c r="I95" i="73" s="1"/>
  <c r="J95" i="73" s="1"/>
  <c r="K25" i="74"/>
  <c r="J16" i="74"/>
  <c r="F113" i="73"/>
  <c r="H113" i="73"/>
  <c r="I113" i="73" s="1"/>
  <c r="K24" i="73"/>
  <c r="L24" i="72"/>
  <c r="K33" i="74"/>
  <c r="J17" i="73"/>
  <c r="K17" i="73" s="1"/>
  <c r="F106" i="74"/>
  <c r="H106" i="74"/>
  <c r="I106" i="74" s="1"/>
  <c r="J16" i="73"/>
  <c r="F101" i="73"/>
  <c r="E100" i="73"/>
  <c r="F100" i="73" s="1"/>
  <c r="K32" i="74"/>
  <c r="F36" i="43"/>
  <c r="F37" i="43"/>
  <c r="K36" i="43" l="1"/>
  <c r="H100" i="72"/>
  <c r="I100" i="72" s="1"/>
  <c r="K37" i="43"/>
  <c r="L23" i="73"/>
  <c r="J14" i="74"/>
  <c r="L32" i="74"/>
  <c r="L25" i="74"/>
  <c r="H101" i="74"/>
  <c r="I103" i="74"/>
  <c r="J14" i="73"/>
  <c r="K16" i="73"/>
  <c r="K14" i="73" s="1"/>
  <c r="I30" i="73"/>
  <c r="L30" i="73"/>
  <c r="I111" i="74"/>
  <c r="L26" i="74"/>
  <c r="F122" i="43"/>
  <c r="H122" i="43"/>
  <c r="I122" i="43" s="1"/>
  <c r="F121" i="43"/>
  <c r="H121" i="43"/>
  <c r="I121" i="43" s="1"/>
  <c r="H36" i="43"/>
  <c r="L36" i="74"/>
  <c r="E110" i="74"/>
  <c r="F110" i="74" s="1"/>
  <c r="J23" i="74"/>
  <c r="K23" i="74" s="1"/>
  <c r="F104" i="43"/>
  <c r="H104" i="43"/>
  <c r="I104" i="43" s="1"/>
  <c r="F114" i="74"/>
  <c r="H114" i="74"/>
  <c r="I114" i="74" s="1"/>
  <c r="L33" i="74"/>
  <c r="F107" i="43"/>
  <c r="J21" i="43"/>
  <c r="K21" i="43" s="1"/>
  <c r="H107" i="43"/>
  <c r="I107" i="43" s="1"/>
  <c r="J17" i="43"/>
  <c r="F120" i="43"/>
  <c r="H120" i="43"/>
  <c r="I120" i="43" s="1"/>
  <c r="D94" i="74"/>
  <c r="E94" i="74" s="1"/>
  <c r="O94" i="74"/>
  <c r="I94" i="74" s="1"/>
  <c r="J94" i="74" s="1"/>
  <c r="F116" i="74"/>
  <c r="H116" i="74"/>
  <c r="I116" i="74" s="1"/>
  <c r="N95" i="74"/>
  <c r="K25" i="43"/>
  <c r="F113" i="74"/>
  <c r="H113" i="74"/>
  <c r="I113" i="74" s="1"/>
  <c r="F101" i="74"/>
  <c r="F103" i="43"/>
  <c r="E101" i="43"/>
  <c r="H103" i="43"/>
  <c r="F111" i="43"/>
  <c r="N94" i="43"/>
  <c r="H111" i="43"/>
  <c r="I101" i="73"/>
  <c r="H37" i="43"/>
  <c r="L37" i="74"/>
  <c r="J30" i="74"/>
  <c r="K30" i="74" s="1"/>
  <c r="F118" i="43"/>
  <c r="J18" i="43"/>
  <c r="K18" i="43" s="1"/>
  <c r="H118" i="43"/>
  <c r="I118" i="43" s="1"/>
  <c r="K17" i="74"/>
  <c r="H110" i="73"/>
  <c r="I110" i="73" s="1"/>
  <c r="K33" i="43"/>
  <c r="H30" i="74"/>
  <c r="F112" i="43"/>
  <c r="H112" i="43"/>
  <c r="I112" i="43" s="1"/>
  <c r="F106" i="43"/>
  <c r="J16" i="43"/>
  <c r="H106" i="43"/>
  <c r="I106" i="43" s="1"/>
  <c r="F30" i="43"/>
  <c r="F115" i="74"/>
  <c r="H115" i="74"/>
  <c r="I115" i="74" s="1"/>
  <c r="J20" i="43"/>
  <c r="K20" i="43" s="1"/>
  <c r="F108" i="43"/>
  <c r="H108" i="43"/>
  <c r="I108" i="43" s="1"/>
  <c r="F109" i="43"/>
  <c r="H109" i="43"/>
  <c r="I109" i="43" s="1"/>
  <c r="F117" i="74"/>
  <c r="H117" i="74"/>
  <c r="I117" i="74" s="1"/>
  <c r="K31" i="74"/>
  <c r="L31" i="73"/>
  <c r="K26" i="43"/>
  <c r="F119" i="43"/>
  <c r="H119" i="43"/>
  <c r="I119" i="43" s="1"/>
  <c r="F105" i="43"/>
  <c r="J22" i="43"/>
  <c r="K22" i="43" s="1"/>
  <c r="H105" i="43"/>
  <c r="I105" i="43" s="1"/>
  <c r="K24" i="74"/>
  <c r="L24" i="73"/>
  <c r="F36" i="44"/>
  <c r="F37" i="44"/>
  <c r="K32" i="43"/>
  <c r="J19" i="43" l="1"/>
  <c r="K19" i="43" s="1"/>
  <c r="K36" i="44"/>
  <c r="E100" i="74"/>
  <c r="F100" i="74" s="1"/>
  <c r="J23" i="43"/>
  <c r="K16" i="74"/>
  <c r="K23" i="43"/>
  <c r="L23" i="74"/>
  <c r="L33" i="43"/>
  <c r="F114" i="43"/>
  <c r="H114" i="43"/>
  <c r="I114" i="43" s="1"/>
  <c r="H36" i="44"/>
  <c r="H30" i="43"/>
  <c r="L36" i="43"/>
  <c r="K17" i="43"/>
  <c r="F116" i="43"/>
  <c r="H116" i="43"/>
  <c r="I116" i="43" s="1"/>
  <c r="K24" i="43"/>
  <c r="L24" i="74"/>
  <c r="K33" i="44"/>
  <c r="L26" i="43"/>
  <c r="I101" i="74"/>
  <c r="F120" i="44"/>
  <c r="H120" i="44"/>
  <c r="I120" i="44" s="1"/>
  <c r="L32" i="43"/>
  <c r="K14" i="74"/>
  <c r="F106" i="44"/>
  <c r="J16" i="44"/>
  <c r="H106" i="44"/>
  <c r="I106" i="44" s="1"/>
  <c r="H37" i="44"/>
  <c r="L37" i="43"/>
  <c r="F113" i="43"/>
  <c r="H113" i="43"/>
  <c r="I113" i="43" s="1"/>
  <c r="K37" i="44"/>
  <c r="F107" i="44"/>
  <c r="J21" i="44"/>
  <c r="K21" i="44" s="1"/>
  <c r="H107" i="44"/>
  <c r="I107" i="44" s="1"/>
  <c r="F119" i="44"/>
  <c r="H119" i="44"/>
  <c r="I119" i="44" s="1"/>
  <c r="F30" i="44"/>
  <c r="J14" i="43"/>
  <c r="K16" i="43"/>
  <c r="H100" i="73"/>
  <c r="I100" i="73" s="1"/>
  <c r="D95" i="74"/>
  <c r="E95" i="74" s="1"/>
  <c r="O95" i="74"/>
  <c r="I95" i="74" s="1"/>
  <c r="J95" i="74" s="1"/>
  <c r="H110" i="74"/>
  <c r="I110" i="74" s="1"/>
  <c r="F118" i="44"/>
  <c r="J18" i="44"/>
  <c r="K18" i="44" s="1"/>
  <c r="H118" i="44"/>
  <c r="I118" i="44" s="1"/>
  <c r="F117" i="43"/>
  <c r="H117" i="43"/>
  <c r="I117" i="43" s="1"/>
  <c r="F111" i="44"/>
  <c r="N94" i="44"/>
  <c r="H111" i="44"/>
  <c r="L25" i="43"/>
  <c r="F105" i="44"/>
  <c r="J22" i="44"/>
  <c r="K22" i="44" s="1"/>
  <c r="H105" i="44"/>
  <c r="I105" i="44" s="1"/>
  <c r="F109" i="44"/>
  <c r="H109" i="44"/>
  <c r="I109" i="44" s="1"/>
  <c r="I111" i="43"/>
  <c r="F108" i="44"/>
  <c r="J20" i="44"/>
  <c r="K20" i="44" s="1"/>
  <c r="H108" i="44"/>
  <c r="I108" i="44" s="1"/>
  <c r="F101" i="43"/>
  <c r="F122" i="44"/>
  <c r="H122" i="44"/>
  <c r="I122" i="44" s="1"/>
  <c r="N95" i="43"/>
  <c r="E110" i="43"/>
  <c r="F110" i="43" s="1"/>
  <c r="K25" i="44"/>
  <c r="F103" i="44"/>
  <c r="E101" i="44"/>
  <c r="H103" i="44"/>
  <c r="F104" i="44"/>
  <c r="H104" i="44"/>
  <c r="I104" i="44" s="1"/>
  <c r="K31" i="43"/>
  <c r="L31" i="74"/>
  <c r="D94" i="43"/>
  <c r="E94" i="43" s="1"/>
  <c r="O94" i="43"/>
  <c r="I94" i="43" s="1"/>
  <c r="J94" i="43" s="1"/>
  <c r="K26" i="44"/>
  <c r="J19" i="44"/>
  <c r="K19" i="44" s="1"/>
  <c r="I30" i="74"/>
  <c r="L30" i="74"/>
  <c r="F121" i="44"/>
  <c r="H121" i="44"/>
  <c r="I121" i="44" s="1"/>
  <c r="J30" i="43"/>
  <c r="K30" i="43" s="1"/>
  <c r="F112" i="44"/>
  <c r="H112" i="44"/>
  <c r="I112" i="44" s="1"/>
  <c r="F115" i="43"/>
  <c r="H115" i="43"/>
  <c r="I115" i="43" s="1"/>
  <c r="H101" i="43"/>
  <c r="I103" i="43"/>
  <c r="F36" i="45"/>
  <c r="F37" i="45"/>
  <c r="K32" i="44"/>
  <c r="H100" i="74" l="1"/>
  <c r="I100" i="74" s="1"/>
  <c r="K36" i="45"/>
  <c r="K14" i="43"/>
  <c r="E100" i="43"/>
  <c r="F100" i="43" s="1"/>
  <c r="J23" i="44"/>
  <c r="L26" i="44"/>
  <c r="L33" i="44"/>
  <c r="F120" i="45"/>
  <c r="H120" i="45"/>
  <c r="I120" i="45" s="1"/>
  <c r="I30" i="43"/>
  <c r="L30" i="43"/>
  <c r="F105" i="45"/>
  <c r="J22" i="45"/>
  <c r="K22" i="45" s="1"/>
  <c r="H105" i="45"/>
  <c r="I105" i="45" s="1"/>
  <c r="F121" i="45"/>
  <c r="H121" i="45"/>
  <c r="I121" i="45" s="1"/>
  <c r="F114" i="44"/>
  <c r="H114" i="44"/>
  <c r="I114" i="44" s="1"/>
  <c r="F119" i="45"/>
  <c r="H119" i="45"/>
  <c r="I119" i="45" s="1"/>
  <c r="I111" i="44"/>
  <c r="F122" i="45"/>
  <c r="H122" i="45"/>
  <c r="I122" i="45" s="1"/>
  <c r="F30" i="45"/>
  <c r="N95" i="44"/>
  <c r="F116" i="44"/>
  <c r="H116" i="44"/>
  <c r="I116" i="44" s="1"/>
  <c r="N95" i="45"/>
  <c r="I103" i="44"/>
  <c r="H101" i="44"/>
  <c r="K37" i="45"/>
  <c r="F104" i="45"/>
  <c r="H104" i="45"/>
  <c r="I104" i="45" s="1"/>
  <c r="J17" i="44"/>
  <c r="J14" i="44" s="1"/>
  <c r="K26" i="45"/>
  <c r="F101" i="44"/>
  <c r="H110" i="43"/>
  <c r="I110" i="43" s="1"/>
  <c r="F115" i="44"/>
  <c r="H115" i="44"/>
  <c r="I115" i="44" s="1"/>
  <c r="F106" i="45"/>
  <c r="H106" i="45"/>
  <c r="I106" i="45" s="1"/>
  <c r="I101" i="43"/>
  <c r="L32" i="44"/>
  <c r="F112" i="45"/>
  <c r="H112" i="45"/>
  <c r="I112" i="45" s="1"/>
  <c r="F109" i="45"/>
  <c r="H109" i="45"/>
  <c r="I109" i="45" s="1"/>
  <c r="K25" i="45"/>
  <c r="J30" i="44"/>
  <c r="K30" i="44" s="1"/>
  <c r="H37" i="45"/>
  <c r="L37" i="44"/>
  <c r="K24" i="44"/>
  <c r="L24" i="43"/>
  <c r="K33" i="45"/>
  <c r="K31" i="44"/>
  <c r="L31" i="43"/>
  <c r="L25" i="44"/>
  <c r="H36" i="45"/>
  <c r="H30" i="44"/>
  <c r="L36" i="44"/>
  <c r="J20" i="45"/>
  <c r="K20" i="45" s="1"/>
  <c r="F108" i="45"/>
  <c r="H108" i="45"/>
  <c r="I108" i="45" s="1"/>
  <c r="F117" i="44"/>
  <c r="H117" i="44"/>
  <c r="I117" i="44" s="1"/>
  <c r="F113" i="44"/>
  <c r="H113" i="44"/>
  <c r="I113" i="44" s="1"/>
  <c r="E110" i="44"/>
  <c r="F110" i="44" s="1"/>
  <c r="J21" i="45"/>
  <c r="K21" i="45" s="1"/>
  <c r="F107" i="45"/>
  <c r="H107" i="45"/>
  <c r="I107" i="45" s="1"/>
  <c r="K16" i="44"/>
  <c r="K23" i="44"/>
  <c r="L23" i="43"/>
  <c r="F111" i="45"/>
  <c r="N94" i="45"/>
  <c r="H111" i="45"/>
  <c r="D94" i="44"/>
  <c r="E94" i="44" s="1"/>
  <c r="O94" i="44"/>
  <c r="I94" i="44" s="1"/>
  <c r="J94" i="44" s="1"/>
  <c r="J18" i="45"/>
  <c r="K18" i="45" s="1"/>
  <c r="F118" i="45"/>
  <c r="H118" i="45"/>
  <c r="I118" i="45" s="1"/>
  <c r="F103" i="45"/>
  <c r="E101" i="45"/>
  <c r="H103" i="45"/>
  <c r="D95" i="43"/>
  <c r="E95" i="43" s="1"/>
  <c r="O95" i="43"/>
  <c r="I95" i="43" s="1"/>
  <c r="J95" i="43" s="1"/>
  <c r="K32" i="45"/>
  <c r="F37" i="46"/>
  <c r="F36" i="46"/>
  <c r="J17" i="45" l="1"/>
  <c r="E100" i="44"/>
  <c r="F100" i="44" s="1"/>
  <c r="J30" i="45"/>
  <c r="K30" i="45"/>
  <c r="J19" i="45"/>
  <c r="K19" i="45" s="1"/>
  <c r="K17" i="44"/>
  <c r="L33" i="45"/>
  <c r="L32" i="45"/>
  <c r="L25" i="45"/>
  <c r="L26" i="45"/>
  <c r="L23" i="44"/>
  <c r="I103" i="45"/>
  <c r="H101" i="45"/>
  <c r="F106" i="46"/>
  <c r="H106" i="46"/>
  <c r="I106" i="46" s="1"/>
  <c r="F101" i="45"/>
  <c r="D95" i="45"/>
  <c r="E95" i="45" s="1"/>
  <c r="N94" i="46"/>
  <c r="F111" i="46"/>
  <c r="H111" i="46"/>
  <c r="K36" i="46"/>
  <c r="F113" i="45"/>
  <c r="H113" i="45"/>
  <c r="I113" i="45" s="1"/>
  <c r="K14" i="44"/>
  <c r="F30" i="46"/>
  <c r="F109" i="46"/>
  <c r="H109" i="46"/>
  <c r="I109" i="46" s="1"/>
  <c r="H110" i="44"/>
  <c r="I110" i="44" s="1"/>
  <c r="F122" i="46"/>
  <c r="H122" i="46"/>
  <c r="I122" i="46" s="1"/>
  <c r="F118" i="46"/>
  <c r="J18" i="46"/>
  <c r="K18" i="46" s="1"/>
  <c r="H118" i="46"/>
  <c r="I118" i="46" s="1"/>
  <c r="F105" i="46"/>
  <c r="J22" i="46"/>
  <c r="K22" i="46" s="1"/>
  <c r="H105" i="46"/>
  <c r="I105" i="46" s="1"/>
  <c r="J23" i="45"/>
  <c r="K23" i="45" s="1"/>
  <c r="K31" i="45"/>
  <c r="L31" i="44"/>
  <c r="H36" i="46"/>
  <c r="H30" i="45"/>
  <c r="L36" i="45"/>
  <c r="F117" i="45"/>
  <c r="H117" i="45"/>
  <c r="I117" i="45" s="1"/>
  <c r="N95" i="46"/>
  <c r="F116" i="45"/>
  <c r="H116" i="45"/>
  <c r="I116" i="45" s="1"/>
  <c r="F115" i="45"/>
  <c r="H115" i="45"/>
  <c r="I115" i="45" s="1"/>
  <c r="K37" i="46"/>
  <c r="H37" i="46"/>
  <c r="L37" i="45"/>
  <c r="F104" i="46"/>
  <c r="H104" i="46"/>
  <c r="I104" i="46" s="1"/>
  <c r="H100" i="43"/>
  <c r="I100" i="43" s="1"/>
  <c r="I101" i="44"/>
  <c r="F103" i="46"/>
  <c r="E101" i="46"/>
  <c r="H103" i="46"/>
  <c r="F120" i="46"/>
  <c r="H120" i="46"/>
  <c r="I120" i="46" s="1"/>
  <c r="D95" i="44"/>
  <c r="E95" i="44" s="1"/>
  <c r="O95" i="44"/>
  <c r="I95" i="44" s="1"/>
  <c r="J95" i="44" s="1"/>
  <c r="K26" i="46"/>
  <c r="J20" i="46"/>
  <c r="K20" i="46" s="1"/>
  <c r="F108" i="46"/>
  <c r="H108" i="46"/>
  <c r="I108" i="46" s="1"/>
  <c r="D94" i="45"/>
  <c r="E94" i="45" s="1"/>
  <c r="O94" i="45"/>
  <c r="I94" i="45" s="1"/>
  <c r="J94" i="45" s="1"/>
  <c r="F121" i="46"/>
  <c r="H121" i="46"/>
  <c r="I121" i="46" s="1"/>
  <c r="K33" i="46"/>
  <c r="I30" i="44"/>
  <c r="L30" i="44"/>
  <c r="F119" i="46"/>
  <c r="H119" i="46"/>
  <c r="I119" i="46" s="1"/>
  <c r="F112" i="46"/>
  <c r="H112" i="46"/>
  <c r="I112" i="46" s="1"/>
  <c r="I111" i="45"/>
  <c r="K24" i="45"/>
  <c r="L24" i="44"/>
  <c r="J16" i="45"/>
  <c r="F114" i="45"/>
  <c r="H114" i="45"/>
  <c r="I114" i="45" s="1"/>
  <c r="F107" i="46"/>
  <c r="J21" i="46"/>
  <c r="K21" i="46" s="1"/>
  <c r="H107" i="46"/>
  <c r="I107" i="46" s="1"/>
  <c r="K25" i="46"/>
  <c r="E110" i="45"/>
  <c r="F110" i="45" s="1"/>
  <c r="K32" i="46"/>
  <c r="F36" i="47"/>
  <c r="F37" i="47"/>
  <c r="K17" i="45" l="1"/>
  <c r="K36" i="47"/>
  <c r="H100" i="44"/>
  <c r="I100" i="44" s="1"/>
  <c r="L26" i="46"/>
  <c r="L25" i="46"/>
  <c r="L33" i="46"/>
  <c r="L32" i="46"/>
  <c r="L23" i="45"/>
  <c r="K25" i="47"/>
  <c r="D95" i="46"/>
  <c r="E95" i="46" s="1"/>
  <c r="F117" i="46"/>
  <c r="H117" i="46"/>
  <c r="I117" i="46" s="1"/>
  <c r="H37" i="47"/>
  <c r="L37" i="46"/>
  <c r="F120" i="47"/>
  <c r="H120" i="47"/>
  <c r="I120" i="47" s="1"/>
  <c r="F115" i="46"/>
  <c r="H115" i="46"/>
  <c r="I115" i="46" s="1"/>
  <c r="F101" i="46"/>
  <c r="F114" i="46"/>
  <c r="H114" i="46"/>
  <c r="I114" i="46" s="1"/>
  <c r="F112" i="47"/>
  <c r="H112" i="47"/>
  <c r="I112" i="47" s="1"/>
  <c r="J20" i="47"/>
  <c r="K20" i="47" s="1"/>
  <c r="F108" i="47"/>
  <c r="H108" i="47"/>
  <c r="I108" i="47" s="1"/>
  <c r="F113" i="46"/>
  <c r="H113" i="46"/>
  <c r="I113" i="46" s="1"/>
  <c r="K37" i="47"/>
  <c r="I111" i="46"/>
  <c r="F107" i="47"/>
  <c r="J21" i="47"/>
  <c r="K21" i="47" s="1"/>
  <c r="H107" i="47"/>
  <c r="I107" i="47" s="1"/>
  <c r="F103" i="47"/>
  <c r="E101" i="47"/>
  <c r="H103" i="47"/>
  <c r="D94" i="46"/>
  <c r="E94" i="46" s="1"/>
  <c r="O94" i="46"/>
  <c r="I94" i="46" s="1"/>
  <c r="J94" i="46" s="1"/>
  <c r="F30" i="47"/>
  <c r="I103" i="46"/>
  <c r="H101" i="46"/>
  <c r="O95" i="45"/>
  <c r="I95" i="45" s="1"/>
  <c r="J95" i="45" s="1"/>
  <c r="K33" i="47"/>
  <c r="J17" i="47"/>
  <c r="J30" i="46"/>
  <c r="K30" i="46" s="1"/>
  <c r="J17" i="46"/>
  <c r="K17" i="46" s="1"/>
  <c r="E100" i="45"/>
  <c r="F100" i="45" s="1"/>
  <c r="N94" i="47"/>
  <c r="F111" i="47"/>
  <c r="H111" i="47"/>
  <c r="F106" i="47"/>
  <c r="H106" i="47"/>
  <c r="I106" i="47" s="1"/>
  <c r="F109" i="47"/>
  <c r="H109" i="47"/>
  <c r="I109" i="47" s="1"/>
  <c r="F121" i="47"/>
  <c r="H121" i="47"/>
  <c r="I121" i="47" s="1"/>
  <c r="E110" i="46"/>
  <c r="F110" i="46" s="1"/>
  <c r="F122" i="47"/>
  <c r="H122" i="47"/>
  <c r="I122" i="47" s="1"/>
  <c r="J14" i="45"/>
  <c r="K16" i="45"/>
  <c r="K14" i="45" s="1"/>
  <c r="J16" i="46"/>
  <c r="K31" i="46"/>
  <c r="L31" i="45"/>
  <c r="F105" i="47"/>
  <c r="J22" i="47"/>
  <c r="K22" i="47" s="1"/>
  <c r="H105" i="47"/>
  <c r="I105" i="47" s="1"/>
  <c r="I30" i="45"/>
  <c r="L30" i="45"/>
  <c r="F118" i="47"/>
  <c r="J18" i="47"/>
  <c r="K18" i="47" s="1"/>
  <c r="H118" i="47"/>
  <c r="I118" i="47" s="1"/>
  <c r="F119" i="47"/>
  <c r="H119" i="47"/>
  <c r="I119" i="47" s="1"/>
  <c r="K24" i="46"/>
  <c r="L24" i="45"/>
  <c r="H36" i="47"/>
  <c r="H30" i="46"/>
  <c r="L36" i="46"/>
  <c r="J23" i="46"/>
  <c r="K23" i="46" s="1"/>
  <c r="F104" i="47"/>
  <c r="H104" i="47"/>
  <c r="I104" i="47" s="1"/>
  <c r="H110" i="45"/>
  <c r="I110" i="45" s="1"/>
  <c r="J19" i="46"/>
  <c r="K19" i="46" s="1"/>
  <c r="F116" i="46"/>
  <c r="H116" i="46"/>
  <c r="I116" i="46" s="1"/>
  <c r="K26" i="47"/>
  <c r="I101" i="45"/>
  <c r="K32" i="47"/>
  <c r="F37" i="48"/>
  <c r="F36" i="48"/>
  <c r="N95" i="47" l="1"/>
  <c r="J19" i="47"/>
  <c r="K19" i="47" s="1"/>
  <c r="E100" i="46"/>
  <c r="F100" i="46" s="1"/>
  <c r="J30" i="47"/>
  <c r="K30" i="47" s="1"/>
  <c r="H100" i="45"/>
  <c r="I100" i="45" s="1"/>
  <c r="L25" i="47"/>
  <c r="L26" i="47"/>
  <c r="L33" i="47"/>
  <c r="L32" i="47"/>
  <c r="F103" i="48"/>
  <c r="E101" i="48"/>
  <c r="H103" i="48"/>
  <c r="F114" i="47"/>
  <c r="H114" i="47"/>
  <c r="I114" i="47" s="1"/>
  <c r="F101" i="47"/>
  <c r="F113" i="47"/>
  <c r="H113" i="47"/>
  <c r="I113" i="47" s="1"/>
  <c r="F109" i="48"/>
  <c r="H109" i="48"/>
  <c r="I109" i="48" s="1"/>
  <c r="F115" i="47"/>
  <c r="H115" i="47"/>
  <c r="I115" i="47" s="1"/>
  <c r="H110" i="46"/>
  <c r="I110" i="46" s="1"/>
  <c r="F106" i="48"/>
  <c r="H106" i="48"/>
  <c r="I106" i="48" s="1"/>
  <c r="F122" i="48"/>
  <c r="H122" i="48"/>
  <c r="I122" i="48" s="1"/>
  <c r="F105" i="48"/>
  <c r="J22" i="48"/>
  <c r="K22" i="48" s="1"/>
  <c r="H105" i="48"/>
  <c r="I105" i="48" s="1"/>
  <c r="I101" i="46"/>
  <c r="K37" i="48"/>
  <c r="K36" i="48"/>
  <c r="J21" i="48"/>
  <c r="K21" i="48" s="1"/>
  <c r="F107" i="48"/>
  <c r="H107" i="48"/>
  <c r="I107" i="48" s="1"/>
  <c r="K24" i="47"/>
  <c r="L24" i="46"/>
  <c r="K17" i="47"/>
  <c r="F120" i="48"/>
  <c r="H120" i="48"/>
  <c r="I120" i="48" s="1"/>
  <c r="F104" i="48"/>
  <c r="H104" i="48"/>
  <c r="I104" i="48" s="1"/>
  <c r="J16" i="47"/>
  <c r="F108" i="48"/>
  <c r="J20" i="48"/>
  <c r="K20" i="48" s="1"/>
  <c r="H108" i="48"/>
  <c r="I108" i="48" s="1"/>
  <c r="F119" i="48"/>
  <c r="H119" i="48"/>
  <c r="I119" i="48" s="1"/>
  <c r="K26" i="48"/>
  <c r="H37" i="48"/>
  <c r="L37" i="47"/>
  <c r="J14" i="46"/>
  <c r="K16" i="46"/>
  <c r="K14" i="46" s="1"/>
  <c r="D94" i="47"/>
  <c r="E94" i="47" s="1"/>
  <c r="O94" i="47"/>
  <c r="I94" i="47" s="1"/>
  <c r="J94" i="47" s="1"/>
  <c r="H101" i="47"/>
  <c r="I103" i="47"/>
  <c r="D95" i="47"/>
  <c r="E95" i="47" s="1"/>
  <c r="F121" i="48"/>
  <c r="H121" i="48"/>
  <c r="I121" i="48" s="1"/>
  <c r="F118" i="48"/>
  <c r="J18" i="48"/>
  <c r="K18" i="48" s="1"/>
  <c r="H118" i="48"/>
  <c r="I118" i="48" s="1"/>
  <c r="F112" i="48"/>
  <c r="H112" i="48"/>
  <c r="I112" i="48" s="1"/>
  <c r="I111" i="47"/>
  <c r="K33" i="48"/>
  <c r="F117" i="47"/>
  <c r="H117" i="47"/>
  <c r="I117" i="47" s="1"/>
  <c r="F116" i="47"/>
  <c r="H116" i="47"/>
  <c r="I116" i="47" s="1"/>
  <c r="L23" i="46"/>
  <c r="J23" i="47"/>
  <c r="K23" i="47" s="1"/>
  <c r="F30" i="48"/>
  <c r="K25" i="48"/>
  <c r="I30" i="46"/>
  <c r="L30" i="46"/>
  <c r="E110" i="47"/>
  <c r="F110" i="47" s="1"/>
  <c r="N94" i="48"/>
  <c r="F111" i="48"/>
  <c r="H111" i="48"/>
  <c r="H36" i="48"/>
  <c r="H30" i="47"/>
  <c r="L36" i="47"/>
  <c r="K31" i="47"/>
  <c r="L31" i="46"/>
  <c r="O95" i="46"/>
  <c r="I95" i="46" s="1"/>
  <c r="J95" i="46" s="1"/>
  <c r="F36" i="49"/>
  <c r="F37" i="49"/>
  <c r="K32" i="48"/>
  <c r="J17" i="48" l="1"/>
  <c r="N95" i="48"/>
  <c r="J19" i="48"/>
  <c r="K19" i="48" s="1"/>
  <c r="K36" i="49"/>
  <c r="F30" i="49"/>
  <c r="J30" i="48"/>
  <c r="K30" i="48" s="1"/>
  <c r="L33" i="48"/>
  <c r="L23" i="47"/>
  <c r="L25" i="48"/>
  <c r="L26" i="48"/>
  <c r="L32" i="48"/>
  <c r="F106" i="49"/>
  <c r="J16" i="49"/>
  <c r="H106" i="49"/>
  <c r="I106" i="49" s="1"/>
  <c r="H36" i="49"/>
  <c r="H30" i="48"/>
  <c r="L36" i="48"/>
  <c r="O95" i="47"/>
  <c r="I95" i="47" s="1"/>
  <c r="J95" i="47" s="1"/>
  <c r="F113" i="48"/>
  <c r="H113" i="48"/>
  <c r="I113" i="48" s="1"/>
  <c r="K33" i="49"/>
  <c r="F121" i="49"/>
  <c r="H121" i="49"/>
  <c r="I121" i="49" s="1"/>
  <c r="J16" i="48"/>
  <c r="F105" i="49"/>
  <c r="J22" i="49"/>
  <c r="K22" i="49" s="1"/>
  <c r="H105" i="49"/>
  <c r="I105" i="49" s="1"/>
  <c r="I30" i="47"/>
  <c r="L30" i="47"/>
  <c r="E101" i="49"/>
  <c r="F103" i="49"/>
  <c r="H103" i="49"/>
  <c r="F104" i="49"/>
  <c r="H104" i="49"/>
  <c r="I104" i="49" s="1"/>
  <c r="I111" i="48"/>
  <c r="J14" i="47"/>
  <c r="K16" i="47"/>
  <c r="K14" i="47" s="1"/>
  <c r="K37" i="49"/>
  <c r="K26" i="49"/>
  <c r="E110" i="48"/>
  <c r="F110" i="48" s="1"/>
  <c r="H100" i="46"/>
  <c r="I100" i="46" s="1"/>
  <c r="F114" i="48"/>
  <c r="H114" i="48"/>
  <c r="I114" i="48" s="1"/>
  <c r="F118" i="49"/>
  <c r="J18" i="49"/>
  <c r="K18" i="49" s="1"/>
  <c r="H118" i="49"/>
  <c r="I118" i="49" s="1"/>
  <c r="F119" i="49"/>
  <c r="H119" i="49"/>
  <c r="I119" i="49" s="1"/>
  <c r="I101" i="47"/>
  <c r="F109" i="49"/>
  <c r="H109" i="49"/>
  <c r="I109" i="49" s="1"/>
  <c r="F112" i="49"/>
  <c r="H112" i="49"/>
  <c r="I112" i="49" s="1"/>
  <c r="D94" i="48"/>
  <c r="E94" i="48" s="1"/>
  <c r="O94" i="48"/>
  <c r="I94" i="48" s="1"/>
  <c r="J94" i="48" s="1"/>
  <c r="D95" i="48"/>
  <c r="E95" i="48" s="1"/>
  <c r="O95" i="48"/>
  <c r="I95" i="48" s="1"/>
  <c r="J95" i="48" s="1"/>
  <c r="H37" i="49"/>
  <c r="L37" i="48"/>
  <c r="I103" i="48"/>
  <c r="H101" i="48"/>
  <c r="K25" i="49"/>
  <c r="F115" i="48"/>
  <c r="H115" i="48"/>
  <c r="I115" i="48" s="1"/>
  <c r="E100" i="47"/>
  <c r="F100" i="47" s="1"/>
  <c r="F122" i="49"/>
  <c r="H122" i="49"/>
  <c r="I122" i="49" s="1"/>
  <c r="H110" i="47"/>
  <c r="I110" i="47" s="1"/>
  <c r="F117" i="48"/>
  <c r="H117" i="48"/>
  <c r="I117" i="48" s="1"/>
  <c r="K24" i="48"/>
  <c r="L24" i="47"/>
  <c r="F101" i="48"/>
  <c r="J21" i="49"/>
  <c r="K21" i="49" s="1"/>
  <c r="F107" i="49"/>
  <c r="H107" i="49"/>
  <c r="I107" i="49" s="1"/>
  <c r="F116" i="48"/>
  <c r="H116" i="48"/>
  <c r="I116" i="48" s="1"/>
  <c r="F108" i="49"/>
  <c r="J20" i="49"/>
  <c r="K20" i="49" s="1"/>
  <c r="H108" i="49"/>
  <c r="I108" i="49" s="1"/>
  <c r="F120" i="49"/>
  <c r="H120" i="49"/>
  <c r="I120" i="49" s="1"/>
  <c r="K31" i="48"/>
  <c r="L31" i="47"/>
  <c r="J23" i="48"/>
  <c r="K23" i="48" s="1"/>
  <c r="N94" i="49"/>
  <c r="F111" i="49"/>
  <c r="H111" i="49"/>
  <c r="K17" i="48"/>
  <c r="K32" i="49"/>
  <c r="F37" i="50"/>
  <c r="F36" i="50"/>
  <c r="J17" i="49" l="1"/>
  <c r="K17" i="49" s="1"/>
  <c r="E110" i="49"/>
  <c r="F110" i="49" s="1"/>
  <c r="H100" i="47"/>
  <c r="I100" i="47" s="1"/>
  <c r="K36" i="50"/>
  <c r="E100" i="48"/>
  <c r="F100" i="48" s="1"/>
  <c r="L33" i="49"/>
  <c r="L25" i="49"/>
  <c r="L23" i="48"/>
  <c r="I111" i="49"/>
  <c r="J16" i="50"/>
  <c r="K25" i="50"/>
  <c r="F118" i="50"/>
  <c r="J18" i="50"/>
  <c r="K18" i="50" s="1"/>
  <c r="H118" i="50"/>
  <c r="I118" i="50" s="1"/>
  <c r="K36" i="52"/>
  <c r="J14" i="48"/>
  <c r="K16" i="48"/>
  <c r="K14" i="48" s="1"/>
  <c r="J20" i="50"/>
  <c r="K20" i="50" s="1"/>
  <c r="F108" i="50"/>
  <c r="H108" i="50"/>
  <c r="I108" i="50" s="1"/>
  <c r="K26" i="50"/>
  <c r="F120" i="50"/>
  <c r="H120" i="50"/>
  <c r="I120" i="50" s="1"/>
  <c r="F107" i="50"/>
  <c r="J21" i="50"/>
  <c r="K21" i="50" s="1"/>
  <c r="H107" i="50"/>
  <c r="I107" i="50" s="1"/>
  <c r="I103" i="49"/>
  <c r="H101" i="49"/>
  <c r="F105" i="50"/>
  <c r="J22" i="50"/>
  <c r="K22" i="50" s="1"/>
  <c r="H105" i="50"/>
  <c r="I105" i="50" s="1"/>
  <c r="H110" i="48"/>
  <c r="I110" i="48" s="1"/>
  <c r="F113" i="49"/>
  <c r="H113" i="49"/>
  <c r="I113" i="49" s="1"/>
  <c r="F115" i="49"/>
  <c r="H115" i="49"/>
  <c r="I115" i="49" s="1"/>
  <c r="E101" i="50"/>
  <c r="F103" i="50"/>
  <c r="H103" i="50"/>
  <c r="J30" i="49"/>
  <c r="K30" i="49" s="1"/>
  <c r="H37" i="50"/>
  <c r="L37" i="49"/>
  <c r="F121" i="50"/>
  <c r="H121" i="50"/>
  <c r="I121" i="50" s="1"/>
  <c r="K31" i="49"/>
  <c r="L31" i="48"/>
  <c r="K24" i="49"/>
  <c r="L24" i="48"/>
  <c r="F101" i="49"/>
  <c r="E100" i="49"/>
  <c r="F100" i="49" s="1"/>
  <c r="L26" i="49"/>
  <c r="F119" i="50"/>
  <c r="H119" i="50"/>
  <c r="I119" i="50" s="1"/>
  <c r="J23" i="49"/>
  <c r="K23" i="49" s="1"/>
  <c r="F122" i="50"/>
  <c r="H122" i="50"/>
  <c r="I122" i="50" s="1"/>
  <c r="F111" i="50"/>
  <c r="N94" i="50"/>
  <c r="H111" i="50"/>
  <c r="F116" i="49"/>
  <c r="H116" i="49"/>
  <c r="I116" i="49" s="1"/>
  <c r="I30" i="48"/>
  <c r="L30" i="48"/>
  <c r="F109" i="50"/>
  <c r="H109" i="50"/>
  <c r="I109" i="50" s="1"/>
  <c r="J19" i="49"/>
  <c r="J14" i="49" s="1"/>
  <c r="L32" i="49"/>
  <c r="H36" i="50"/>
  <c r="H30" i="49"/>
  <c r="L36" i="49"/>
  <c r="F104" i="50"/>
  <c r="H104" i="50"/>
  <c r="I104" i="50" s="1"/>
  <c r="D94" i="49"/>
  <c r="E94" i="49" s="1"/>
  <c r="O94" i="49"/>
  <c r="I94" i="49" s="1"/>
  <c r="J94" i="49" s="1"/>
  <c r="I101" i="48"/>
  <c r="F30" i="50"/>
  <c r="K33" i="50"/>
  <c r="F114" i="49"/>
  <c r="H114" i="49"/>
  <c r="I114" i="49" s="1"/>
  <c r="F117" i="49"/>
  <c r="H117" i="49"/>
  <c r="I117" i="49" s="1"/>
  <c r="F112" i="50"/>
  <c r="H112" i="50"/>
  <c r="I112" i="50" s="1"/>
  <c r="F106" i="50"/>
  <c r="H106" i="50"/>
  <c r="I106" i="50" s="1"/>
  <c r="N95" i="49"/>
  <c r="K37" i="50"/>
  <c r="F37" i="52"/>
  <c r="F36" i="52"/>
  <c r="K32" i="50"/>
  <c r="J17" i="50" l="1"/>
  <c r="K17" i="50" s="1"/>
  <c r="F30" i="52"/>
  <c r="H121" i="52"/>
  <c r="H122" i="52"/>
  <c r="H100" i="48"/>
  <c r="I100" i="48" s="1"/>
  <c r="L25" i="50"/>
  <c r="L23" i="49"/>
  <c r="L26" i="50"/>
  <c r="I101" i="49"/>
  <c r="K33" i="52"/>
  <c r="L33" i="50"/>
  <c r="F101" i="50"/>
  <c r="J16" i="52"/>
  <c r="K25" i="52"/>
  <c r="F104" i="52"/>
  <c r="H104" i="52"/>
  <c r="I104" i="52" s="1"/>
  <c r="J18" i="52"/>
  <c r="K18" i="52" s="1"/>
  <c r="H118" i="52"/>
  <c r="K24" i="50"/>
  <c r="L24" i="49"/>
  <c r="F113" i="50"/>
  <c r="H113" i="50"/>
  <c r="I113" i="50" s="1"/>
  <c r="H119" i="52"/>
  <c r="H110" i="49"/>
  <c r="I110" i="49" s="1"/>
  <c r="F105" i="52"/>
  <c r="J22" i="52"/>
  <c r="K22" i="52" s="1"/>
  <c r="H105" i="52"/>
  <c r="I105" i="52" s="1"/>
  <c r="L32" i="50"/>
  <c r="N94" i="52"/>
  <c r="H111" i="52"/>
  <c r="I111" i="50"/>
  <c r="K31" i="50"/>
  <c r="L31" i="49"/>
  <c r="F117" i="50"/>
  <c r="H117" i="50"/>
  <c r="I117" i="50" s="1"/>
  <c r="F115" i="50"/>
  <c r="H115" i="50"/>
  <c r="I115" i="50" s="1"/>
  <c r="K37" i="52"/>
  <c r="J30" i="50"/>
  <c r="K30" i="50" s="1"/>
  <c r="D95" i="49"/>
  <c r="E95" i="49" s="1"/>
  <c r="O95" i="49"/>
  <c r="I95" i="49" s="1"/>
  <c r="J95" i="49" s="1"/>
  <c r="F108" i="52"/>
  <c r="J20" i="52"/>
  <c r="K20" i="52" s="1"/>
  <c r="H108" i="52"/>
  <c r="I108" i="52" s="1"/>
  <c r="E110" i="50"/>
  <c r="F110" i="50" s="1"/>
  <c r="F114" i="50"/>
  <c r="H114" i="50"/>
  <c r="I114" i="50" s="1"/>
  <c r="H112" i="52"/>
  <c r="K26" i="52"/>
  <c r="N95" i="50"/>
  <c r="J19" i="50"/>
  <c r="J14" i="50" s="1"/>
  <c r="D94" i="50"/>
  <c r="E94" i="50" s="1"/>
  <c r="O94" i="50"/>
  <c r="I94" i="50" s="1"/>
  <c r="J94" i="50" s="1"/>
  <c r="H120" i="52"/>
  <c r="K19" i="49"/>
  <c r="I103" i="50"/>
  <c r="H101" i="50"/>
  <c r="F106" i="52"/>
  <c r="H106" i="52"/>
  <c r="I106" i="52" s="1"/>
  <c r="F103" i="52"/>
  <c r="E101" i="52"/>
  <c r="H103" i="52"/>
  <c r="F109" i="52"/>
  <c r="H109" i="52"/>
  <c r="I109" i="52" s="1"/>
  <c r="J23" i="50"/>
  <c r="K23" i="50" s="1"/>
  <c r="I30" i="49"/>
  <c r="L30" i="49"/>
  <c r="H37" i="52"/>
  <c r="L37" i="50"/>
  <c r="K16" i="49"/>
  <c r="F107" i="52"/>
  <c r="J21" i="52"/>
  <c r="K21" i="52" s="1"/>
  <c r="H107" i="52"/>
  <c r="I107" i="52" s="1"/>
  <c r="F116" i="50"/>
  <c r="H116" i="50"/>
  <c r="I116" i="50" s="1"/>
  <c r="H36" i="52"/>
  <c r="H30" i="50"/>
  <c r="L36" i="50"/>
  <c r="K32" i="52"/>
  <c r="F119" i="78"/>
  <c r="F114" i="78"/>
  <c r="H117" i="52" l="1"/>
  <c r="K14" i="49"/>
  <c r="H116" i="52"/>
  <c r="H114" i="52"/>
  <c r="H114" i="78" s="1"/>
  <c r="I114" i="78" s="1"/>
  <c r="K16" i="50"/>
  <c r="K19" i="50"/>
  <c r="N95" i="52"/>
  <c r="D95" i="52" s="1"/>
  <c r="E95" i="52" s="1"/>
  <c r="L32" i="52"/>
  <c r="L23" i="50"/>
  <c r="L26" i="52"/>
  <c r="F118" i="78"/>
  <c r="J18" i="78"/>
  <c r="K18" i="78" s="1"/>
  <c r="J30" i="52"/>
  <c r="K30" i="52" s="1"/>
  <c r="I101" i="50"/>
  <c r="H100" i="50"/>
  <c r="I100" i="50" s="1"/>
  <c r="H100" i="49"/>
  <c r="I100" i="49" s="1"/>
  <c r="F112" i="78"/>
  <c r="H112" i="78"/>
  <c r="I112" i="78" s="1"/>
  <c r="F116" i="78"/>
  <c r="H110" i="50"/>
  <c r="I110" i="50" s="1"/>
  <c r="H118" i="78"/>
  <c r="I118" i="78" s="1"/>
  <c r="E110" i="52"/>
  <c r="F110" i="52" s="1"/>
  <c r="F120" i="78"/>
  <c r="D94" i="52"/>
  <c r="E94" i="52" s="1"/>
  <c r="O94" i="52"/>
  <c r="I94" i="52" s="1"/>
  <c r="J94" i="52" s="1"/>
  <c r="I30" i="50"/>
  <c r="L30" i="50"/>
  <c r="I103" i="52"/>
  <c r="H101" i="52"/>
  <c r="J19" i="52"/>
  <c r="K19" i="52" s="1"/>
  <c r="J23" i="52"/>
  <c r="K23" i="52" s="1"/>
  <c r="K24" i="52"/>
  <c r="L24" i="50"/>
  <c r="F37" i="78"/>
  <c r="H37" i="78" s="1"/>
  <c r="H30" i="52"/>
  <c r="L36" i="52"/>
  <c r="J17" i="52"/>
  <c r="K17" i="52" s="1"/>
  <c r="H119" i="78"/>
  <c r="I119" i="78" s="1"/>
  <c r="L33" i="52"/>
  <c r="F115" i="78"/>
  <c r="K33" i="78"/>
  <c r="L33" i="78" s="1"/>
  <c r="F113" i="78"/>
  <c r="K25" i="78"/>
  <c r="L25" i="78" s="1"/>
  <c r="F101" i="52"/>
  <c r="D95" i="50"/>
  <c r="E95" i="50" s="1"/>
  <c r="O95" i="50"/>
  <c r="I95" i="50" s="1"/>
  <c r="J95" i="50" s="1"/>
  <c r="J20" i="78"/>
  <c r="K20" i="78" s="1"/>
  <c r="F108" i="78"/>
  <c r="H108" i="78"/>
  <c r="I108" i="78" s="1"/>
  <c r="H113" i="52"/>
  <c r="H111" i="78"/>
  <c r="L37" i="52"/>
  <c r="K31" i="52"/>
  <c r="L31" i="50"/>
  <c r="K26" i="78"/>
  <c r="L26" i="78" s="1"/>
  <c r="H115" i="52"/>
  <c r="E100" i="50"/>
  <c r="F100" i="50" s="1"/>
  <c r="K16" i="52"/>
  <c r="L25" i="52"/>
  <c r="K37" i="78" l="1"/>
  <c r="H113" i="78"/>
  <c r="I113" i="78" s="1"/>
  <c r="H120" i="78"/>
  <c r="I120" i="78" s="1"/>
  <c r="E100" i="52"/>
  <c r="F100" i="52" s="1"/>
  <c r="K14" i="50"/>
  <c r="H115" i="78"/>
  <c r="I115" i="78" s="1"/>
  <c r="L37" i="78"/>
  <c r="L23" i="52"/>
  <c r="I111" i="78"/>
  <c r="F109" i="78"/>
  <c r="H109" i="78"/>
  <c r="I109" i="78" s="1"/>
  <c r="F121" i="78"/>
  <c r="H121" i="78"/>
  <c r="I121" i="78" s="1"/>
  <c r="H110" i="52"/>
  <c r="I110" i="52" s="1"/>
  <c r="F105" i="78"/>
  <c r="J22" i="78"/>
  <c r="K22" i="78" s="1"/>
  <c r="H105" i="78"/>
  <c r="I105" i="78" s="1"/>
  <c r="O95" i="52"/>
  <c r="I95" i="52" s="1"/>
  <c r="J95" i="52" s="1"/>
  <c r="I30" i="52"/>
  <c r="L30" i="52"/>
  <c r="H116" i="78"/>
  <c r="I116" i="78" s="1"/>
  <c r="I101" i="52"/>
  <c r="F117" i="78"/>
  <c r="H117" i="78"/>
  <c r="I117" i="78" s="1"/>
  <c r="J21" i="78"/>
  <c r="K21" i="78" s="1"/>
  <c r="F107" i="78"/>
  <c r="H107" i="78"/>
  <c r="I107" i="78" s="1"/>
  <c r="F122" i="78"/>
  <c r="H122" i="78"/>
  <c r="I122" i="78" s="1"/>
  <c r="J23" i="78"/>
  <c r="K23" i="78" s="1"/>
  <c r="L23" i="78" s="1"/>
  <c r="K24" i="78"/>
  <c r="L24" i="78" s="1"/>
  <c r="L24" i="52"/>
  <c r="F104" i="78"/>
  <c r="J19" i="78"/>
  <c r="K19" i="78" s="1"/>
  <c r="H104" i="78"/>
  <c r="I104" i="78" s="1"/>
  <c r="K14" i="52"/>
  <c r="F36" i="78"/>
  <c r="K36" i="78"/>
  <c r="J14" i="52"/>
  <c r="F106" i="78"/>
  <c r="J16" i="78"/>
  <c r="H106" i="78"/>
  <c r="I106" i="78" s="1"/>
  <c r="F103" i="78"/>
  <c r="J17" i="78"/>
  <c r="K17" i="78" s="1"/>
  <c r="E101" i="78"/>
  <c r="H103" i="78"/>
  <c r="K31" i="78"/>
  <c r="L31" i="78" s="1"/>
  <c r="L31" i="52"/>
  <c r="K32" i="78"/>
  <c r="L32" i="78" s="1"/>
  <c r="F111" i="78"/>
  <c r="N94" i="78"/>
  <c r="E110" i="78"/>
  <c r="F110" i="78" s="1"/>
  <c r="N95" i="78"/>
  <c r="F101" i="78" l="1"/>
  <c r="E100" i="78"/>
  <c r="F100" i="78" s="1"/>
  <c r="I103" i="78"/>
  <c r="H101" i="78"/>
  <c r="D95" i="78"/>
  <c r="E95" i="78" s="1"/>
  <c r="O95" i="78"/>
  <c r="I95" i="78" s="1"/>
  <c r="J95" i="78" s="1"/>
  <c r="D94" i="78"/>
  <c r="E94" i="78" s="1"/>
  <c r="O94" i="78"/>
  <c r="I94" i="78" s="1"/>
  <c r="J94" i="78" s="1"/>
  <c r="H110" i="78"/>
  <c r="I110" i="78" s="1"/>
  <c r="J14" i="78"/>
  <c r="K16" i="78"/>
  <c r="K14" i="78" s="1"/>
  <c r="F30" i="78"/>
  <c r="H36" i="78"/>
  <c r="H100" i="52"/>
  <c r="I100" i="52" s="1"/>
  <c r="J30" i="78"/>
  <c r="K30" i="78" s="1"/>
  <c r="H142" i="54"/>
  <c r="F142" i="54"/>
  <c r="G142" i="54"/>
  <c r="D142" i="54"/>
  <c r="H142" i="55"/>
  <c r="F142" i="55"/>
  <c r="G142" i="55"/>
  <c r="D142" i="55"/>
  <c r="K48" i="54"/>
  <c r="K55" i="54"/>
  <c r="K44" i="54"/>
  <c r="B147" i="55"/>
  <c r="H30" i="78" l="1"/>
  <c r="L36" i="78"/>
  <c r="I101" i="78"/>
  <c r="H100" i="78"/>
  <c r="I100" i="78" s="1"/>
  <c r="D90" i="55"/>
  <c r="E90" i="55" s="1"/>
  <c r="G148" i="55"/>
  <c r="H148" i="55"/>
  <c r="D89" i="55"/>
  <c r="E89" i="55" s="1"/>
  <c r="J125" i="55"/>
  <c r="F6" i="83"/>
  <c r="K48" i="55"/>
  <c r="H89" i="55"/>
  <c r="G89" i="55"/>
  <c r="H149" i="55"/>
  <c r="G90" i="55"/>
  <c r="H90" i="55"/>
  <c r="D6" i="81"/>
  <c r="M118" i="79"/>
  <c r="H93" i="55"/>
  <c r="G93" i="55"/>
  <c r="O4" i="76"/>
  <c r="H92" i="55"/>
  <c r="G92" i="55"/>
  <c r="F148" i="55"/>
  <c r="H6" i="83"/>
  <c r="F72" i="55"/>
  <c r="D82" i="55"/>
  <c r="E82" i="55" s="1"/>
  <c r="G84" i="55"/>
  <c r="H84" i="55"/>
  <c r="H6" i="80"/>
  <c r="F9" i="55"/>
  <c r="F5" i="55" s="1"/>
  <c r="D84" i="55"/>
  <c r="E84" i="55" s="1"/>
  <c r="H83" i="55"/>
  <c r="G83" i="55"/>
  <c r="F149" i="55"/>
  <c r="D148" i="55"/>
  <c r="E148" i="55"/>
  <c r="D83" i="55"/>
  <c r="E83" i="55" s="1"/>
  <c r="K69" i="55"/>
  <c r="K63" i="55"/>
  <c r="Q118" i="79"/>
  <c r="H6" i="81"/>
  <c r="N4" i="76"/>
  <c r="B143" i="55"/>
  <c r="I147" i="55"/>
  <c r="C148" i="55"/>
  <c r="P51" i="55"/>
  <c r="J51" i="55"/>
  <c r="J49" i="55" s="1"/>
  <c r="T17" i="55"/>
  <c r="I145" i="55"/>
  <c r="D149" i="55"/>
  <c r="J61" i="55"/>
  <c r="I139" i="55"/>
  <c r="C149" i="55"/>
  <c r="J141" i="55"/>
  <c r="I141" i="55"/>
  <c r="C142" i="55"/>
  <c r="G82" i="55"/>
  <c r="H82" i="55"/>
  <c r="S118" i="79"/>
  <c r="J6" i="81"/>
  <c r="D90" i="54"/>
  <c r="E90" i="54" s="1"/>
  <c r="O90" i="54"/>
  <c r="P51" i="54"/>
  <c r="J51" i="54"/>
  <c r="N3" i="76"/>
  <c r="B143" i="54"/>
  <c r="H144" i="54" s="1"/>
  <c r="U117" i="79" s="1"/>
  <c r="H21" i="54"/>
  <c r="K44" i="55"/>
  <c r="K11" i="54"/>
  <c r="L55" i="54"/>
  <c r="Z52" i="54" s="1"/>
  <c r="R55" i="54"/>
  <c r="K55" i="55"/>
  <c r="K89" i="54"/>
  <c r="G89" i="54"/>
  <c r="L89" i="54" s="1"/>
  <c r="H89" i="54"/>
  <c r="I147" i="54"/>
  <c r="K54" i="54"/>
  <c r="O82" i="54"/>
  <c r="D82" i="54"/>
  <c r="E82" i="54" s="1"/>
  <c r="F72" i="54"/>
  <c r="H72" i="54" s="1"/>
  <c r="G90" i="54"/>
  <c r="L90" i="54" s="1"/>
  <c r="H90" i="54"/>
  <c r="K90" i="54"/>
  <c r="I145" i="54"/>
  <c r="F149" i="54"/>
  <c r="K82" i="54"/>
  <c r="H82" i="54"/>
  <c r="G82" i="54"/>
  <c r="J61" i="54"/>
  <c r="K61" i="54" s="1"/>
  <c r="D149" i="54"/>
  <c r="C149" i="54"/>
  <c r="K93" i="54"/>
  <c r="G93" i="54"/>
  <c r="L93" i="54" s="1"/>
  <c r="H93" i="54"/>
  <c r="J141" i="54"/>
  <c r="C142" i="54"/>
  <c r="I141" i="54"/>
  <c r="K92" i="54"/>
  <c r="G92" i="54"/>
  <c r="L92" i="54" s="1"/>
  <c r="H92" i="54"/>
  <c r="G84" i="54"/>
  <c r="L84" i="54" s="1"/>
  <c r="L84" i="55" s="1"/>
  <c r="K84" i="54"/>
  <c r="H84" i="54"/>
  <c r="H83" i="54"/>
  <c r="K83" i="54"/>
  <c r="G83" i="54"/>
  <c r="L83" i="54" s="1"/>
  <c r="L83" i="55" s="1"/>
  <c r="H149" i="54"/>
  <c r="D5" i="81"/>
  <c r="M117" i="79"/>
  <c r="J5" i="81"/>
  <c r="S117" i="79"/>
  <c r="K62" i="54"/>
  <c r="K59" i="54"/>
  <c r="K40" i="54"/>
  <c r="I143" i="54"/>
  <c r="H5" i="81"/>
  <c r="Q117" i="79"/>
  <c r="L90" i="55" l="1"/>
  <c r="L92" i="55"/>
  <c r="I30" i="78"/>
  <c r="L30" i="78"/>
  <c r="M4" i="76"/>
  <c r="G144" i="55"/>
  <c r="AA118" i="79" s="1"/>
  <c r="K40" i="55"/>
  <c r="I148" i="55"/>
  <c r="C144" i="55"/>
  <c r="D144" i="55"/>
  <c r="E144" i="55"/>
  <c r="F6" i="81"/>
  <c r="I142" i="55"/>
  <c r="O118" i="79"/>
  <c r="L93" i="55"/>
  <c r="J147" i="55"/>
  <c r="D6" i="83"/>
  <c r="D6" i="80"/>
  <c r="F144" i="55"/>
  <c r="Y118" i="79" s="1"/>
  <c r="L63" i="55"/>
  <c r="Z54" i="55" s="1"/>
  <c r="K63" i="56"/>
  <c r="H144" i="55"/>
  <c r="U118" i="79" s="1"/>
  <c r="I143" i="55"/>
  <c r="I149" i="55" s="1"/>
  <c r="K69" i="56"/>
  <c r="L69" i="55"/>
  <c r="F6" i="80"/>
  <c r="J9" i="55"/>
  <c r="F49" i="55"/>
  <c r="I4" i="76"/>
  <c r="L89" i="55"/>
  <c r="J131" i="55"/>
  <c r="J4" i="76"/>
  <c r="G149" i="55"/>
  <c r="G149" i="54"/>
  <c r="I82" i="54"/>
  <c r="J82" i="54" s="1"/>
  <c r="O82" i="55"/>
  <c r="M89" i="54"/>
  <c r="K89" i="55"/>
  <c r="L55" i="55"/>
  <c r="Z52" i="55" s="1"/>
  <c r="R55" i="55"/>
  <c r="I149" i="54"/>
  <c r="F5" i="80"/>
  <c r="H21" i="55"/>
  <c r="I21" i="54"/>
  <c r="L21" i="54"/>
  <c r="I90" i="54"/>
  <c r="J90" i="54" s="1"/>
  <c r="O90" i="55"/>
  <c r="L54" i="54"/>
  <c r="Z51" i="54" s="1"/>
  <c r="K54" i="55"/>
  <c r="D5" i="80"/>
  <c r="E144" i="54"/>
  <c r="D144" i="54"/>
  <c r="M84" i="54"/>
  <c r="K84" i="55"/>
  <c r="L11" i="54"/>
  <c r="K11" i="55"/>
  <c r="K51" i="54"/>
  <c r="J49" i="54"/>
  <c r="C144" i="54"/>
  <c r="F5" i="83"/>
  <c r="M92" i="54"/>
  <c r="K92" i="55"/>
  <c r="L61" i="54"/>
  <c r="K61" i="55"/>
  <c r="K10" i="54"/>
  <c r="J9" i="54"/>
  <c r="O117" i="79"/>
  <c r="F5" i="81"/>
  <c r="I142" i="54"/>
  <c r="I3" i="76"/>
  <c r="H51" i="54"/>
  <c r="F49" i="54"/>
  <c r="M93" i="54"/>
  <c r="K93" i="55"/>
  <c r="M90" i="54"/>
  <c r="K90" i="55"/>
  <c r="M83" i="54"/>
  <c r="K83" i="55"/>
  <c r="D89" i="54"/>
  <c r="E89" i="54" s="1"/>
  <c r="O89" i="54"/>
  <c r="J125" i="54"/>
  <c r="O83" i="54"/>
  <c r="D83" i="54"/>
  <c r="E83" i="54" s="1"/>
  <c r="O84" i="54"/>
  <c r="D84" i="54"/>
  <c r="E84" i="54" s="1"/>
  <c r="L59" i="54"/>
  <c r="Z57" i="54" s="1"/>
  <c r="K59" i="55"/>
  <c r="D5" i="83"/>
  <c r="H10" i="54"/>
  <c r="F9" i="54"/>
  <c r="F5" i="54" s="1"/>
  <c r="M82" i="54"/>
  <c r="L82" i="54"/>
  <c r="K82" i="55"/>
  <c r="F144" i="54"/>
  <c r="Y117" i="79" s="1"/>
  <c r="G144" i="54"/>
  <c r="AA117" i="79" s="1"/>
  <c r="L62" i="54"/>
  <c r="Z58" i="54" s="1"/>
  <c r="K62" i="55"/>
  <c r="H5" i="83"/>
  <c r="H5" i="80"/>
  <c r="L72" i="54"/>
  <c r="H72" i="55"/>
  <c r="B145" i="55" l="1"/>
  <c r="H146" i="55" s="1"/>
  <c r="B139" i="55"/>
  <c r="L4" i="76"/>
  <c r="P4" i="76" s="1"/>
  <c r="D92" i="55"/>
  <c r="E92" i="55" s="1"/>
  <c r="D93" i="55"/>
  <c r="E93" i="55" s="1"/>
  <c r="AJ4" i="76"/>
  <c r="AH4" i="76"/>
  <c r="L144" i="55"/>
  <c r="N145" i="55"/>
  <c r="M145" i="55" s="1"/>
  <c r="L131" i="55"/>
  <c r="P131" i="55"/>
  <c r="L135" i="55"/>
  <c r="N139" i="55" s="1"/>
  <c r="M139" i="55" s="1"/>
  <c r="J143" i="55"/>
  <c r="K63" i="57"/>
  <c r="L63" i="56"/>
  <c r="Z54" i="56" s="1"/>
  <c r="W118" i="79"/>
  <c r="I144" i="55"/>
  <c r="K69" i="57"/>
  <c r="L69" i="56"/>
  <c r="F146" i="55"/>
  <c r="R9" i="55"/>
  <c r="J5" i="55"/>
  <c r="D93" i="54"/>
  <c r="E93" i="54" s="1"/>
  <c r="O93" i="54"/>
  <c r="M83" i="55"/>
  <c r="K49" i="54"/>
  <c r="K51" i="55"/>
  <c r="H9" i="54"/>
  <c r="H10" i="55"/>
  <c r="L10" i="54"/>
  <c r="K59" i="56"/>
  <c r="L59" i="55"/>
  <c r="Z57" i="55" s="1"/>
  <c r="H20" i="54"/>
  <c r="B147" i="54"/>
  <c r="L11" i="55"/>
  <c r="L54" i="55"/>
  <c r="Z51" i="55" s="1"/>
  <c r="J5" i="54"/>
  <c r="R9" i="54"/>
  <c r="M89" i="55"/>
  <c r="K89" i="57"/>
  <c r="L62" i="55"/>
  <c r="Z58" i="55" s="1"/>
  <c r="M90" i="55"/>
  <c r="K10" i="55"/>
  <c r="K9" i="54"/>
  <c r="I90" i="55"/>
  <c r="J90" i="55" s="1"/>
  <c r="I82" i="55"/>
  <c r="J82" i="55" s="1"/>
  <c r="L72" i="55"/>
  <c r="M84" i="55"/>
  <c r="M93" i="55"/>
  <c r="L61" i="55"/>
  <c r="K58" i="54"/>
  <c r="M82" i="55"/>
  <c r="L82" i="55"/>
  <c r="I84" i="54"/>
  <c r="J84" i="54" s="1"/>
  <c r="O84" i="55"/>
  <c r="L144" i="54"/>
  <c r="N145" i="54"/>
  <c r="M145" i="54" s="1"/>
  <c r="I21" i="55"/>
  <c r="L21" i="55"/>
  <c r="I89" i="54"/>
  <c r="J89" i="54" s="1"/>
  <c r="O89" i="55"/>
  <c r="M92" i="55"/>
  <c r="J143" i="54"/>
  <c r="W117" i="79"/>
  <c r="I144" i="54"/>
  <c r="I83" i="54"/>
  <c r="J83" i="54" s="1"/>
  <c r="O83" i="55"/>
  <c r="H51" i="55"/>
  <c r="I51" i="54"/>
  <c r="L51" i="54"/>
  <c r="H49" i="54"/>
  <c r="O92" i="54"/>
  <c r="K125" i="54"/>
  <c r="D92" i="54"/>
  <c r="E92" i="54" s="1"/>
  <c r="J3" i="76"/>
  <c r="J131" i="54"/>
  <c r="T17" i="54"/>
  <c r="K125" i="55" l="1"/>
  <c r="C146" i="55"/>
  <c r="D146" i="55"/>
  <c r="E146" i="55"/>
  <c r="G146" i="55"/>
  <c r="AK4" i="76"/>
  <c r="E128" i="55"/>
  <c r="F128" i="55" s="1"/>
  <c r="I146" i="55"/>
  <c r="J145" i="55"/>
  <c r="N147" i="55"/>
  <c r="M147" i="55" s="1"/>
  <c r="N148" i="55"/>
  <c r="M148" i="55" s="1"/>
  <c r="N146" i="55"/>
  <c r="M146" i="55" s="1"/>
  <c r="K69" i="58"/>
  <c r="L69" i="57"/>
  <c r="F14" i="55"/>
  <c r="T14" i="55" s="1"/>
  <c r="K63" i="58"/>
  <c r="L63" i="57"/>
  <c r="Z54" i="57" s="1"/>
  <c r="N136" i="55"/>
  <c r="M136" i="55" s="1"/>
  <c r="S135" i="55"/>
  <c r="N140" i="55"/>
  <c r="M140" i="55" s="1"/>
  <c r="N138" i="55"/>
  <c r="M138" i="55" s="1"/>
  <c r="N137" i="55"/>
  <c r="M137" i="55" s="1"/>
  <c r="G140" i="55"/>
  <c r="E140" i="55"/>
  <c r="B149" i="55"/>
  <c r="H140" i="55"/>
  <c r="D140" i="55"/>
  <c r="C140" i="55"/>
  <c r="F140" i="55"/>
  <c r="K49" i="55"/>
  <c r="L135" i="54"/>
  <c r="N140" i="54" s="1"/>
  <c r="M140" i="54" s="1"/>
  <c r="N136" i="54"/>
  <c r="M136" i="54" s="1"/>
  <c r="I51" i="55"/>
  <c r="H49" i="55"/>
  <c r="L51" i="55"/>
  <c r="K9" i="55"/>
  <c r="K5" i="55" s="1"/>
  <c r="K5" i="54"/>
  <c r="I83" i="55"/>
  <c r="J83" i="55" s="1"/>
  <c r="D148" i="54"/>
  <c r="E148" i="54"/>
  <c r="C148" i="54"/>
  <c r="G148" i="54"/>
  <c r="H148" i="54"/>
  <c r="F148" i="54"/>
  <c r="H19" i="54"/>
  <c r="B145" i="54"/>
  <c r="M3" i="76"/>
  <c r="I20" i="54"/>
  <c r="L20" i="54"/>
  <c r="H20" i="55"/>
  <c r="L49" i="54"/>
  <c r="I49" i="54"/>
  <c r="L10" i="55"/>
  <c r="I89" i="55"/>
  <c r="J89" i="55" s="1"/>
  <c r="O89" i="57"/>
  <c r="N146" i="54"/>
  <c r="M146" i="54" s="1"/>
  <c r="N148" i="54"/>
  <c r="M148" i="54" s="1"/>
  <c r="N147" i="54"/>
  <c r="M147" i="54" s="1"/>
  <c r="K59" i="57"/>
  <c r="L59" i="56"/>
  <c r="Z57" i="56" s="1"/>
  <c r="H5" i="54"/>
  <c r="I9" i="54"/>
  <c r="H9" i="55"/>
  <c r="L9" i="54"/>
  <c r="L5" i="54" s="1"/>
  <c r="I92" i="54"/>
  <c r="J92" i="54" s="1"/>
  <c r="O92" i="55"/>
  <c r="L58" i="54"/>
  <c r="Z55" i="54" s="1"/>
  <c r="K58" i="55"/>
  <c r="I84" i="55"/>
  <c r="J84" i="55" s="1"/>
  <c r="H17" i="54"/>
  <c r="L3" i="76"/>
  <c r="B139" i="54"/>
  <c r="L131" i="54"/>
  <c r="P131" i="54"/>
  <c r="K89" i="58"/>
  <c r="M89" i="57"/>
  <c r="F14" i="54"/>
  <c r="T14" i="54" s="1"/>
  <c r="H16" i="54"/>
  <c r="AJ3" i="76"/>
  <c r="AH3" i="76"/>
  <c r="O93" i="55"/>
  <c r="I93" i="54"/>
  <c r="J93" i="54" s="1"/>
  <c r="M144" i="54" l="1"/>
  <c r="M144" i="55"/>
  <c r="J139" i="55"/>
  <c r="F6" i="82"/>
  <c r="G118" i="79"/>
  <c r="I140" i="55"/>
  <c r="E118" i="79"/>
  <c r="D6" i="82"/>
  <c r="J6" i="82"/>
  <c r="K118" i="79"/>
  <c r="K69" i="59"/>
  <c r="L69" i="58"/>
  <c r="M135" i="55"/>
  <c r="E150" i="55"/>
  <c r="H150" i="55"/>
  <c r="D150" i="55"/>
  <c r="C150" i="55"/>
  <c r="F150" i="55"/>
  <c r="G150" i="55"/>
  <c r="K63" i="59"/>
  <c r="L63" i="58"/>
  <c r="Z54" i="58" s="1"/>
  <c r="I118" i="79"/>
  <c r="H6" i="82"/>
  <c r="I9" i="55"/>
  <c r="H5" i="55"/>
  <c r="L9" i="55"/>
  <c r="L5" i="55" s="1"/>
  <c r="L20" i="55"/>
  <c r="I20" i="55"/>
  <c r="I93" i="55"/>
  <c r="J93" i="55" s="1"/>
  <c r="M89" i="58"/>
  <c r="K89" i="59"/>
  <c r="I92" i="55"/>
  <c r="J92" i="55" s="1"/>
  <c r="H14" i="54"/>
  <c r="I14" i="54" s="1"/>
  <c r="H16" i="55"/>
  <c r="I16" i="54"/>
  <c r="L16" i="54"/>
  <c r="I89" i="57"/>
  <c r="J89" i="57" s="1"/>
  <c r="O89" i="58"/>
  <c r="O3" i="76"/>
  <c r="H22" i="54"/>
  <c r="E140" i="54"/>
  <c r="B149" i="54"/>
  <c r="H140" i="54"/>
  <c r="D140" i="54"/>
  <c r="F140" i="54"/>
  <c r="G140" i="54"/>
  <c r="C140" i="54"/>
  <c r="E146" i="54"/>
  <c r="D146" i="54"/>
  <c r="H146" i="54"/>
  <c r="G146" i="54"/>
  <c r="C146" i="54"/>
  <c r="F146" i="54"/>
  <c r="I49" i="55"/>
  <c r="L49" i="55"/>
  <c r="P3" i="76"/>
  <c r="H19" i="55"/>
  <c r="L19" i="54"/>
  <c r="I19" i="54"/>
  <c r="L58" i="55"/>
  <c r="Z55" i="55" s="1"/>
  <c r="I5" i="54"/>
  <c r="P132" i="54"/>
  <c r="H128" i="54" s="1"/>
  <c r="I128" i="54" s="1"/>
  <c r="L17" i="54"/>
  <c r="I17" i="54"/>
  <c r="H17" i="55"/>
  <c r="K59" i="58"/>
  <c r="L59" i="57"/>
  <c r="Z57" i="57" s="1"/>
  <c r="I148" i="54"/>
  <c r="E128" i="54"/>
  <c r="F128" i="54" s="1"/>
  <c r="AK3" i="76"/>
  <c r="J147" i="54"/>
  <c r="N138" i="54"/>
  <c r="M138" i="54" s="1"/>
  <c r="S135" i="54"/>
  <c r="N139" i="54"/>
  <c r="M139" i="54" s="1"/>
  <c r="N137" i="54"/>
  <c r="M137" i="54" s="1"/>
  <c r="M135" i="54" s="1"/>
  <c r="I150" i="55" l="1"/>
  <c r="K69" i="60"/>
  <c r="L69" i="59"/>
  <c r="L63" i="59"/>
  <c r="Z54" i="59" s="1"/>
  <c r="K63" i="60"/>
  <c r="I146" i="54"/>
  <c r="L22" i="54"/>
  <c r="H22" i="55"/>
  <c r="I19" i="55"/>
  <c r="L19" i="55"/>
  <c r="J145" i="54"/>
  <c r="I89" i="58"/>
  <c r="J89" i="58" s="1"/>
  <c r="O89" i="59"/>
  <c r="K59" i="59"/>
  <c r="L59" i="58"/>
  <c r="Z57" i="58" s="1"/>
  <c r="I17" i="55"/>
  <c r="L17" i="55"/>
  <c r="L14" i="54"/>
  <c r="G117" i="79"/>
  <c r="I140" i="54"/>
  <c r="F5" i="82"/>
  <c r="H14" i="55"/>
  <c r="I14" i="55" s="1"/>
  <c r="I16" i="55"/>
  <c r="L16" i="55"/>
  <c r="J5" i="82"/>
  <c r="K117" i="79"/>
  <c r="I5" i="55"/>
  <c r="P132" i="55"/>
  <c r="H128" i="55" s="1"/>
  <c r="I128" i="55" s="1"/>
  <c r="I117" i="79"/>
  <c r="H5" i="82"/>
  <c r="J139" i="54"/>
  <c r="E117" i="79"/>
  <c r="D5" i="82"/>
  <c r="C150" i="54"/>
  <c r="E150" i="54"/>
  <c r="D150" i="54"/>
  <c r="F150" i="54"/>
  <c r="H150" i="54"/>
  <c r="G150" i="54"/>
  <c r="M89" i="59"/>
  <c r="K89" i="60"/>
  <c r="L63" i="60" l="1"/>
  <c r="Z54" i="60" s="1"/>
  <c r="K63" i="61"/>
  <c r="L14" i="55"/>
  <c r="K69" i="61"/>
  <c r="L69" i="60"/>
  <c r="I150" i="54"/>
  <c r="K59" i="60"/>
  <c r="L59" i="59"/>
  <c r="Z57" i="59" s="1"/>
  <c r="L22" i="55"/>
  <c r="M89" i="60"/>
  <c r="K89" i="61"/>
  <c r="I89" i="59"/>
  <c r="J89" i="59" s="1"/>
  <c r="O89" i="60"/>
  <c r="K69" i="62" l="1"/>
  <c r="L69" i="61"/>
  <c r="K63" i="62"/>
  <c r="L63" i="61"/>
  <c r="Z54" i="61" s="1"/>
  <c r="K59" i="61"/>
  <c r="L59" i="60"/>
  <c r="Z57" i="60" s="1"/>
  <c r="I89" i="60"/>
  <c r="J89" i="60" s="1"/>
  <c r="O89" i="61"/>
  <c r="M89" i="61"/>
  <c r="K89" i="62"/>
  <c r="K63" i="63" l="1"/>
  <c r="L63" i="62"/>
  <c r="Z54" i="62" s="1"/>
  <c r="K69" i="63"/>
  <c r="L69" i="62"/>
  <c r="I89" i="61"/>
  <c r="J89" i="61" s="1"/>
  <c r="O89" i="62"/>
  <c r="K59" i="62"/>
  <c r="L59" i="61"/>
  <c r="Z57" i="61" s="1"/>
  <c r="M89" i="62"/>
  <c r="K89" i="63"/>
  <c r="K69" i="64" l="1"/>
  <c r="L69" i="63"/>
  <c r="K63" i="64"/>
  <c r="L63" i="63"/>
  <c r="Z54" i="63" s="1"/>
  <c r="K59" i="63"/>
  <c r="L59" i="62"/>
  <c r="Z57" i="62" s="1"/>
  <c r="M89" i="63"/>
  <c r="K89" i="64"/>
  <c r="I89" i="62"/>
  <c r="J89" i="62" s="1"/>
  <c r="O89" i="63"/>
  <c r="K63" i="65" l="1"/>
  <c r="L63" i="64"/>
  <c r="Z54" i="64" s="1"/>
  <c r="K69" i="65"/>
  <c r="L69" i="64"/>
  <c r="O89" i="64"/>
  <c r="I89" i="63"/>
  <c r="J89" i="63" s="1"/>
  <c r="K89" i="65"/>
  <c r="M89" i="64"/>
  <c r="K59" i="64"/>
  <c r="L59" i="63"/>
  <c r="Z57" i="63" s="1"/>
  <c r="K69" i="66" l="1"/>
  <c r="L69" i="65"/>
  <c r="K63" i="66"/>
  <c r="L63" i="65"/>
  <c r="Z54" i="65" s="1"/>
  <c r="O89" i="65"/>
  <c r="I89" i="64"/>
  <c r="J89" i="64" s="1"/>
  <c r="M89" i="65"/>
  <c r="K89" i="66"/>
  <c r="K59" i="65"/>
  <c r="L59" i="64"/>
  <c r="Z57" i="64" s="1"/>
  <c r="K63" i="67" l="1"/>
  <c r="L63" i="66"/>
  <c r="Z54" i="66" s="1"/>
  <c r="K69" i="67"/>
  <c r="L69" i="66"/>
  <c r="K59" i="66"/>
  <c r="L59" i="65"/>
  <c r="Z57" i="65" s="1"/>
  <c r="I89" i="65"/>
  <c r="J89" i="65" s="1"/>
  <c r="O89" i="66"/>
  <c r="M89" i="66"/>
  <c r="K89" i="67"/>
  <c r="K69" i="68" l="1"/>
  <c r="L69" i="67"/>
  <c r="K63" i="68"/>
  <c r="L63" i="67"/>
  <c r="Z54" i="67" s="1"/>
  <c r="I89" i="66"/>
  <c r="J89" i="66" s="1"/>
  <c r="O89" i="67"/>
  <c r="M89" i="67"/>
  <c r="K89" i="68"/>
  <c r="L59" i="66"/>
  <c r="Z57" i="66" s="1"/>
  <c r="K59" i="67"/>
  <c r="K63" i="69" l="1"/>
  <c r="L63" i="68"/>
  <c r="Z54" i="68" s="1"/>
  <c r="K69" i="69"/>
  <c r="L69" i="68"/>
  <c r="M89" i="68"/>
  <c r="K89" i="69"/>
  <c r="I89" i="67"/>
  <c r="J89" i="67" s="1"/>
  <c r="O89" i="68"/>
  <c r="K59" i="68"/>
  <c r="L59" i="67"/>
  <c r="Z57" i="67" s="1"/>
  <c r="K69" i="70" l="1"/>
  <c r="L69" i="69"/>
  <c r="K63" i="70"/>
  <c r="L63" i="69"/>
  <c r="Z54" i="69" s="1"/>
  <c r="K59" i="69"/>
  <c r="L59" i="68"/>
  <c r="Z57" i="68" s="1"/>
  <c r="M89" i="69"/>
  <c r="K89" i="70"/>
  <c r="I89" i="68"/>
  <c r="J89" i="68" s="1"/>
  <c r="O89" i="69"/>
  <c r="L63" i="70" l="1"/>
  <c r="Z54" i="70" s="1"/>
  <c r="K63" i="71"/>
  <c r="K69" i="71"/>
  <c r="L69" i="70"/>
  <c r="M89" i="70"/>
  <c r="K89" i="71"/>
  <c r="K59" i="70"/>
  <c r="L59" i="69"/>
  <c r="Z57" i="69" s="1"/>
  <c r="I89" i="69"/>
  <c r="J89" i="69" s="1"/>
  <c r="O89" i="70"/>
  <c r="K69" i="72" l="1"/>
  <c r="L69" i="71"/>
  <c r="K63" i="72"/>
  <c r="L63" i="71"/>
  <c r="Z54" i="71" s="1"/>
  <c r="I89" i="70"/>
  <c r="J89" i="70" s="1"/>
  <c r="O89" i="71"/>
  <c r="K59" i="71"/>
  <c r="L59" i="70"/>
  <c r="Z57" i="70" s="1"/>
  <c r="M89" i="71"/>
  <c r="K89" i="72"/>
  <c r="K63" i="73" l="1"/>
  <c r="L63" i="72"/>
  <c r="Z54" i="72" s="1"/>
  <c r="K69" i="73"/>
  <c r="L69" i="72"/>
  <c r="M89" i="72"/>
  <c r="K89" i="73"/>
  <c r="L59" i="71"/>
  <c r="Z57" i="71" s="1"/>
  <c r="K59" i="72"/>
  <c r="I89" i="71"/>
  <c r="J89" i="71" s="1"/>
  <c r="O89" i="72"/>
  <c r="K69" i="74" l="1"/>
  <c r="L69" i="73"/>
  <c r="K63" i="74"/>
  <c r="L63" i="73"/>
  <c r="Z54" i="73" s="1"/>
  <c r="I89" i="72"/>
  <c r="J89" i="72" s="1"/>
  <c r="O89" i="73"/>
  <c r="M89" i="73"/>
  <c r="K89" i="74"/>
  <c r="K59" i="73"/>
  <c r="L59" i="72"/>
  <c r="Z57" i="72" s="1"/>
  <c r="K63" i="43" l="1"/>
  <c r="L63" i="74"/>
  <c r="Z54" i="74" s="1"/>
  <c r="L69" i="74"/>
  <c r="K69" i="43"/>
  <c r="K59" i="74"/>
  <c r="L59" i="73"/>
  <c r="Z57" i="73" s="1"/>
  <c r="I89" i="73"/>
  <c r="J89" i="73" s="1"/>
  <c r="O89" i="74"/>
  <c r="M89" i="74"/>
  <c r="K89" i="43"/>
  <c r="K69" i="44" l="1"/>
  <c r="L69" i="43"/>
  <c r="L63" i="43"/>
  <c r="Z54" i="43" s="1"/>
  <c r="K63" i="44"/>
  <c r="I89" i="74"/>
  <c r="J89" i="74" s="1"/>
  <c r="O89" i="43"/>
  <c r="K59" i="43"/>
  <c r="L59" i="74"/>
  <c r="Z57" i="74" s="1"/>
  <c r="M89" i="43"/>
  <c r="K89" i="44"/>
  <c r="K63" i="45" l="1"/>
  <c r="L63" i="44"/>
  <c r="Z54" i="44" s="1"/>
  <c r="L69" i="44"/>
  <c r="K69" i="45"/>
  <c r="K59" i="44"/>
  <c r="L59" i="43"/>
  <c r="Z57" i="43" s="1"/>
  <c r="I89" i="43"/>
  <c r="J89" i="43" s="1"/>
  <c r="O89" i="44"/>
  <c r="M89" i="44"/>
  <c r="K89" i="45"/>
  <c r="K69" i="46" l="1"/>
  <c r="L69" i="45"/>
  <c r="K63" i="46"/>
  <c r="L63" i="45"/>
  <c r="Z54" i="45" s="1"/>
  <c r="I89" i="44"/>
  <c r="J89" i="44" s="1"/>
  <c r="O89" i="45"/>
  <c r="M89" i="45"/>
  <c r="K89" i="46"/>
  <c r="K59" i="45"/>
  <c r="L59" i="44"/>
  <c r="Z57" i="44" s="1"/>
  <c r="K63" i="47" l="1"/>
  <c r="L63" i="46"/>
  <c r="Z54" i="46" s="1"/>
  <c r="K69" i="47"/>
  <c r="L69" i="46"/>
  <c r="O89" i="46"/>
  <c r="I89" i="45"/>
  <c r="J89" i="45" s="1"/>
  <c r="K89" i="47"/>
  <c r="M89" i="46"/>
  <c r="K59" i="46"/>
  <c r="L59" i="45"/>
  <c r="Z57" i="45" s="1"/>
  <c r="K69" i="48" l="1"/>
  <c r="L69" i="47"/>
  <c r="K63" i="48"/>
  <c r="L63" i="47"/>
  <c r="Z54" i="47" s="1"/>
  <c r="O89" i="47"/>
  <c r="I89" i="46"/>
  <c r="J89" i="46" s="1"/>
  <c r="K59" i="47"/>
  <c r="L59" i="46"/>
  <c r="Z57" i="46" s="1"/>
  <c r="M89" i="47"/>
  <c r="K89" i="48"/>
  <c r="K63" i="49" l="1"/>
  <c r="L63" i="48"/>
  <c r="Z54" i="48" s="1"/>
  <c r="K69" i="49"/>
  <c r="L69" i="48"/>
  <c r="I89" i="47"/>
  <c r="J89" i="47" s="1"/>
  <c r="O89" i="48"/>
  <c r="K59" i="48"/>
  <c r="L59" i="47"/>
  <c r="Z57" i="47" s="1"/>
  <c r="M89" i="48"/>
  <c r="K89" i="49"/>
  <c r="K69" i="50" l="1"/>
  <c r="L69" i="49"/>
  <c r="K63" i="50"/>
  <c r="L63" i="49"/>
  <c r="Z54" i="49" s="1"/>
  <c r="I89" i="48"/>
  <c r="J89" i="48" s="1"/>
  <c r="O89" i="49"/>
  <c r="M89" i="49"/>
  <c r="K89" i="50"/>
  <c r="K59" i="49"/>
  <c r="L59" i="48"/>
  <c r="Z57" i="48" s="1"/>
  <c r="L63" i="50" l="1"/>
  <c r="Z54" i="50" s="1"/>
  <c r="K63" i="52"/>
  <c r="K69" i="52"/>
  <c r="L69" i="50"/>
  <c r="I89" i="49"/>
  <c r="J89" i="49" s="1"/>
  <c r="O89" i="50"/>
  <c r="M89" i="50"/>
  <c r="K89" i="52"/>
  <c r="K59" i="50"/>
  <c r="L59" i="49"/>
  <c r="Z57" i="49" s="1"/>
  <c r="K69" i="78" l="1"/>
  <c r="L69" i="78" s="1"/>
  <c r="L69" i="52"/>
  <c r="K63" i="78"/>
  <c r="L63" i="78" s="1"/>
  <c r="Z54" i="78" s="1"/>
  <c r="L63" i="52"/>
  <c r="Z54" i="52" s="1"/>
  <c r="K59" i="52"/>
  <c r="L59" i="50"/>
  <c r="Z57" i="50" s="1"/>
  <c r="I89" i="50"/>
  <c r="J89" i="50" s="1"/>
  <c r="O89" i="52"/>
  <c r="M89" i="52"/>
  <c r="K89" i="78"/>
  <c r="M89" i="78" s="1"/>
  <c r="K59" i="78" l="1"/>
  <c r="L59" i="78" s="1"/>
  <c r="Z57" i="78" s="1"/>
  <c r="L59" i="52"/>
  <c r="Z57" i="52" s="1"/>
  <c r="I89" i="52"/>
  <c r="J89" i="52" s="1"/>
  <c r="O89" i="78"/>
  <c r="I89" i="78" s="1"/>
  <c r="J89" i="78" s="1"/>
  <c r="K48" i="56" l="1"/>
  <c r="K48" i="57" s="1"/>
  <c r="K48" i="58" s="1"/>
  <c r="K48" i="59" s="1"/>
  <c r="K48" i="60" s="1"/>
  <c r="K48" i="61" s="1"/>
  <c r="K48" i="62" s="1"/>
  <c r="K48" i="63" s="1"/>
  <c r="K48" i="64" s="1"/>
  <c r="K48" i="65" s="1"/>
  <c r="K48" i="66" s="1"/>
  <c r="K48" i="67" s="1"/>
  <c r="K48" i="68" s="1"/>
  <c r="K48" i="69" s="1"/>
  <c r="K48" i="70" s="1"/>
  <c r="K48" i="71" s="1"/>
  <c r="K48" i="72" s="1"/>
  <c r="K48" i="73" s="1"/>
  <c r="K48" i="74" s="1"/>
  <c r="K48" i="43" s="1"/>
  <c r="K48" i="44" s="1"/>
  <c r="K48" i="45" s="1"/>
  <c r="K48" i="46" s="1"/>
  <c r="K48" i="47" s="1"/>
  <c r="K48" i="48" s="1"/>
  <c r="K48" i="49" s="1"/>
  <c r="K48" i="50" s="1"/>
  <c r="K48" i="52" s="1"/>
  <c r="K48" i="78" s="1"/>
  <c r="K55" i="56"/>
  <c r="K44" i="56"/>
  <c r="K62" i="56"/>
  <c r="AL34" i="79"/>
  <c r="D90" i="56" l="1"/>
  <c r="E90" i="56" s="1"/>
  <c r="BB34" i="79"/>
  <c r="V34" i="79"/>
  <c r="S41" i="79" s="1"/>
  <c r="AQ34" i="79"/>
  <c r="I44" i="79" s="1"/>
  <c r="BL34" i="79"/>
  <c r="S47" i="79" s="1"/>
  <c r="H34" i="79"/>
  <c r="S39" i="79" s="1"/>
  <c r="BE34" i="79"/>
  <c r="S46" i="79" s="1"/>
  <c r="AC34" i="79"/>
  <c r="S42" i="79" s="1"/>
  <c r="G90" i="56"/>
  <c r="L90" i="56" s="1"/>
  <c r="L90" i="57" s="1"/>
  <c r="L90" i="58" s="1"/>
  <c r="L90" i="59" s="1"/>
  <c r="L90" i="60" s="1"/>
  <c r="L90" i="61" s="1"/>
  <c r="L90" i="62" s="1"/>
  <c r="L90" i="63" s="1"/>
  <c r="L90" i="64" s="1"/>
  <c r="L90" i="65" s="1"/>
  <c r="L90" i="66" s="1"/>
  <c r="L90" i="67" s="1"/>
  <c r="L90" i="68" s="1"/>
  <c r="L90" i="69" s="1"/>
  <c r="L90" i="70" s="1"/>
  <c r="L90" i="71" s="1"/>
  <c r="L90" i="72" s="1"/>
  <c r="L90" i="73" s="1"/>
  <c r="L90" i="74" s="1"/>
  <c r="L90" i="43" s="1"/>
  <c r="L90" i="44" s="1"/>
  <c r="L90" i="45" s="1"/>
  <c r="L90" i="46" s="1"/>
  <c r="L90" i="47" s="1"/>
  <c r="L90" i="48" s="1"/>
  <c r="L90" i="49" s="1"/>
  <c r="L90" i="50" s="1"/>
  <c r="L90" i="52" s="1"/>
  <c r="L90" i="78" s="1"/>
  <c r="H90" i="56"/>
  <c r="K90" i="56"/>
  <c r="AU34" i="79"/>
  <c r="AX34" i="79"/>
  <c r="S45" i="79" s="1"/>
  <c r="BI34" i="79"/>
  <c r="F7" i="80"/>
  <c r="AS34" i="79"/>
  <c r="L34" i="79"/>
  <c r="BK34" i="79"/>
  <c r="N34" i="79"/>
  <c r="BG34" i="79"/>
  <c r="O34" i="79"/>
  <c r="S40" i="79" s="1"/>
  <c r="BF34" i="79"/>
  <c r="Z34" i="79"/>
  <c r="N42" i="79" s="1"/>
  <c r="J34" i="79"/>
  <c r="F72" i="56"/>
  <c r="H72" i="56" s="1"/>
  <c r="D82" i="56"/>
  <c r="E82" i="56" s="1"/>
  <c r="O82" i="56"/>
  <c r="H82" i="56"/>
  <c r="G82" i="56"/>
  <c r="K82" i="56"/>
  <c r="I141" i="56"/>
  <c r="N5" i="76"/>
  <c r="N34" i="76" s="1"/>
  <c r="B143" i="56"/>
  <c r="F144" i="56" s="1"/>
  <c r="Y119" i="79" s="1"/>
  <c r="H21" i="56"/>
  <c r="AB34" i="79"/>
  <c r="W42" i="79" s="1"/>
  <c r="I34" i="79"/>
  <c r="H93" i="56"/>
  <c r="G93" i="56"/>
  <c r="L93" i="56" s="1"/>
  <c r="L93" i="57" s="1"/>
  <c r="L93" i="58" s="1"/>
  <c r="L93" i="59" s="1"/>
  <c r="L93" i="60" s="1"/>
  <c r="L93" i="61" s="1"/>
  <c r="L93" i="62" s="1"/>
  <c r="L93" i="63" s="1"/>
  <c r="L93" i="64" s="1"/>
  <c r="L93" i="65" s="1"/>
  <c r="L93" i="66" s="1"/>
  <c r="L93" i="67" s="1"/>
  <c r="L93" i="68" s="1"/>
  <c r="L93" i="69" s="1"/>
  <c r="L93" i="70" s="1"/>
  <c r="L93" i="71" s="1"/>
  <c r="L93" i="72" s="1"/>
  <c r="L93" i="73" s="1"/>
  <c r="L93" i="74" s="1"/>
  <c r="L93" i="43" s="1"/>
  <c r="L93" i="44" s="1"/>
  <c r="L93" i="45" s="1"/>
  <c r="L93" i="46" s="1"/>
  <c r="L93" i="47" s="1"/>
  <c r="L93" i="48" s="1"/>
  <c r="L93" i="49" s="1"/>
  <c r="L93" i="50" s="1"/>
  <c r="L93" i="52" s="1"/>
  <c r="L93" i="78" s="1"/>
  <c r="S93" i="78" s="1"/>
  <c r="K93" i="56"/>
  <c r="X34" i="79"/>
  <c r="I42" i="79" s="1"/>
  <c r="H92" i="56"/>
  <c r="G92" i="56"/>
  <c r="L92" i="56" s="1"/>
  <c r="L92" i="57" s="1"/>
  <c r="L92" i="58" s="1"/>
  <c r="L92" i="59" s="1"/>
  <c r="L92" i="60" s="1"/>
  <c r="L92" i="61" s="1"/>
  <c r="L92" i="62" s="1"/>
  <c r="L92" i="63" s="1"/>
  <c r="L92" i="64" s="1"/>
  <c r="L92" i="65" s="1"/>
  <c r="L92" i="66" s="1"/>
  <c r="L92" i="67" s="1"/>
  <c r="L92" i="68" s="1"/>
  <c r="L92" i="69" s="1"/>
  <c r="L92" i="70" s="1"/>
  <c r="L92" i="71" s="1"/>
  <c r="L92" i="72" s="1"/>
  <c r="L92" i="73" s="1"/>
  <c r="L92" i="74" s="1"/>
  <c r="L92" i="43" s="1"/>
  <c r="L92" i="44" s="1"/>
  <c r="L92" i="45" s="1"/>
  <c r="L92" i="46" s="1"/>
  <c r="L92" i="47" s="1"/>
  <c r="L92" i="48" s="1"/>
  <c r="L92" i="49" s="1"/>
  <c r="L92" i="50" s="1"/>
  <c r="L92" i="52" s="1"/>
  <c r="L92" i="78" s="1"/>
  <c r="S92" i="78" s="1"/>
  <c r="K92" i="56"/>
  <c r="AN34" i="79"/>
  <c r="W34" i="79"/>
  <c r="D42" i="79" s="1"/>
  <c r="P51" i="56"/>
  <c r="J51" i="56"/>
  <c r="H84" i="56"/>
  <c r="G84" i="56"/>
  <c r="L84" i="56" s="1"/>
  <c r="L84" i="57" s="1"/>
  <c r="L84" i="58" s="1"/>
  <c r="L84" i="59" s="1"/>
  <c r="L84" i="60" s="1"/>
  <c r="L84" i="61" s="1"/>
  <c r="L84" i="62" s="1"/>
  <c r="L84" i="63" s="1"/>
  <c r="L84" i="64" s="1"/>
  <c r="L84" i="65" s="1"/>
  <c r="L84" i="66" s="1"/>
  <c r="L84" i="67" s="1"/>
  <c r="L84" i="68" s="1"/>
  <c r="L84" i="69" s="1"/>
  <c r="L84" i="70" s="1"/>
  <c r="L84" i="71" s="1"/>
  <c r="L84" i="72" s="1"/>
  <c r="L84" i="73" s="1"/>
  <c r="L84" i="74" s="1"/>
  <c r="L84" i="43" s="1"/>
  <c r="L84" i="44" s="1"/>
  <c r="L84" i="45" s="1"/>
  <c r="L84" i="46" s="1"/>
  <c r="L84" i="47" s="1"/>
  <c r="L84" i="48" s="1"/>
  <c r="L84" i="49" s="1"/>
  <c r="L84" i="50" s="1"/>
  <c r="L84" i="52" s="1"/>
  <c r="L84" i="78" s="1"/>
  <c r="S84" i="78" s="1"/>
  <c r="K84" i="56"/>
  <c r="AJ34" i="79"/>
  <c r="S43" i="79" s="1"/>
  <c r="AP34" i="79"/>
  <c r="H83" i="56"/>
  <c r="G83" i="56"/>
  <c r="L83" i="56" s="1"/>
  <c r="L83" i="57" s="1"/>
  <c r="L83" i="58" s="1"/>
  <c r="L83" i="59" s="1"/>
  <c r="L83" i="60" s="1"/>
  <c r="L83" i="61" s="1"/>
  <c r="L83" i="62" s="1"/>
  <c r="L83" i="63" s="1"/>
  <c r="L83" i="64" s="1"/>
  <c r="L83" i="65" s="1"/>
  <c r="L83" i="66" s="1"/>
  <c r="L83" i="67" s="1"/>
  <c r="L83" i="68" s="1"/>
  <c r="L83" i="69" s="1"/>
  <c r="L83" i="70" s="1"/>
  <c r="L83" i="71" s="1"/>
  <c r="L83" i="72" s="1"/>
  <c r="L83" i="73" s="1"/>
  <c r="L83" i="74" s="1"/>
  <c r="L83" i="43" s="1"/>
  <c r="L83" i="44" s="1"/>
  <c r="L83" i="45" s="1"/>
  <c r="L83" i="46" s="1"/>
  <c r="L83" i="47" s="1"/>
  <c r="L83" i="48" s="1"/>
  <c r="L83" i="49" s="1"/>
  <c r="L83" i="50" s="1"/>
  <c r="L83" i="52" s="1"/>
  <c r="L83" i="78" s="1"/>
  <c r="S83" i="78" s="1"/>
  <c r="K83" i="56"/>
  <c r="H149" i="56"/>
  <c r="K62" i="57"/>
  <c r="L62" i="56"/>
  <c r="Z58" i="56" s="1"/>
  <c r="BD34" i="79"/>
  <c r="AK34" i="79"/>
  <c r="E34" i="79"/>
  <c r="K44" i="57"/>
  <c r="BS34" i="79"/>
  <c r="S48" i="79" s="1"/>
  <c r="BP34" i="79"/>
  <c r="AZ34" i="79"/>
  <c r="S34" i="79"/>
  <c r="N41" i="79" s="1"/>
  <c r="G34" i="79"/>
  <c r="K40" i="56"/>
  <c r="K40" i="57" s="1"/>
  <c r="K40" i="58" s="1"/>
  <c r="K40" i="59" s="1"/>
  <c r="K40" i="60" s="1"/>
  <c r="K40" i="61" s="1"/>
  <c r="K40" i="62" s="1"/>
  <c r="K40" i="63" s="1"/>
  <c r="K40" i="64" s="1"/>
  <c r="K40" i="65" s="1"/>
  <c r="K40" i="66" s="1"/>
  <c r="K40" i="67" s="1"/>
  <c r="K40" i="68" s="1"/>
  <c r="K40" i="69" s="1"/>
  <c r="K40" i="70" s="1"/>
  <c r="K40" i="71" s="1"/>
  <c r="K40" i="72" s="1"/>
  <c r="K40" i="73" s="1"/>
  <c r="K40" i="74" s="1"/>
  <c r="K40" i="43" s="1"/>
  <c r="K40" i="44" s="1"/>
  <c r="K40" i="45" s="1"/>
  <c r="K40" i="46" s="1"/>
  <c r="K40" i="47" s="1"/>
  <c r="K40" i="48" s="1"/>
  <c r="K40" i="49" s="1"/>
  <c r="K40" i="50" s="1"/>
  <c r="K40" i="52" s="1"/>
  <c r="K40" i="78" s="1"/>
  <c r="BR34" i="79"/>
  <c r="AY34" i="79"/>
  <c r="U34" i="79"/>
  <c r="C34" i="79"/>
  <c r="L55" i="56"/>
  <c r="Z52" i="56" s="1"/>
  <c r="R55" i="56"/>
  <c r="K55" i="57"/>
  <c r="BN34" i="79"/>
  <c r="AG34" i="79"/>
  <c r="Q34" i="79"/>
  <c r="B34" i="79"/>
  <c r="BM34" i="79"/>
  <c r="AI34" i="79"/>
  <c r="W43" i="79" s="1"/>
  <c r="P34" i="79"/>
  <c r="F149" i="56"/>
  <c r="W44" i="79" l="1"/>
  <c r="O90" i="56"/>
  <c r="O90" i="57" s="1"/>
  <c r="I46" i="79"/>
  <c r="W46" i="79"/>
  <c r="D46" i="79"/>
  <c r="N46" i="79"/>
  <c r="I47" i="79"/>
  <c r="I48" i="79"/>
  <c r="W48" i="79"/>
  <c r="D48" i="79"/>
  <c r="G144" i="56"/>
  <c r="AA119" i="79" s="1"/>
  <c r="H144" i="56"/>
  <c r="U119" i="79" s="1"/>
  <c r="K54" i="56"/>
  <c r="I147" i="56"/>
  <c r="D39" i="79"/>
  <c r="D76" i="79"/>
  <c r="G149" i="56"/>
  <c r="W40" i="79"/>
  <c r="S77" i="79"/>
  <c r="N40" i="79"/>
  <c r="N77" i="79"/>
  <c r="D44" i="79"/>
  <c r="S44" i="79"/>
  <c r="K92" i="57"/>
  <c r="M92" i="56"/>
  <c r="D89" i="56"/>
  <c r="E89" i="56" s="1"/>
  <c r="J125" i="56"/>
  <c r="O89" i="56"/>
  <c r="I41" i="79"/>
  <c r="W39" i="79"/>
  <c r="S76" i="79"/>
  <c r="K84" i="57"/>
  <c r="M84" i="56"/>
  <c r="I143" i="56"/>
  <c r="I45" i="79"/>
  <c r="N44" i="79"/>
  <c r="I145" i="56"/>
  <c r="K93" i="57"/>
  <c r="M93" i="56"/>
  <c r="W47" i="79"/>
  <c r="C149" i="56"/>
  <c r="I139" i="56"/>
  <c r="D83" i="56"/>
  <c r="E83" i="56" s="1"/>
  <c r="O83" i="56"/>
  <c r="N48" i="79"/>
  <c r="H72" i="57"/>
  <c r="L72" i="56"/>
  <c r="N47" i="79"/>
  <c r="D7" i="83"/>
  <c r="AD34" i="79"/>
  <c r="D43" i="79" s="1"/>
  <c r="L62" i="57"/>
  <c r="Z58" i="57" s="1"/>
  <c r="K62" i="58"/>
  <c r="D77" i="79"/>
  <c r="D40" i="79"/>
  <c r="H7" i="83"/>
  <c r="H7" i="80"/>
  <c r="AW34" i="79"/>
  <c r="W45" i="79" s="1"/>
  <c r="L55" i="57"/>
  <c r="Z52" i="57" s="1"/>
  <c r="R55" i="57"/>
  <c r="K55" i="58"/>
  <c r="N45" i="79"/>
  <c r="M90" i="56"/>
  <c r="K90" i="57"/>
  <c r="J61" i="56"/>
  <c r="K61" i="56" s="1"/>
  <c r="D149" i="56"/>
  <c r="D47" i="79"/>
  <c r="I90" i="56"/>
  <c r="J90" i="56" s="1"/>
  <c r="G89" i="56"/>
  <c r="L89" i="56" s="1"/>
  <c r="L89" i="57" s="1"/>
  <c r="L89" i="58" s="1"/>
  <c r="L89" i="59" s="1"/>
  <c r="L89" i="60" s="1"/>
  <c r="L89" i="61" s="1"/>
  <c r="L89" i="62" s="1"/>
  <c r="L89" i="63" s="1"/>
  <c r="L89" i="64" s="1"/>
  <c r="L89" i="65" s="1"/>
  <c r="L89" i="66" s="1"/>
  <c r="L89" i="67" s="1"/>
  <c r="L89" i="68" s="1"/>
  <c r="L89" i="69" s="1"/>
  <c r="L89" i="70" s="1"/>
  <c r="L89" i="71" s="1"/>
  <c r="L89" i="72" s="1"/>
  <c r="L89" i="73" s="1"/>
  <c r="L89" i="74" s="1"/>
  <c r="L89" i="43" s="1"/>
  <c r="L89" i="44" s="1"/>
  <c r="L89" i="45" s="1"/>
  <c r="L89" i="46" s="1"/>
  <c r="L89" i="47" s="1"/>
  <c r="L89" i="48" s="1"/>
  <c r="L89" i="49" s="1"/>
  <c r="L89" i="50" s="1"/>
  <c r="L89" i="52" s="1"/>
  <c r="L89" i="78" s="1"/>
  <c r="H89" i="56"/>
  <c r="K89" i="56"/>
  <c r="M89" i="56" s="1"/>
  <c r="D7" i="80"/>
  <c r="AR34" i="79"/>
  <c r="D45" i="79" s="1"/>
  <c r="I40" i="79"/>
  <c r="I77" i="79"/>
  <c r="B141" i="56"/>
  <c r="K5" i="76"/>
  <c r="H18" i="56"/>
  <c r="I5" i="76"/>
  <c r="I34" i="76" s="1"/>
  <c r="F49" i="56"/>
  <c r="H51" i="56"/>
  <c r="F9" i="56"/>
  <c r="H10" i="56"/>
  <c r="H10" i="57" s="1"/>
  <c r="N43" i="79"/>
  <c r="D41" i="79"/>
  <c r="K11" i="56"/>
  <c r="F7" i="83"/>
  <c r="AE34" i="79"/>
  <c r="I43" i="79" s="1"/>
  <c r="D84" i="56"/>
  <c r="E84" i="56" s="1"/>
  <c r="O84" i="56"/>
  <c r="K82" i="57"/>
  <c r="M82" i="56"/>
  <c r="L82" i="56"/>
  <c r="I82" i="56"/>
  <c r="J82" i="56" s="1"/>
  <c r="O82" i="57"/>
  <c r="J49" i="56"/>
  <c r="K51" i="56"/>
  <c r="K83" i="57"/>
  <c r="M83" i="56"/>
  <c r="H21" i="57"/>
  <c r="L21" i="56"/>
  <c r="I21" i="56"/>
  <c r="I76" i="79"/>
  <c r="I39" i="79"/>
  <c r="K44" i="58"/>
  <c r="C144" i="56"/>
  <c r="E144" i="56"/>
  <c r="D144" i="56"/>
  <c r="W41" i="79"/>
  <c r="N39" i="79"/>
  <c r="N76" i="79"/>
  <c r="S78" i="79" l="1"/>
  <c r="I149" i="56"/>
  <c r="O82" i="58"/>
  <c r="I82" i="57"/>
  <c r="J82" i="57" s="1"/>
  <c r="K44" i="59"/>
  <c r="D78" i="79"/>
  <c r="L62" i="58"/>
  <c r="Z58" i="58" s="1"/>
  <c r="K62" i="59"/>
  <c r="K58" i="56"/>
  <c r="W119" i="79"/>
  <c r="I144" i="56"/>
  <c r="J9" i="56"/>
  <c r="J5" i="56" s="1"/>
  <c r="K10" i="56"/>
  <c r="H51" i="57"/>
  <c r="I51" i="56"/>
  <c r="H49" i="56"/>
  <c r="L51" i="56"/>
  <c r="L72" i="57"/>
  <c r="H72" i="58"/>
  <c r="K11" i="57"/>
  <c r="L11" i="56"/>
  <c r="M90" i="57"/>
  <c r="K90" i="58"/>
  <c r="I90" i="57"/>
  <c r="J90" i="57" s="1"/>
  <c r="O90" i="58"/>
  <c r="I89" i="56"/>
  <c r="J89" i="56" s="1"/>
  <c r="K82" i="58"/>
  <c r="M82" i="57"/>
  <c r="L82" i="57"/>
  <c r="H18" i="57"/>
  <c r="I18" i="56"/>
  <c r="L18" i="56"/>
  <c r="I83" i="56"/>
  <c r="J83" i="56" s="1"/>
  <c r="O83" i="57"/>
  <c r="K84" i="58"/>
  <c r="M84" i="57"/>
  <c r="K92" i="58"/>
  <c r="M92" i="57"/>
  <c r="K54" i="57"/>
  <c r="L54" i="56"/>
  <c r="Z51" i="56" s="1"/>
  <c r="K93" i="58"/>
  <c r="M93" i="57"/>
  <c r="O84" i="57"/>
  <c r="I84" i="56"/>
  <c r="J84" i="56" s="1"/>
  <c r="K34" i="76"/>
  <c r="M83" i="57"/>
  <c r="K83" i="58"/>
  <c r="L61" i="56"/>
  <c r="K61" i="57"/>
  <c r="H10" i="58"/>
  <c r="L21" i="57"/>
  <c r="I21" i="57"/>
  <c r="H21" i="58"/>
  <c r="E142" i="56"/>
  <c r="D142" i="56"/>
  <c r="F142" i="56"/>
  <c r="G142" i="56"/>
  <c r="C142" i="56"/>
  <c r="H142" i="56"/>
  <c r="R55" i="58"/>
  <c r="L55" i="58"/>
  <c r="Z52" i="58" s="1"/>
  <c r="K55" i="59"/>
  <c r="J143" i="56"/>
  <c r="K51" i="57"/>
  <c r="K51" i="58" s="1"/>
  <c r="K49" i="56"/>
  <c r="K49" i="57" s="1"/>
  <c r="F5" i="56"/>
  <c r="H9" i="56"/>
  <c r="I78" i="79"/>
  <c r="K61" i="58" l="1"/>
  <c r="L61" i="57"/>
  <c r="L21" i="58"/>
  <c r="I21" i="58"/>
  <c r="H21" i="59"/>
  <c r="M83" i="58"/>
  <c r="K83" i="59"/>
  <c r="K62" i="60"/>
  <c r="L62" i="59"/>
  <c r="Z58" i="59" s="1"/>
  <c r="D92" i="56"/>
  <c r="E92" i="56" s="1"/>
  <c r="K125" i="56"/>
  <c r="O92" i="56"/>
  <c r="I49" i="56"/>
  <c r="L49" i="56"/>
  <c r="K11" i="58"/>
  <c r="L11" i="57"/>
  <c r="I51" i="57"/>
  <c r="L51" i="57"/>
  <c r="H51" i="58"/>
  <c r="H49" i="57"/>
  <c r="K44" i="60"/>
  <c r="K58" i="57"/>
  <c r="L58" i="56"/>
  <c r="Z55" i="56" s="1"/>
  <c r="H18" i="58"/>
  <c r="I18" i="57"/>
  <c r="L18" i="57"/>
  <c r="L10" i="56"/>
  <c r="K10" i="57"/>
  <c r="K9" i="56"/>
  <c r="K84" i="59"/>
  <c r="M84" i="58"/>
  <c r="I90" i="58"/>
  <c r="J90" i="58" s="1"/>
  <c r="O90" i="59"/>
  <c r="O83" i="58"/>
  <c r="I83" i="57"/>
  <c r="J83" i="57" s="1"/>
  <c r="K49" i="58"/>
  <c r="K51" i="59"/>
  <c r="K55" i="60"/>
  <c r="R55" i="59"/>
  <c r="L55" i="59"/>
  <c r="Z52" i="59" s="1"/>
  <c r="L5" i="76"/>
  <c r="B139" i="56"/>
  <c r="H17" i="56"/>
  <c r="O82" i="59"/>
  <c r="I82" i="58"/>
  <c r="J82" i="58" s="1"/>
  <c r="K90" i="59"/>
  <c r="M90" i="58"/>
  <c r="O84" i="58"/>
  <c r="I84" i="57"/>
  <c r="J84" i="57" s="1"/>
  <c r="D93" i="56"/>
  <c r="E93" i="56" s="1"/>
  <c r="O93" i="56"/>
  <c r="L72" i="58"/>
  <c r="H72" i="59"/>
  <c r="F14" i="56"/>
  <c r="T14" i="56" s="1"/>
  <c r="H16" i="56"/>
  <c r="M92" i="58"/>
  <c r="K92" i="59"/>
  <c r="L144" i="56"/>
  <c r="N145" i="56" s="1"/>
  <c r="M145" i="56" s="1"/>
  <c r="S119" i="79"/>
  <c r="J7" i="81"/>
  <c r="J5" i="76"/>
  <c r="J131" i="56"/>
  <c r="T17" i="56"/>
  <c r="H10" i="59"/>
  <c r="D7" i="81"/>
  <c r="M119" i="79"/>
  <c r="F7" i="81"/>
  <c r="O119" i="79"/>
  <c r="I142" i="56"/>
  <c r="Q119" i="79"/>
  <c r="H7" i="81"/>
  <c r="O5" i="76"/>
  <c r="H22" i="56"/>
  <c r="M93" i="58"/>
  <c r="K93" i="59"/>
  <c r="B145" i="56"/>
  <c r="M5" i="76"/>
  <c r="M34" i="76" s="1"/>
  <c r="H19" i="56"/>
  <c r="J141" i="56"/>
  <c r="H5" i="56"/>
  <c r="I9" i="56"/>
  <c r="H9" i="57"/>
  <c r="K54" i="58"/>
  <c r="L54" i="57"/>
  <c r="Z51" i="57" s="1"/>
  <c r="B147" i="56"/>
  <c r="H20" i="56"/>
  <c r="L82" i="58"/>
  <c r="K82" i="59"/>
  <c r="M82" i="58"/>
  <c r="L135" i="56"/>
  <c r="N139" i="56" s="1"/>
  <c r="M139" i="56" s="1"/>
  <c r="I17" i="56" l="1"/>
  <c r="H17" i="57"/>
  <c r="L17" i="56"/>
  <c r="O92" i="57"/>
  <c r="I92" i="56"/>
  <c r="J92" i="56" s="1"/>
  <c r="L11" i="58"/>
  <c r="K11" i="59"/>
  <c r="N138" i="56"/>
  <c r="M138" i="56" s="1"/>
  <c r="S135" i="56"/>
  <c r="N140" i="56"/>
  <c r="M140" i="56" s="1"/>
  <c r="N136" i="56"/>
  <c r="M136" i="56" s="1"/>
  <c r="L34" i="76"/>
  <c r="P5" i="76"/>
  <c r="P34" i="76" s="1"/>
  <c r="M84" i="59"/>
  <c r="K84" i="60"/>
  <c r="H10" i="60"/>
  <c r="L19" i="56"/>
  <c r="I19" i="56"/>
  <c r="H19" i="57"/>
  <c r="L55" i="60"/>
  <c r="Z52" i="60" s="1"/>
  <c r="R55" i="60"/>
  <c r="K55" i="61"/>
  <c r="L58" i="57"/>
  <c r="Z55" i="57" s="1"/>
  <c r="K58" i="58"/>
  <c r="K51" i="60"/>
  <c r="K49" i="59"/>
  <c r="AJ5" i="76"/>
  <c r="AH5" i="76"/>
  <c r="J34" i="76"/>
  <c r="K44" i="61"/>
  <c r="L61" i="58"/>
  <c r="K61" i="59"/>
  <c r="I5" i="56"/>
  <c r="P132" i="56"/>
  <c r="H128" i="56" s="1"/>
  <c r="I128" i="56" s="1"/>
  <c r="L20" i="56"/>
  <c r="I20" i="56"/>
  <c r="H20" i="57"/>
  <c r="O93" i="57"/>
  <c r="I93" i="56"/>
  <c r="J93" i="56" s="1"/>
  <c r="I49" i="57"/>
  <c r="L49" i="57"/>
  <c r="H14" i="56"/>
  <c r="I14" i="56" s="1"/>
  <c r="H16" i="57"/>
  <c r="L16" i="56"/>
  <c r="I16" i="56"/>
  <c r="I82" i="59"/>
  <c r="J82" i="59" s="1"/>
  <c r="O82" i="60"/>
  <c r="C140" i="56"/>
  <c r="B149" i="56"/>
  <c r="E140" i="56"/>
  <c r="F140" i="56"/>
  <c r="G140" i="56"/>
  <c r="H140" i="56"/>
  <c r="D140" i="56"/>
  <c r="J139" i="56" s="1"/>
  <c r="L82" i="59"/>
  <c r="K82" i="60"/>
  <c r="M82" i="59"/>
  <c r="O83" i="59"/>
  <c r="I83" i="58"/>
  <c r="J83" i="58" s="1"/>
  <c r="K5" i="56"/>
  <c r="K9" i="57"/>
  <c r="H51" i="59"/>
  <c r="H49" i="58"/>
  <c r="L51" i="58"/>
  <c r="I51" i="58"/>
  <c r="H21" i="60"/>
  <c r="I21" i="59"/>
  <c r="L21" i="59"/>
  <c r="L72" i="59"/>
  <c r="H72" i="60"/>
  <c r="K54" i="59"/>
  <c r="L54" i="58"/>
  <c r="Z51" i="58" s="1"/>
  <c r="K10" i="58"/>
  <c r="L10" i="57"/>
  <c r="D148" i="56"/>
  <c r="E148" i="56"/>
  <c r="G148" i="56"/>
  <c r="H148" i="56"/>
  <c r="F148" i="56"/>
  <c r="C148" i="56"/>
  <c r="L62" i="60"/>
  <c r="Z58" i="60" s="1"/>
  <c r="K62" i="61"/>
  <c r="K90" i="60"/>
  <c r="M90" i="59"/>
  <c r="I18" i="58"/>
  <c r="H18" i="59"/>
  <c r="L18" i="58"/>
  <c r="D146" i="56"/>
  <c r="E146" i="56"/>
  <c r="G146" i="56"/>
  <c r="F146" i="56"/>
  <c r="H146" i="56"/>
  <c r="C146" i="56"/>
  <c r="L131" i="56"/>
  <c r="P131" i="56"/>
  <c r="M93" i="59"/>
  <c r="K93" i="60"/>
  <c r="L22" i="56"/>
  <c r="H22" i="57"/>
  <c r="L9" i="57"/>
  <c r="L5" i="57" s="1"/>
  <c r="H5" i="57"/>
  <c r="H9" i="58"/>
  <c r="I9" i="57"/>
  <c r="M144" i="56"/>
  <c r="N137" i="56"/>
  <c r="M137" i="56" s="1"/>
  <c r="N146" i="56"/>
  <c r="M146" i="56" s="1"/>
  <c r="N148" i="56"/>
  <c r="M148" i="56" s="1"/>
  <c r="N147" i="56"/>
  <c r="M147" i="56" s="1"/>
  <c r="I84" i="58"/>
  <c r="J84" i="58" s="1"/>
  <c r="O84" i="59"/>
  <c r="I90" i="59"/>
  <c r="J90" i="59" s="1"/>
  <c r="O90" i="60"/>
  <c r="L9" i="56"/>
  <c r="L5" i="56" s="1"/>
  <c r="M92" i="59"/>
  <c r="K92" i="60"/>
  <c r="M83" i="59"/>
  <c r="K83" i="60"/>
  <c r="J147" i="56" l="1"/>
  <c r="K10" i="59"/>
  <c r="L10" i="58"/>
  <c r="M82" i="60"/>
  <c r="K82" i="61"/>
  <c r="L82" i="60"/>
  <c r="M135" i="56"/>
  <c r="H9" i="59"/>
  <c r="I9" i="58"/>
  <c r="H5" i="58"/>
  <c r="L72" i="60"/>
  <c r="H72" i="61"/>
  <c r="O93" i="58"/>
  <c r="I93" i="57"/>
  <c r="J93" i="57" s="1"/>
  <c r="I5" i="57"/>
  <c r="P132" i="57"/>
  <c r="H128" i="57" s="1"/>
  <c r="I128" i="57" s="1"/>
  <c r="D7" i="82"/>
  <c r="E119" i="79"/>
  <c r="H20" i="58"/>
  <c r="L20" i="57"/>
  <c r="I20" i="57"/>
  <c r="L55" i="61"/>
  <c r="Z52" i="61" s="1"/>
  <c r="R55" i="61"/>
  <c r="K55" i="62"/>
  <c r="I16" i="57"/>
  <c r="L16" i="57"/>
  <c r="H16" i="58"/>
  <c r="H14" i="57"/>
  <c r="I14" i="57" s="1"/>
  <c r="K49" i="60"/>
  <c r="K51" i="61"/>
  <c r="J7" i="82"/>
  <c r="K119" i="79"/>
  <c r="M84" i="60"/>
  <c r="K84" i="61"/>
  <c r="H7" i="82"/>
  <c r="I119" i="79"/>
  <c r="L58" i="58"/>
  <c r="Z55" i="58" s="1"/>
  <c r="K58" i="59"/>
  <c r="I19" i="57"/>
  <c r="H19" i="58"/>
  <c r="L19" i="57"/>
  <c r="L11" i="59"/>
  <c r="K11" i="60"/>
  <c r="K83" i="61"/>
  <c r="M83" i="60"/>
  <c r="C150" i="56"/>
  <c r="E150" i="56"/>
  <c r="F150" i="56"/>
  <c r="H150" i="56"/>
  <c r="G150" i="56"/>
  <c r="D150" i="56"/>
  <c r="M90" i="60"/>
  <c r="K90" i="61"/>
  <c r="I148" i="56"/>
  <c r="G119" i="79"/>
  <c r="F7" i="82"/>
  <c r="I140" i="56"/>
  <c r="L61" i="59"/>
  <c r="K61" i="60"/>
  <c r="L22" i="57"/>
  <c r="H22" i="58"/>
  <c r="K62" i="62"/>
  <c r="L62" i="61"/>
  <c r="Z58" i="61" s="1"/>
  <c r="O84" i="60"/>
  <c r="I84" i="59"/>
  <c r="J84" i="59" s="1"/>
  <c r="O82" i="61"/>
  <c r="I82" i="60"/>
  <c r="J82" i="60" s="1"/>
  <c r="I92" i="57"/>
  <c r="J92" i="57" s="1"/>
  <c r="O92" i="58"/>
  <c r="J145" i="56"/>
  <c r="I18" i="59"/>
  <c r="H18" i="60"/>
  <c r="L18" i="59"/>
  <c r="O90" i="61"/>
  <c r="I90" i="60"/>
  <c r="J90" i="60" s="1"/>
  <c r="I21" i="60"/>
  <c r="H21" i="61"/>
  <c r="L21" i="60"/>
  <c r="K93" i="61"/>
  <c r="M93" i="60"/>
  <c r="H10" i="61"/>
  <c r="L54" i="59"/>
  <c r="Z51" i="59" s="1"/>
  <c r="K54" i="60"/>
  <c r="H17" i="58"/>
  <c r="L17" i="57"/>
  <c r="I17" i="57"/>
  <c r="O83" i="60"/>
  <c r="I83" i="59"/>
  <c r="J83" i="59" s="1"/>
  <c r="K92" i="61"/>
  <c r="M92" i="60"/>
  <c r="AK5" i="76"/>
  <c r="E128" i="56"/>
  <c r="F128" i="56" s="1"/>
  <c r="L49" i="58"/>
  <c r="I49" i="58"/>
  <c r="H49" i="59"/>
  <c r="I51" i="59"/>
  <c r="H51" i="60"/>
  <c r="L51" i="59"/>
  <c r="I146" i="56"/>
  <c r="K9" i="58"/>
  <c r="L9" i="58" s="1"/>
  <c r="L5" i="58" s="1"/>
  <c r="K5" i="57"/>
  <c r="K44" i="62"/>
  <c r="L14" i="56"/>
  <c r="H22" i="59" l="1"/>
  <c r="L22" i="58"/>
  <c r="I150" i="56"/>
  <c r="I18" i="60"/>
  <c r="H18" i="61"/>
  <c r="L18" i="60"/>
  <c r="K61" i="61"/>
  <c r="L61" i="60"/>
  <c r="L11" i="60"/>
  <c r="K11" i="61"/>
  <c r="H16" i="59"/>
  <c r="H14" i="58"/>
  <c r="I16" i="58"/>
  <c r="L16" i="58"/>
  <c r="K44" i="63"/>
  <c r="K49" i="61"/>
  <c r="K51" i="62"/>
  <c r="M83" i="61"/>
  <c r="K83" i="62"/>
  <c r="H49" i="60"/>
  <c r="H51" i="61"/>
  <c r="L51" i="60"/>
  <c r="I51" i="60"/>
  <c r="K54" i="61"/>
  <c r="L54" i="60"/>
  <c r="Z51" i="60" s="1"/>
  <c r="L14" i="57"/>
  <c r="P132" i="58"/>
  <c r="H128" i="58" s="1"/>
  <c r="I128" i="58" s="1"/>
  <c r="I5" i="58"/>
  <c r="L62" i="62"/>
  <c r="Z58" i="62" s="1"/>
  <c r="K62" i="63"/>
  <c r="O83" i="61"/>
  <c r="I83" i="60"/>
  <c r="J83" i="60" s="1"/>
  <c r="I90" i="61"/>
  <c r="J90" i="61" s="1"/>
  <c r="O90" i="62"/>
  <c r="L72" i="61"/>
  <c r="H72" i="62"/>
  <c r="I92" i="58"/>
  <c r="J92" i="58" s="1"/>
  <c r="O92" i="59"/>
  <c r="H19" i="59"/>
  <c r="L19" i="58"/>
  <c r="I19" i="58"/>
  <c r="L55" i="62"/>
  <c r="Z52" i="62" s="1"/>
  <c r="R55" i="62"/>
  <c r="K55" i="63"/>
  <c r="K5" i="58"/>
  <c r="K9" i="59"/>
  <c r="H10" i="62"/>
  <c r="H5" i="59"/>
  <c r="H9" i="60"/>
  <c r="I9" i="59"/>
  <c r="L21" i="61"/>
  <c r="I21" i="61"/>
  <c r="H21" i="62"/>
  <c r="H17" i="59"/>
  <c r="L17" i="58"/>
  <c r="I17" i="58"/>
  <c r="L58" i="59"/>
  <c r="Z55" i="59" s="1"/>
  <c r="K58" i="60"/>
  <c r="O93" i="59"/>
  <c r="I93" i="58"/>
  <c r="J93" i="58" s="1"/>
  <c r="O82" i="62"/>
  <c r="I82" i="61"/>
  <c r="J82" i="61" s="1"/>
  <c r="K90" i="62"/>
  <c r="M90" i="61"/>
  <c r="I49" i="59"/>
  <c r="L49" i="59"/>
  <c r="M82" i="61"/>
  <c r="K82" i="62"/>
  <c r="L82" i="61"/>
  <c r="M92" i="61"/>
  <c r="K92" i="62"/>
  <c r="I84" i="60"/>
  <c r="J84" i="60" s="1"/>
  <c r="O84" i="61"/>
  <c r="L20" i="58"/>
  <c r="H20" i="59"/>
  <c r="I20" i="58"/>
  <c r="M93" i="61"/>
  <c r="K93" i="62"/>
  <c r="M84" i="61"/>
  <c r="K84" i="62"/>
  <c r="K10" i="60"/>
  <c r="L10" i="59"/>
  <c r="O82" i="63" l="1"/>
  <c r="I82" i="62"/>
  <c r="J82" i="62" s="1"/>
  <c r="L62" i="63"/>
  <c r="Z58" i="63" s="1"/>
  <c r="K62" i="64"/>
  <c r="I93" i="59"/>
  <c r="J93" i="59" s="1"/>
  <c r="O93" i="60"/>
  <c r="H14" i="59"/>
  <c r="I14" i="59" s="1"/>
  <c r="L16" i="59"/>
  <c r="H16" i="60"/>
  <c r="I16" i="59"/>
  <c r="M92" i="62"/>
  <c r="K92" i="63"/>
  <c r="K10" i="61"/>
  <c r="L10" i="60"/>
  <c r="M82" i="62"/>
  <c r="L82" i="62"/>
  <c r="K82" i="63"/>
  <c r="L11" i="61"/>
  <c r="K11" i="62"/>
  <c r="R55" i="63"/>
  <c r="L55" i="63"/>
  <c r="Z52" i="63" s="1"/>
  <c r="K55" i="64"/>
  <c r="L54" i="61"/>
  <c r="Z51" i="61" s="1"/>
  <c r="K54" i="62"/>
  <c r="K9" i="60"/>
  <c r="K5" i="59"/>
  <c r="H19" i="60"/>
  <c r="I19" i="59"/>
  <c r="L19" i="59"/>
  <c r="K44" i="64"/>
  <c r="I92" i="59"/>
  <c r="J92" i="59" s="1"/>
  <c r="O92" i="60"/>
  <c r="K61" i="62"/>
  <c r="L61" i="61"/>
  <c r="H49" i="61"/>
  <c r="L51" i="61"/>
  <c r="I51" i="61"/>
  <c r="H51" i="62"/>
  <c r="I84" i="61"/>
  <c r="J84" i="61" s="1"/>
  <c r="O84" i="62"/>
  <c r="L17" i="59"/>
  <c r="I17" i="59"/>
  <c r="H17" i="60"/>
  <c r="L72" i="62"/>
  <c r="H72" i="63"/>
  <c r="L49" i="60"/>
  <c r="I49" i="60"/>
  <c r="H18" i="62"/>
  <c r="I18" i="61"/>
  <c r="L18" i="61"/>
  <c r="I14" i="58"/>
  <c r="M83" i="62"/>
  <c r="K83" i="63"/>
  <c r="K84" i="63"/>
  <c r="M84" i="62"/>
  <c r="O90" i="63"/>
  <c r="I90" i="62"/>
  <c r="J90" i="62" s="1"/>
  <c r="O83" i="62"/>
  <c r="I83" i="61"/>
  <c r="J83" i="61" s="1"/>
  <c r="L21" i="62"/>
  <c r="H21" i="63"/>
  <c r="I21" i="62"/>
  <c r="K49" i="62"/>
  <c r="K51" i="63"/>
  <c r="L14" i="58"/>
  <c r="K58" i="61"/>
  <c r="L58" i="60"/>
  <c r="Z55" i="60" s="1"/>
  <c r="M93" i="62"/>
  <c r="K93" i="63"/>
  <c r="L9" i="59"/>
  <c r="L5" i="59" s="1"/>
  <c r="L9" i="60"/>
  <c r="L5" i="60" s="1"/>
  <c r="I9" i="60"/>
  <c r="H5" i="60"/>
  <c r="H9" i="61"/>
  <c r="M90" i="62"/>
  <c r="K90" i="63"/>
  <c r="I5" i="59"/>
  <c r="P132" i="59"/>
  <c r="H128" i="59" s="1"/>
  <c r="I128" i="59" s="1"/>
  <c r="H20" i="60"/>
  <c r="L20" i="59"/>
  <c r="I20" i="59"/>
  <c r="H10" i="63"/>
  <c r="H22" i="60"/>
  <c r="L22" i="59"/>
  <c r="K93" i="64" l="1"/>
  <c r="M93" i="63"/>
  <c r="H22" i="61"/>
  <c r="L22" i="60"/>
  <c r="K5" i="60"/>
  <c r="K9" i="61"/>
  <c r="H16" i="61"/>
  <c r="H14" i="60"/>
  <c r="I14" i="60" s="1"/>
  <c r="L16" i="60"/>
  <c r="I16" i="60"/>
  <c r="L14" i="59"/>
  <c r="O83" i="63"/>
  <c r="I83" i="62"/>
  <c r="J83" i="62" s="1"/>
  <c r="I84" i="62"/>
  <c r="J84" i="62" s="1"/>
  <c r="O84" i="63"/>
  <c r="K83" i="64"/>
  <c r="T82" i="63"/>
  <c r="M83" i="63"/>
  <c r="K44" i="65"/>
  <c r="I90" i="63"/>
  <c r="J90" i="63" s="1"/>
  <c r="O90" i="64"/>
  <c r="H10" i="64"/>
  <c r="I93" i="60"/>
  <c r="J93" i="60" s="1"/>
  <c r="O93" i="61"/>
  <c r="L58" i="61"/>
  <c r="Z55" i="61" s="1"/>
  <c r="K58" i="62"/>
  <c r="K51" i="64"/>
  <c r="K49" i="63"/>
  <c r="K92" i="64"/>
  <c r="M92" i="63"/>
  <c r="K54" i="63"/>
  <c r="L54" i="62"/>
  <c r="Z51" i="62" s="1"/>
  <c r="L55" i="64"/>
  <c r="Z52" i="64" s="1"/>
  <c r="K55" i="65"/>
  <c r="R55" i="64"/>
  <c r="K62" i="65"/>
  <c r="L62" i="64"/>
  <c r="Z58" i="64" s="1"/>
  <c r="H17" i="61"/>
  <c r="I17" i="60"/>
  <c r="L17" i="60"/>
  <c r="K10" i="62"/>
  <c r="L10" i="61"/>
  <c r="L19" i="60"/>
  <c r="H19" i="61"/>
  <c r="I19" i="60"/>
  <c r="L11" i="62"/>
  <c r="K11" i="63"/>
  <c r="I49" i="61"/>
  <c r="L49" i="61"/>
  <c r="H18" i="63"/>
  <c r="I18" i="62"/>
  <c r="L18" i="62"/>
  <c r="K61" i="63"/>
  <c r="L61" i="62"/>
  <c r="M84" i="63"/>
  <c r="K84" i="64"/>
  <c r="H51" i="63"/>
  <c r="I51" i="62"/>
  <c r="H49" i="62"/>
  <c r="L51" i="62"/>
  <c r="L20" i="60"/>
  <c r="H20" i="61"/>
  <c r="I20" i="60"/>
  <c r="K90" i="64"/>
  <c r="M90" i="63"/>
  <c r="I9" i="61"/>
  <c r="H9" i="62"/>
  <c r="L9" i="61"/>
  <c r="L5" i="61" s="1"/>
  <c r="H5" i="61"/>
  <c r="H21" i="64"/>
  <c r="L21" i="63"/>
  <c r="I21" i="63"/>
  <c r="I5" i="60"/>
  <c r="P132" i="60"/>
  <c r="H128" i="60" s="1"/>
  <c r="I128" i="60" s="1"/>
  <c r="H72" i="64"/>
  <c r="L72" i="63"/>
  <c r="O92" i="61"/>
  <c r="I92" i="60"/>
  <c r="J92" i="60" s="1"/>
  <c r="L82" i="63"/>
  <c r="M82" i="63"/>
  <c r="K82" i="64"/>
  <c r="O82" i="64"/>
  <c r="I82" i="63"/>
  <c r="J82" i="63" s="1"/>
  <c r="I84" i="63" l="1"/>
  <c r="J84" i="63" s="1"/>
  <c r="O84" i="64"/>
  <c r="K10" i="63"/>
  <c r="L10" i="62"/>
  <c r="K84" i="65"/>
  <c r="M84" i="64"/>
  <c r="L58" i="62"/>
  <c r="Z55" i="62" s="1"/>
  <c r="K58" i="63"/>
  <c r="L17" i="61"/>
  <c r="H17" i="62"/>
  <c r="I17" i="61"/>
  <c r="L82" i="64"/>
  <c r="K82" i="65"/>
  <c r="M82" i="64"/>
  <c r="L62" i="65"/>
  <c r="Z58" i="65" s="1"/>
  <c r="K62" i="66"/>
  <c r="L14" i="60"/>
  <c r="H9" i="63"/>
  <c r="H5" i="62"/>
  <c r="I9" i="62"/>
  <c r="O83" i="64"/>
  <c r="T83" i="63"/>
  <c r="I83" i="63"/>
  <c r="J83" i="63" s="1"/>
  <c r="K61" i="64"/>
  <c r="L61" i="63"/>
  <c r="I16" i="61"/>
  <c r="H14" i="61"/>
  <c r="I14" i="61" s="1"/>
  <c r="H16" i="62"/>
  <c r="L16" i="61"/>
  <c r="I49" i="62"/>
  <c r="L49" i="62"/>
  <c r="H51" i="64"/>
  <c r="H49" i="63"/>
  <c r="I51" i="63"/>
  <c r="L51" i="63"/>
  <c r="O90" i="65"/>
  <c r="I90" i="64"/>
  <c r="J90" i="64" s="1"/>
  <c r="K5" i="61"/>
  <c r="K9" i="62"/>
  <c r="M83" i="64"/>
  <c r="K83" i="65"/>
  <c r="M92" i="64"/>
  <c r="K92" i="65"/>
  <c r="I5" i="61"/>
  <c r="P132" i="61"/>
  <c r="H128" i="61" s="1"/>
  <c r="I128" i="61" s="1"/>
  <c r="H18" i="64"/>
  <c r="I18" i="63"/>
  <c r="L18" i="63"/>
  <c r="L11" i="63"/>
  <c r="K11" i="64"/>
  <c r="K44" i="66"/>
  <c r="I21" i="64"/>
  <c r="H21" i="65"/>
  <c r="L21" i="64"/>
  <c r="H20" i="62"/>
  <c r="I20" i="61"/>
  <c r="L20" i="61"/>
  <c r="L22" i="61"/>
  <c r="H22" i="62"/>
  <c r="K51" i="65"/>
  <c r="K49" i="64"/>
  <c r="H10" i="65"/>
  <c r="O82" i="65"/>
  <c r="I82" i="64"/>
  <c r="J82" i="64" s="1"/>
  <c r="O93" i="62"/>
  <c r="I93" i="61"/>
  <c r="J93" i="61" s="1"/>
  <c r="O92" i="62"/>
  <c r="I92" i="61"/>
  <c r="J92" i="61" s="1"/>
  <c r="K90" i="65"/>
  <c r="M90" i="64"/>
  <c r="L55" i="65"/>
  <c r="Z52" i="65" s="1"/>
  <c r="R55" i="65"/>
  <c r="K55" i="66"/>
  <c r="L72" i="64"/>
  <c r="H72" i="65"/>
  <c r="H19" i="62"/>
  <c r="L19" i="61"/>
  <c r="I19" i="61"/>
  <c r="K54" i="64"/>
  <c r="L54" i="63"/>
  <c r="Z51" i="63" s="1"/>
  <c r="M93" i="64"/>
  <c r="K93" i="65"/>
  <c r="L14" i="61" l="1"/>
  <c r="L22" i="62"/>
  <c r="H22" i="63"/>
  <c r="M90" i="65"/>
  <c r="K90" i="66"/>
  <c r="L82" i="65"/>
  <c r="M82" i="65"/>
  <c r="K82" i="66"/>
  <c r="I21" i="65"/>
  <c r="H21" i="66"/>
  <c r="L21" i="65"/>
  <c r="K83" i="66"/>
  <c r="M83" i="65"/>
  <c r="H17" i="63"/>
  <c r="I17" i="62"/>
  <c r="L17" i="62"/>
  <c r="K61" i="65"/>
  <c r="L61" i="64"/>
  <c r="I92" i="62"/>
  <c r="J92" i="62" s="1"/>
  <c r="O92" i="63"/>
  <c r="K9" i="63"/>
  <c r="K5" i="62"/>
  <c r="K58" i="64"/>
  <c r="L58" i="63"/>
  <c r="Z55" i="63" s="1"/>
  <c r="H14" i="62"/>
  <c r="I14" i="62" s="1"/>
  <c r="H16" i="63"/>
  <c r="I16" i="62"/>
  <c r="L16" i="62"/>
  <c r="M93" i="65"/>
  <c r="K93" i="66"/>
  <c r="I83" i="64"/>
  <c r="J83" i="64" s="1"/>
  <c r="O83" i="65"/>
  <c r="L20" i="62"/>
  <c r="H20" i="63"/>
  <c r="I20" i="62"/>
  <c r="I90" i="65"/>
  <c r="J90" i="65" s="1"/>
  <c r="O90" i="66"/>
  <c r="K84" i="66"/>
  <c r="M84" i="65"/>
  <c r="L62" i="66"/>
  <c r="Z58" i="66" s="1"/>
  <c r="K62" i="67"/>
  <c r="K44" i="67"/>
  <c r="P132" i="62"/>
  <c r="H128" i="62" s="1"/>
  <c r="I128" i="62" s="1"/>
  <c r="I5" i="62"/>
  <c r="M92" i="65"/>
  <c r="K92" i="66"/>
  <c r="L54" i="64"/>
  <c r="Z51" i="64" s="1"/>
  <c r="K54" i="65"/>
  <c r="I93" i="62"/>
  <c r="J93" i="62" s="1"/>
  <c r="O93" i="63"/>
  <c r="H19" i="63"/>
  <c r="I19" i="62"/>
  <c r="L19" i="62"/>
  <c r="L9" i="62"/>
  <c r="L5" i="62" s="1"/>
  <c r="K10" i="64"/>
  <c r="L10" i="63"/>
  <c r="K11" i="65"/>
  <c r="L11" i="64"/>
  <c r="R55" i="66"/>
  <c r="L55" i="66"/>
  <c r="Z52" i="66" s="1"/>
  <c r="K55" i="67"/>
  <c r="L49" i="63"/>
  <c r="I49" i="63"/>
  <c r="H9" i="64"/>
  <c r="I9" i="63"/>
  <c r="L9" i="63"/>
  <c r="L5" i="63" s="1"/>
  <c r="H5" i="63"/>
  <c r="O84" i="65"/>
  <c r="I84" i="64"/>
  <c r="J84" i="64" s="1"/>
  <c r="O82" i="66"/>
  <c r="I82" i="65"/>
  <c r="J82" i="65" s="1"/>
  <c r="L72" i="65"/>
  <c r="H72" i="66"/>
  <c r="H10" i="66"/>
  <c r="H18" i="65"/>
  <c r="I18" i="64"/>
  <c r="L18" i="64"/>
  <c r="K49" i="65"/>
  <c r="K49" i="66" s="1"/>
  <c r="K51" i="66"/>
  <c r="K51" i="67" s="1"/>
  <c r="H49" i="64"/>
  <c r="I51" i="64"/>
  <c r="L51" i="64"/>
  <c r="H51" i="65"/>
  <c r="K11" i="66" l="1"/>
  <c r="L11" i="65"/>
  <c r="I83" i="65"/>
  <c r="J83" i="65" s="1"/>
  <c r="O83" i="66"/>
  <c r="M83" i="66"/>
  <c r="K83" i="67"/>
  <c r="L72" i="66"/>
  <c r="H72" i="67"/>
  <c r="O82" i="67"/>
  <c r="I82" i="66"/>
  <c r="J82" i="66" s="1"/>
  <c r="L14" i="62"/>
  <c r="I51" i="65"/>
  <c r="L51" i="65"/>
  <c r="H49" i="65"/>
  <c r="H51" i="66"/>
  <c r="O84" i="66"/>
  <c r="I84" i="65"/>
  <c r="J84" i="65" s="1"/>
  <c r="K10" i="65"/>
  <c r="L10" i="64"/>
  <c r="K44" i="68"/>
  <c r="H16" i="64"/>
  <c r="L16" i="63"/>
  <c r="I16" i="63"/>
  <c r="H14" i="63"/>
  <c r="I14" i="63" s="1"/>
  <c r="H21" i="67"/>
  <c r="L21" i="66"/>
  <c r="I21" i="66"/>
  <c r="H17" i="64"/>
  <c r="I17" i="63"/>
  <c r="L17" i="63"/>
  <c r="K82" i="67"/>
  <c r="L82" i="66"/>
  <c r="M82" i="66"/>
  <c r="L61" i="65"/>
  <c r="K61" i="66"/>
  <c r="L58" i="64"/>
  <c r="Z55" i="64" s="1"/>
  <c r="K58" i="65"/>
  <c r="I5" i="63"/>
  <c r="P132" i="63"/>
  <c r="H128" i="63" s="1"/>
  <c r="I128" i="63" s="1"/>
  <c r="M84" i="66"/>
  <c r="K84" i="67"/>
  <c r="H10" i="67"/>
  <c r="I9" i="64"/>
  <c r="H9" i="65"/>
  <c r="H5" i="64"/>
  <c r="I90" i="66"/>
  <c r="J90" i="66" s="1"/>
  <c r="O90" i="67"/>
  <c r="K9" i="64"/>
  <c r="L9" i="64" s="1"/>
  <c r="L5" i="64" s="1"/>
  <c r="K5" i="63"/>
  <c r="M90" i="66"/>
  <c r="K90" i="67"/>
  <c r="I49" i="64"/>
  <c r="L49" i="64"/>
  <c r="L55" i="67"/>
  <c r="Z52" i="67" s="1"/>
  <c r="K55" i="68"/>
  <c r="R55" i="67"/>
  <c r="I92" i="63"/>
  <c r="J92" i="63" s="1"/>
  <c r="O92" i="64"/>
  <c r="K93" i="67"/>
  <c r="M93" i="66"/>
  <c r="I19" i="63"/>
  <c r="H19" i="64"/>
  <c r="L19" i="63"/>
  <c r="I18" i="65"/>
  <c r="H18" i="66"/>
  <c r="L18" i="65"/>
  <c r="H22" i="64"/>
  <c r="L22" i="63"/>
  <c r="L62" i="67"/>
  <c r="Z58" i="67" s="1"/>
  <c r="K62" i="68"/>
  <c r="K51" i="68"/>
  <c r="K49" i="67"/>
  <c r="I93" i="63"/>
  <c r="J93" i="63" s="1"/>
  <c r="O93" i="64"/>
  <c r="K54" i="66"/>
  <c r="L54" i="65"/>
  <c r="Z51" i="65" s="1"/>
  <c r="M92" i="66"/>
  <c r="K92" i="67"/>
  <c r="I20" i="63"/>
  <c r="H20" i="64"/>
  <c r="L20" i="63"/>
  <c r="M84" i="67" l="1"/>
  <c r="K84" i="68"/>
  <c r="L22" i="64"/>
  <c r="H22" i="65"/>
  <c r="H18" i="67"/>
  <c r="I18" i="66"/>
  <c r="L18" i="66"/>
  <c r="L14" i="63"/>
  <c r="K58" i="66"/>
  <c r="L58" i="65"/>
  <c r="Z55" i="65" s="1"/>
  <c r="L16" i="64"/>
  <c r="H14" i="64"/>
  <c r="I14" i="64" s="1"/>
  <c r="I16" i="64"/>
  <c r="H16" i="65"/>
  <c r="O82" i="68"/>
  <c r="I82" i="67"/>
  <c r="J82" i="67" s="1"/>
  <c r="H49" i="66"/>
  <c r="I49" i="65"/>
  <c r="L49" i="65"/>
  <c r="L72" i="67"/>
  <c r="H72" i="68"/>
  <c r="L55" i="68"/>
  <c r="Z52" i="68" s="1"/>
  <c r="R55" i="68"/>
  <c r="K55" i="69"/>
  <c r="L61" i="66"/>
  <c r="K61" i="67"/>
  <c r="K44" i="69"/>
  <c r="L62" i="68"/>
  <c r="Z58" i="68" s="1"/>
  <c r="K62" i="69"/>
  <c r="K83" i="68"/>
  <c r="M83" i="67"/>
  <c r="M90" i="67"/>
  <c r="K90" i="68"/>
  <c r="H19" i="65"/>
  <c r="L19" i="64"/>
  <c r="I19" i="64"/>
  <c r="P132" i="64"/>
  <c r="H128" i="64" s="1"/>
  <c r="I128" i="64" s="1"/>
  <c r="I5" i="64"/>
  <c r="L17" i="64"/>
  <c r="I17" i="64"/>
  <c r="H17" i="65"/>
  <c r="L21" i="67"/>
  <c r="I21" i="67"/>
  <c r="H21" i="68"/>
  <c r="K9" i="65"/>
  <c r="K5" i="64"/>
  <c r="K92" i="68"/>
  <c r="M92" i="67"/>
  <c r="L54" i="66"/>
  <c r="Z51" i="66" s="1"/>
  <c r="K54" i="67"/>
  <c r="I83" i="66"/>
  <c r="J83" i="66" s="1"/>
  <c r="O83" i="67"/>
  <c r="I84" i="66"/>
  <c r="J84" i="66" s="1"/>
  <c r="O84" i="67"/>
  <c r="I90" i="67"/>
  <c r="J90" i="67" s="1"/>
  <c r="O90" i="68"/>
  <c r="I92" i="64"/>
  <c r="J92" i="64" s="1"/>
  <c r="O92" i="65"/>
  <c r="L82" i="67"/>
  <c r="M82" i="67"/>
  <c r="K82" i="68"/>
  <c r="L51" i="66"/>
  <c r="I51" i="66"/>
  <c r="H51" i="67"/>
  <c r="K49" i="68"/>
  <c r="K51" i="69"/>
  <c r="I20" i="64"/>
  <c r="H20" i="65"/>
  <c r="L20" i="64"/>
  <c r="K93" i="68"/>
  <c r="M93" i="67"/>
  <c r="L9" i="65"/>
  <c r="L5" i="65" s="1"/>
  <c r="H9" i="66"/>
  <c r="I9" i="65"/>
  <c r="H5" i="65"/>
  <c r="O93" i="65"/>
  <c r="I93" i="64"/>
  <c r="J93" i="64" s="1"/>
  <c r="K10" i="66"/>
  <c r="L10" i="65"/>
  <c r="H10" i="68"/>
  <c r="K11" i="67"/>
  <c r="L11" i="66"/>
  <c r="L14" i="64" l="1"/>
  <c r="H17" i="66"/>
  <c r="I17" i="65"/>
  <c r="L17" i="65"/>
  <c r="K58" i="67"/>
  <c r="L58" i="66"/>
  <c r="Z55" i="66" s="1"/>
  <c r="L72" i="68"/>
  <c r="H72" i="69"/>
  <c r="H21" i="69"/>
  <c r="I21" i="68"/>
  <c r="L21" i="68"/>
  <c r="H9" i="67"/>
  <c r="I9" i="66"/>
  <c r="H5" i="66"/>
  <c r="K44" i="70"/>
  <c r="H49" i="67"/>
  <c r="H51" i="68"/>
  <c r="L51" i="67"/>
  <c r="I51" i="67"/>
  <c r="K90" i="69"/>
  <c r="M90" i="68"/>
  <c r="H18" i="68"/>
  <c r="I18" i="67"/>
  <c r="L18" i="67"/>
  <c r="L55" i="69"/>
  <c r="Z52" i="69" s="1"/>
  <c r="K55" i="70"/>
  <c r="R55" i="69"/>
  <c r="K10" i="67"/>
  <c r="L10" i="66"/>
  <c r="L82" i="68"/>
  <c r="K82" i="69"/>
  <c r="M82" i="68"/>
  <c r="H22" i="66"/>
  <c r="L22" i="65"/>
  <c r="I90" i="68"/>
  <c r="J90" i="68" s="1"/>
  <c r="O90" i="69"/>
  <c r="K93" i="69"/>
  <c r="M93" i="68"/>
  <c r="K51" i="70"/>
  <c r="K49" i="69"/>
  <c r="M92" i="68"/>
  <c r="K92" i="69"/>
  <c r="L61" i="67"/>
  <c r="K61" i="68"/>
  <c r="L20" i="65"/>
  <c r="H20" i="66"/>
  <c r="I20" i="65"/>
  <c r="K11" i="68"/>
  <c r="L11" i="67"/>
  <c r="K54" i="68"/>
  <c r="L54" i="67"/>
  <c r="Z51" i="67" s="1"/>
  <c r="O82" i="69"/>
  <c r="I82" i="68"/>
  <c r="J82" i="68" s="1"/>
  <c r="I84" i="67"/>
  <c r="J84" i="67" s="1"/>
  <c r="O84" i="68"/>
  <c r="O83" i="68"/>
  <c r="I83" i="67"/>
  <c r="J83" i="67" s="1"/>
  <c r="H10" i="69"/>
  <c r="H19" i="66"/>
  <c r="I19" i="65"/>
  <c r="L19" i="65"/>
  <c r="L49" i="66"/>
  <c r="I49" i="66"/>
  <c r="O93" i="66"/>
  <c r="I93" i="65"/>
  <c r="J93" i="65" s="1"/>
  <c r="P132" i="65"/>
  <c r="H128" i="65" s="1"/>
  <c r="I128" i="65" s="1"/>
  <c r="I5" i="65"/>
  <c r="K83" i="69"/>
  <c r="M83" i="68"/>
  <c r="K84" i="69"/>
  <c r="M84" i="68"/>
  <c r="I92" i="65"/>
  <c r="J92" i="65" s="1"/>
  <c r="O92" i="66"/>
  <c r="K9" i="66"/>
  <c r="K5" i="65"/>
  <c r="K62" i="70"/>
  <c r="L62" i="69"/>
  <c r="Z58" i="69" s="1"/>
  <c r="L16" i="65"/>
  <c r="I16" i="65"/>
  <c r="H16" i="66"/>
  <c r="H14" i="65"/>
  <c r="I14" i="65" s="1"/>
  <c r="L14" i="65" l="1"/>
  <c r="P132" i="66"/>
  <c r="H128" i="66" s="1"/>
  <c r="I128" i="66" s="1"/>
  <c r="I5" i="66"/>
  <c r="H9" i="68"/>
  <c r="I9" i="67"/>
  <c r="H5" i="67"/>
  <c r="I21" i="69"/>
  <c r="L21" i="69"/>
  <c r="O21" i="69" s="1"/>
  <c r="S21" i="69"/>
  <c r="H21" i="70"/>
  <c r="H18" i="69"/>
  <c r="I18" i="68"/>
  <c r="L18" i="68"/>
  <c r="M93" i="69"/>
  <c r="K93" i="70"/>
  <c r="L61" i="68"/>
  <c r="K61" i="69"/>
  <c r="O90" i="70"/>
  <c r="I90" i="69"/>
  <c r="J90" i="69" s="1"/>
  <c r="M90" i="69"/>
  <c r="K90" i="70"/>
  <c r="K10" i="68"/>
  <c r="L10" i="67"/>
  <c r="L72" i="69"/>
  <c r="H72" i="70"/>
  <c r="H14" i="66"/>
  <c r="I14" i="66" s="1"/>
  <c r="L16" i="66"/>
  <c r="H16" i="67"/>
  <c r="I16" i="66"/>
  <c r="K54" i="69"/>
  <c r="L54" i="68"/>
  <c r="Z51" i="68" s="1"/>
  <c r="I84" i="68"/>
  <c r="J84" i="68" s="1"/>
  <c r="O84" i="69"/>
  <c r="I93" i="66"/>
  <c r="J93" i="66" s="1"/>
  <c r="O93" i="67"/>
  <c r="L55" i="70"/>
  <c r="Z52" i="70" s="1"/>
  <c r="R55" i="70"/>
  <c r="K55" i="71"/>
  <c r="K83" i="70"/>
  <c r="M83" i="69"/>
  <c r="K62" i="71"/>
  <c r="L62" i="70"/>
  <c r="Z58" i="70" s="1"/>
  <c r="K58" i="68"/>
  <c r="L58" i="67"/>
  <c r="Z55" i="67" s="1"/>
  <c r="K84" i="70"/>
  <c r="M84" i="69"/>
  <c r="O82" i="70"/>
  <c r="I82" i="69"/>
  <c r="J82" i="69" s="1"/>
  <c r="L22" i="66"/>
  <c r="H22" i="67"/>
  <c r="H51" i="69"/>
  <c r="L51" i="68"/>
  <c r="H49" i="68"/>
  <c r="I51" i="68"/>
  <c r="L11" i="68"/>
  <c r="K11" i="69"/>
  <c r="I49" i="67"/>
  <c r="L49" i="67"/>
  <c r="L19" i="66"/>
  <c r="I19" i="66"/>
  <c r="H19" i="67"/>
  <c r="L82" i="69"/>
  <c r="M82" i="69"/>
  <c r="K82" i="70"/>
  <c r="O83" i="69"/>
  <c r="I83" i="68"/>
  <c r="J83" i="68" s="1"/>
  <c r="K5" i="66"/>
  <c r="K9" i="67"/>
  <c r="L20" i="66"/>
  <c r="H20" i="67"/>
  <c r="I20" i="66"/>
  <c r="K44" i="71"/>
  <c r="M92" i="69"/>
  <c r="K92" i="70"/>
  <c r="K49" i="70"/>
  <c r="K51" i="71"/>
  <c r="I92" i="66"/>
  <c r="J92" i="66" s="1"/>
  <c r="O92" i="67"/>
  <c r="H10" i="70"/>
  <c r="L9" i="66"/>
  <c r="L5" i="66" s="1"/>
  <c r="H17" i="67"/>
  <c r="L17" i="66"/>
  <c r="I17" i="66"/>
  <c r="K11" i="70" l="1"/>
  <c r="L11" i="69"/>
  <c r="H18" i="70"/>
  <c r="I18" i="69"/>
  <c r="L18" i="69"/>
  <c r="I49" i="68"/>
  <c r="L49" i="68"/>
  <c r="K5" i="67"/>
  <c r="K9" i="68"/>
  <c r="I21" i="70"/>
  <c r="H21" i="71"/>
  <c r="L21" i="70"/>
  <c r="K10" i="69"/>
  <c r="L10" i="68"/>
  <c r="K93" i="71"/>
  <c r="M93" i="70"/>
  <c r="K83" i="71"/>
  <c r="M83" i="70"/>
  <c r="O84" i="70"/>
  <c r="I84" i="69"/>
  <c r="J84" i="69" s="1"/>
  <c r="P132" i="67"/>
  <c r="H128" i="67" s="1"/>
  <c r="I128" i="67" s="1"/>
  <c r="I5" i="67"/>
  <c r="K62" i="72"/>
  <c r="L62" i="71"/>
  <c r="Z58" i="71" s="1"/>
  <c r="M90" i="70"/>
  <c r="K90" i="71"/>
  <c r="L9" i="67"/>
  <c r="L5" i="67" s="1"/>
  <c r="K44" i="72"/>
  <c r="R55" i="71"/>
  <c r="L55" i="71"/>
  <c r="Z52" i="71" s="1"/>
  <c r="K55" i="72"/>
  <c r="I93" i="67"/>
  <c r="J93" i="67" s="1"/>
  <c r="O93" i="68"/>
  <c r="K54" i="70"/>
  <c r="L54" i="69"/>
  <c r="Z51" i="69" s="1"/>
  <c r="H5" i="68"/>
  <c r="I9" i="68"/>
  <c r="H9" i="69"/>
  <c r="L9" i="68"/>
  <c r="L5" i="68" s="1"/>
  <c r="H20" i="68"/>
  <c r="L20" i="67"/>
  <c r="I20" i="67"/>
  <c r="L51" i="69"/>
  <c r="H49" i="69"/>
  <c r="H51" i="70"/>
  <c r="I51" i="69"/>
  <c r="L22" i="67"/>
  <c r="H22" i="68"/>
  <c r="O90" i="71"/>
  <c r="I90" i="70"/>
  <c r="J90" i="70" s="1"/>
  <c r="L72" i="70"/>
  <c r="H72" i="71"/>
  <c r="L17" i="67"/>
  <c r="H17" i="68"/>
  <c r="I17" i="67"/>
  <c r="H10" i="71"/>
  <c r="I83" i="69"/>
  <c r="J83" i="69" s="1"/>
  <c r="O83" i="70"/>
  <c r="M82" i="70"/>
  <c r="L82" i="70"/>
  <c r="K82" i="71"/>
  <c r="I92" i="67"/>
  <c r="J92" i="67" s="1"/>
  <c r="O92" i="68"/>
  <c r="O82" i="71"/>
  <c r="I82" i="70"/>
  <c r="J82" i="70" s="1"/>
  <c r="K49" i="71"/>
  <c r="K51" i="72"/>
  <c r="H19" i="68"/>
  <c r="I19" i="67"/>
  <c r="L19" i="67"/>
  <c r="M84" i="70"/>
  <c r="K84" i="71"/>
  <c r="L16" i="67"/>
  <c r="I16" i="67"/>
  <c r="H14" i="67"/>
  <c r="I14" i="67" s="1"/>
  <c r="H16" i="68"/>
  <c r="K92" i="71"/>
  <c r="M92" i="70"/>
  <c r="K58" i="69"/>
  <c r="L58" i="68"/>
  <c r="Z55" i="68" s="1"/>
  <c r="L14" i="66"/>
  <c r="L61" i="69"/>
  <c r="K61" i="70"/>
  <c r="L61" i="70" l="1"/>
  <c r="K61" i="71"/>
  <c r="M84" i="71"/>
  <c r="K84" i="72"/>
  <c r="H19" i="69"/>
  <c r="L19" i="68"/>
  <c r="I19" i="68"/>
  <c r="K54" i="71"/>
  <c r="L54" i="70"/>
  <c r="Z51" i="70" s="1"/>
  <c r="I93" i="68"/>
  <c r="J93" i="68" s="1"/>
  <c r="O93" i="69"/>
  <c r="K90" i="72"/>
  <c r="M90" i="71"/>
  <c r="L20" i="68"/>
  <c r="H20" i="69"/>
  <c r="I20" i="68"/>
  <c r="L62" i="72"/>
  <c r="Z58" i="72" s="1"/>
  <c r="K62" i="73"/>
  <c r="R55" i="72"/>
  <c r="L55" i="72"/>
  <c r="Z52" i="72" s="1"/>
  <c r="K55" i="73"/>
  <c r="O84" i="71"/>
  <c r="I84" i="70"/>
  <c r="J84" i="70" s="1"/>
  <c r="H10" i="72"/>
  <c r="I17" i="68"/>
  <c r="L17" i="68"/>
  <c r="H17" i="69"/>
  <c r="P132" i="68"/>
  <c r="H128" i="68" s="1"/>
  <c r="I128" i="68" s="1"/>
  <c r="I5" i="68"/>
  <c r="O82" i="72"/>
  <c r="I82" i="71"/>
  <c r="J82" i="71" s="1"/>
  <c r="K5" i="68"/>
  <c r="K9" i="69"/>
  <c r="K58" i="70"/>
  <c r="L58" i="69"/>
  <c r="Z55" i="69" s="1"/>
  <c r="L16" i="68"/>
  <c r="H16" i="69"/>
  <c r="H14" i="68"/>
  <c r="I14" i="68" s="1"/>
  <c r="I16" i="68"/>
  <c r="M83" i="71"/>
  <c r="K83" i="72"/>
  <c r="H21" i="72"/>
  <c r="L21" i="71"/>
  <c r="I21" i="71"/>
  <c r="L22" i="68"/>
  <c r="H22" i="69"/>
  <c r="H18" i="71"/>
  <c r="I18" i="70"/>
  <c r="L18" i="70"/>
  <c r="K10" i="70"/>
  <c r="L10" i="69"/>
  <c r="H5" i="69"/>
  <c r="I9" i="69"/>
  <c r="H9" i="70"/>
  <c r="L9" i="69"/>
  <c r="L5" i="69" s="1"/>
  <c r="K49" i="72"/>
  <c r="K51" i="73"/>
  <c r="M93" i="71"/>
  <c r="K93" i="72"/>
  <c r="L72" i="71"/>
  <c r="H72" i="72"/>
  <c r="O90" i="72"/>
  <c r="I90" i="71"/>
  <c r="J90" i="71" s="1"/>
  <c r="O92" i="69"/>
  <c r="I92" i="68"/>
  <c r="J92" i="68" s="1"/>
  <c r="M92" i="71"/>
  <c r="K92" i="72"/>
  <c r="K82" i="72"/>
  <c r="L82" i="71"/>
  <c r="M82" i="71"/>
  <c r="H49" i="70"/>
  <c r="I51" i="70"/>
  <c r="L51" i="70"/>
  <c r="H51" i="71"/>
  <c r="I49" i="69"/>
  <c r="L49" i="69"/>
  <c r="I83" i="70"/>
  <c r="J83" i="70" s="1"/>
  <c r="O83" i="71"/>
  <c r="K44" i="73"/>
  <c r="L14" i="67"/>
  <c r="L11" i="70"/>
  <c r="K11" i="71"/>
  <c r="L14" i="68" l="1"/>
  <c r="O93" i="70"/>
  <c r="I93" i="69"/>
  <c r="J93" i="69" s="1"/>
  <c r="R55" i="73"/>
  <c r="L55" i="73"/>
  <c r="Z52" i="73" s="1"/>
  <c r="K55" i="74"/>
  <c r="K11" i="72"/>
  <c r="L11" i="71"/>
  <c r="K92" i="73"/>
  <c r="M92" i="72"/>
  <c r="K62" i="74"/>
  <c r="L62" i="73"/>
  <c r="Z58" i="73" s="1"/>
  <c r="L54" i="71"/>
  <c r="Z51" i="71" s="1"/>
  <c r="K54" i="72"/>
  <c r="H16" i="70"/>
  <c r="H14" i="69"/>
  <c r="I14" i="69" s="1"/>
  <c r="L16" i="69"/>
  <c r="I16" i="69"/>
  <c r="K51" i="74"/>
  <c r="K49" i="73"/>
  <c r="K82" i="73"/>
  <c r="L82" i="72"/>
  <c r="M82" i="72"/>
  <c r="K10" i="71"/>
  <c r="L10" i="70"/>
  <c r="O82" i="73"/>
  <c r="I82" i="72"/>
  <c r="J82" i="72" s="1"/>
  <c r="H20" i="70"/>
  <c r="L20" i="69"/>
  <c r="I20" i="69"/>
  <c r="H19" i="70"/>
  <c r="L19" i="69"/>
  <c r="I19" i="69"/>
  <c r="L49" i="70"/>
  <c r="I49" i="70"/>
  <c r="H18" i="72"/>
  <c r="I18" i="71"/>
  <c r="L18" i="71"/>
  <c r="H72" i="73"/>
  <c r="L72" i="72"/>
  <c r="M84" i="72"/>
  <c r="K84" i="73"/>
  <c r="M83" i="72"/>
  <c r="K83" i="73"/>
  <c r="O84" i="72"/>
  <c r="I84" i="71"/>
  <c r="J84" i="71" s="1"/>
  <c r="K58" i="71"/>
  <c r="L58" i="70"/>
  <c r="Z55" i="70" s="1"/>
  <c r="I90" i="72"/>
  <c r="J90" i="72" s="1"/>
  <c r="O90" i="73"/>
  <c r="P132" i="69"/>
  <c r="H128" i="69" s="1"/>
  <c r="I128" i="69" s="1"/>
  <c r="I5" i="69"/>
  <c r="K9" i="70"/>
  <c r="K5" i="69"/>
  <c r="K44" i="74"/>
  <c r="H22" i="70"/>
  <c r="L22" i="69"/>
  <c r="K61" i="72"/>
  <c r="L61" i="71"/>
  <c r="H10" i="73"/>
  <c r="H9" i="71"/>
  <c r="H5" i="70"/>
  <c r="I9" i="70"/>
  <c r="I92" i="69"/>
  <c r="J92" i="69" s="1"/>
  <c r="O92" i="70"/>
  <c r="O83" i="72"/>
  <c r="I83" i="71"/>
  <c r="J83" i="71" s="1"/>
  <c r="M93" i="72"/>
  <c r="K93" i="73"/>
  <c r="H17" i="70"/>
  <c r="L17" i="69"/>
  <c r="I17" i="69"/>
  <c r="M90" i="72"/>
  <c r="K90" i="73"/>
  <c r="I51" i="71"/>
  <c r="H49" i="71"/>
  <c r="L51" i="71"/>
  <c r="H51" i="72"/>
  <c r="I21" i="72"/>
  <c r="H21" i="73"/>
  <c r="O82" i="74" l="1"/>
  <c r="I82" i="73"/>
  <c r="J82" i="73" s="1"/>
  <c r="M93" i="73"/>
  <c r="K93" i="74"/>
  <c r="K10" i="72"/>
  <c r="L10" i="71"/>
  <c r="I83" i="72"/>
  <c r="J83" i="72" s="1"/>
  <c r="O83" i="73"/>
  <c r="K82" i="74"/>
  <c r="L82" i="73"/>
  <c r="M82" i="73"/>
  <c r="L61" i="72"/>
  <c r="K61" i="73"/>
  <c r="L22" i="70"/>
  <c r="H22" i="71"/>
  <c r="L62" i="74"/>
  <c r="Z58" i="74" s="1"/>
  <c r="K62" i="43"/>
  <c r="M92" i="73"/>
  <c r="K92" i="74"/>
  <c r="K9" i="71"/>
  <c r="L9" i="71" s="1"/>
  <c r="L5" i="71" s="1"/>
  <c r="K5" i="70"/>
  <c r="O92" i="71"/>
  <c r="I92" i="70"/>
  <c r="J92" i="70" s="1"/>
  <c r="H18" i="73"/>
  <c r="I18" i="72"/>
  <c r="L18" i="72"/>
  <c r="K11" i="73"/>
  <c r="L11" i="72"/>
  <c r="K44" i="43"/>
  <c r="K49" i="74"/>
  <c r="K51" i="43"/>
  <c r="K55" i="43"/>
  <c r="R55" i="74"/>
  <c r="L55" i="74"/>
  <c r="Z52" i="74" s="1"/>
  <c r="H17" i="71"/>
  <c r="I17" i="70"/>
  <c r="L17" i="70"/>
  <c r="M84" i="73"/>
  <c r="K84" i="74"/>
  <c r="L72" i="73"/>
  <c r="H72" i="74"/>
  <c r="I90" i="73"/>
  <c r="J90" i="73" s="1"/>
  <c r="O90" i="74"/>
  <c r="H9" i="72"/>
  <c r="I9" i="71"/>
  <c r="H5" i="71"/>
  <c r="L49" i="71"/>
  <c r="I49" i="71"/>
  <c r="L9" i="70"/>
  <c r="L5" i="70" s="1"/>
  <c r="K58" i="72"/>
  <c r="L58" i="71"/>
  <c r="Z55" i="71" s="1"/>
  <c r="I19" i="70"/>
  <c r="H19" i="71"/>
  <c r="L19" i="70"/>
  <c r="O93" i="71"/>
  <c r="I93" i="70"/>
  <c r="J93" i="70" s="1"/>
  <c r="K54" i="73"/>
  <c r="L54" i="72"/>
  <c r="Z51" i="72" s="1"/>
  <c r="I5" i="70"/>
  <c r="P132" i="70"/>
  <c r="H128" i="70" s="1"/>
  <c r="I128" i="70" s="1"/>
  <c r="H10" i="74"/>
  <c r="L14" i="69"/>
  <c r="M90" i="73"/>
  <c r="K90" i="74"/>
  <c r="I84" i="72"/>
  <c r="J84" i="72" s="1"/>
  <c r="O84" i="73"/>
  <c r="H21" i="74"/>
  <c r="L21" i="73"/>
  <c r="I21" i="73"/>
  <c r="L51" i="72"/>
  <c r="H51" i="73"/>
  <c r="H49" i="72"/>
  <c r="I51" i="72"/>
  <c r="K83" i="74"/>
  <c r="M83" i="73"/>
  <c r="L20" i="70"/>
  <c r="I20" i="70"/>
  <c r="H20" i="71"/>
  <c r="I16" i="70"/>
  <c r="H16" i="71"/>
  <c r="L16" i="70"/>
  <c r="H14" i="70"/>
  <c r="I14" i="70" s="1"/>
  <c r="I19" i="71" l="1"/>
  <c r="H19" i="72"/>
  <c r="L19" i="71"/>
  <c r="L54" i="73"/>
  <c r="Z51" i="73" s="1"/>
  <c r="K54" i="74"/>
  <c r="I16" i="71"/>
  <c r="H14" i="71"/>
  <c r="I14" i="71" s="1"/>
  <c r="H16" i="72"/>
  <c r="L16" i="71"/>
  <c r="M90" i="74"/>
  <c r="K90" i="43"/>
  <c r="L82" i="74"/>
  <c r="M82" i="74"/>
  <c r="K82" i="43"/>
  <c r="L22" i="71"/>
  <c r="H22" i="72"/>
  <c r="M84" i="74"/>
  <c r="K84" i="43"/>
  <c r="H18" i="74"/>
  <c r="I18" i="73"/>
  <c r="L18" i="73"/>
  <c r="I83" i="73"/>
  <c r="J83" i="73" s="1"/>
  <c r="O83" i="74"/>
  <c r="I93" i="71"/>
  <c r="J93" i="71" s="1"/>
  <c r="O93" i="72"/>
  <c r="L58" i="72"/>
  <c r="Z55" i="72" s="1"/>
  <c r="K58" i="73"/>
  <c r="L11" i="73"/>
  <c r="K11" i="74"/>
  <c r="I92" i="71"/>
  <c r="J92" i="71" s="1"/>
  <c r="O92" i="72"/>
  <c r="O84" i="74"/>
  <c r="I84" i="73"/>
  <c r="J84" i="73" s="1"/>
  <c r="K10" i="73"/>
  <c r="L10" i="72"/>
  <c r="I90" i="74"/>
  <c r="J90" i="74" s="1"/>
  <c r="O90" i="43"/>
  <c r="H72" i="43"/>
  <c r="L72" i="74"/>
  <c r="H17" i="72"/>
  <c r="L17" i="71"/>
  <c r="I17" i="71"/>
  <c r="K9" i="72"/>
  <c r="L9" i="72" s="1"/>
  <c r="L5" i="72" s="1"/>
  <c r="K5" i="71"/>
  <c r="M93" i="74"/>
  <c r="K93" i="43"/>
  <c r="L51" i="73"/>
  <c r="H49" i="73"/>
  <c r="I51" i="73"/>
  <c r="H51" i="74"/>
  <c r="L21" i="74"/>
  <c r="I21" i="74"/>
  <c r="H21" i="43"/>
  <c r="M92" i="74"/>
  <c r="K92" i="43"/>
  <c r="H5" i="72"/>
  <c r="I9" i="72"/>
  <c r="H9" i="73"/>
  <c r="K44" i="44"/>
  <c r="L14" i="70"/>
  <c r="H20" i="72"/>
  <c r="L20" i="71"/>
  <c r="I20" i="71"/>
  <c r="H10" i="43"/>
  <c r="I5" i="71"/>
  <c r="P132" i="71"/>
  <c r="H128" i="71" s="1"/>
  <c r="I128" i="71" s="1"/>
  <c r="K49" i="43"/>
  <c r="K51" i="44"/>
  <c r="K61" i="74"/>
  <c r="L61" i="73"/>
  <c r="M83" i="74"/>
  <c r="K83" i="43"/>
  <c r="L49" i="72"/>
  <c r="I49" i="72"/>
  <c r="L55" i="43"/>
  <c r="Z52" i="43" s="1"/>
  <c r="K55" i="44"/>
  <c r="R55" i="43"/>
  <c r="L62" i="43"/>
  <c r="Z58" i="43" s="1"/>
  <c r="K62" i="44"/>
  <c r="O82" i="43"/>
  <c r="I82" i="74"/>
  <c r="J82" i="74" s="1"/>
  <c r="L14" i="71" l="1"/>
  <c r="I83" i="74"/>
  <c r="J83" i="74" s="1"/>
  <c r="O83" i="43"/>
  <c r="I9" i="73"/>
  <c r="H9" i="74"/>
  <c r="H5" i="73"/>
  <c r="I93" i="72"/>
  <c r="J93" i="72" s="1"/>
  <c r="O93" i="73"/>
  <c r="M92" i="43"/>
  <c r="K92" i="44"/>
  <c r="O82" i="44"/>
  <c r="I82" i="43"/>
  <c r="J82" i="43" s="1"/>
  <c r="H72" i="44"/>
  <c r="L72" i="43"/>
  <c r="K49" i="44"/>
  <c r="K51" i="45"/>
  <c r="H21" i="44"/>
  <c r="I21" i="43"/>
  <c r="L21" i="43"/>
  <c r="O90" i="44"/>
  <c r="I90" i="43"/>
  <c r="J90" i="43" s="1"/>
  <c r="K44" i="45"/>
  <c r="L61" i="74"/>
  <c r="K61" i="43"/>
  <c r="I18" i="74"/>
  <c r="H18" i="43"/>
  <c r="L18" i="74"/>
  <c r="M90" i="43"/>
  <c r="K90" i="44"/>
  <c r="I51" i="74"/>
  <c r="L51" i="74"/>
  <c r="H49" i="74"/>
  <c r="H51" i="43"/>
  <c r="K10" i="74"/>
  <c r="L10" i="73"/>
  <c r="M84" i="43"/>
  <c r="K84" i="44"/>
  <c r="K54" i="43"/>
  <c r="L54" i="74"/>
  <c r="Z51" i="74" s="1"/>
  <c r="P132" i="72"/>
  <c r="H128" i="72" s="1"/>
  <c r="I128" i="72" s="1"/>
  <c r="I5" i="72"/>
  <c r="H10" i="44"/>
  <c r="K58" i="74"/>
  <c r="L58" i="73"/>
  <c r="Z55" i="73" s="1"/>
  <c r="K62" i="45"/>
  <c r="L62" i="44"/>
  <c r="Z58" i="44" s="1"/>
  <c r="I49" i="73"/>
  <c r="L49" i="73"/>
  <c r="I84" i="74"/>
  <c r="J84" i="74" s="1"/>
  <c r="O84" i="43"/>
  <c r="H22" i="73"/>
  <c r="L22" i="72"/>
  <c r="K11" i="43"/>
  <c r="L11" i="74"/>
  <c r="K5" i="72"/>
  <c r="K9" i="73"/>
  <c r="L9" i="73" s="1"/>
  <c r="L5" i="73" s="1"/>
  <c r="L16" i="72"/>
  <c r="H16" i="73"/>
  <c r="H14" i="72"/>
  <c r="I14" i="72" s="1"/>
  <c r="I16" i="72"/>
  <c r="L55" i="44"/>
  <c r="Z52" i="44" s="1"/>
  <c r="K55" i="45"/>
  <c r="R55" i="44"/>
  <c r="L20" i="72"/>
  <c r="I20" i="72"/>
  <c r="H20" i="73"/>
  <c r="I92" i="72"/>
  <c r="J92" i="72" s="1"/>
  <c r="O92" i="73"/>
  <c r="L19" i="72"/>
  <c r="H19" i="73"/>
  <c r="I19" i="72"/>
  <c r="H17" i="73"/>
  <c r="L17" i="72"/>
  <c r="I17" i="72"/>
  <c r="M83" i="43"/>
  <c r="K83" i="44"/>
  <c r="M93" i="43"/>
  <c r="K93" i="44"/>
  <c r="M82" i="43"/>
  <c r="K82" i="44"/>
  <c r="L82" i="43"/>
  <c r="I19" i="73" l="1"/>
  <c r="H19" i="74"/>
  <c r="L19" i="73"/>
  <c r="K92" i="45"/>
  <c r="M92" i="44"/>
  <c r="L11" i="43"/>
  <c r="K11" i="44"/>
  <c r="M84" i="44"/>
  <c r="K84" i="45"/>
  <c r="I20" i="73"/>
  <c r="H20" i="74"/>
  <c r="L20" i="73"/>
  <c r="K10" i="43"/>
  <c r="L10" i="74"/>
  <c r="K51" i="46"/>
  <c r="K49" i="45"/>
  <c r="L14" i="72"/>
  <c r="H22" i="74"/>
  <c r="L22" i="73"/>
  <c r="H49" i="43"/>
  <c r="I51" i="43"/>
  <c r="L51" i="43"/>
  <c r="H51" i="44"/>
  <c r="I93" i="73"/>
  <c r="J93" i="73" s="1"/>
  <c r="O93" i="74"/>
  <c r="L17" i="73"/>
  <c r="H17" i="74"/>
  <c r="I17" i="73"/>
  <c r="I18" i="43"/>
  <c r="H18" i="44"/>
  <c r="L18" i="43"/>
  <c r="O82" i="45"/>
  <c r="I82" i="44"/>
  <c r="J82" i="44" s="1"/>
  <c r="I49" i="74"/>
  <c r="L49" i="74"/>
  <c r="L61" i="43"/>
  <c r="K61" i="44"/>
  <c r="K44" i="46"/>
  <c r="K54" i="44"/>
  <c r="L54" i="43"/>
  <c r="Z51" i="43" s="1"/>
  <c r="K62" i="46"/>
  <c r="L62" i="45"/>
  <c r="Z58" i="45" s="1"/>
  <c r="I5" i="73"/>
  <c r="P132" i="73"/>
  <c r="H128" i="73" s="1"/>
  <c r="I128" i="73" s="1"/>
  <c r="K9" i="74"/>
  <c r="K5" i="73"/>
  <c r="M82" i="44"/>
  <c r="L82" i="44"/>
  <c r="K82" i="45"/>
  <c r="R55" i="45"/>
  <c r="K55" i="46"/>
  <c r="L55" i="45"/>
  <c r="Z52" i="45" s="1"/>
  <c r="K83" i="45"/>
  <c r="M83" i="44"/>
  <c r="O90" i="45"/>
  <c r="I90" i="44"/>
  <c r="J90" i="44" s="1"/>
  <c r="I9" i="74"/>
  <c r="H5" i="74"/>
  <c r="H9" i="43"/>
  <c r="L9" i="74"/>
  <c r="L5" i="74" s="1"/>
  <c r="H72" i="45"/>
  <c r="L72" i="44"/>
  <c r="L58" i="74"/>
  <c r="Z55" i="74" s="1"/>
  <c r="K58" i="43"/>
  <c r="O92" i="74"/>
  <c r="I92" i="73"/>
  <c r="J92" i="73" s="1"/>
  <c r="I84" i="43"/>
  <c r="J84" i="43" s="1"/>
  <c r="O84" i="44"/>
  <c r="M93" i="44"/>
  <c r="K93" i="45"/>
  <c r="H16" i="74"/>
  <c r="I16" i="73"/>
  <c r="H14" i="73"/>
  <c r="I14" i="73" s="1"/>
  <c r="L16" i="73"/>
  <c r="H10" i="45"/>
  <c r="I83" i="43"/>
  <c r="J83" i="43" s="1"/>
  <c r="O83" i="44"/>
  <c r="M90" i="44"/>
  <c r="K90" i="45"/>
  <c r="L21" i="44"/>
  <c r="I21" i="44"/>
  <c r="H21" i="45"/>
  <c r="H5" i="43" l="1"/>
  <c r="I9" i="43"/>
  <c r="H9" i="44"/>
  <c r="M84" i="45"/>
  <c r="K84" i="46"/>
  <c r="O93" i="43"/>
  <c r="I93" i="74"/>
  <c r="J93" i="74" s="1"/>
  <c r="I16" i="74"/>
  <c r="H14" i="74"/>
  <c r="I14" i="74" s="1"/>
  <c r="L16" i="74"/>
  <c r="H16" i="43"/>
  <c r="K93" i="46"/>
  <c r="M93" i="45"/>
  <c r="I84" i="44"/>
  <c r="J84" i="44" s="1"/>
  <c r="O84" i="45"/>
  <c r="I49" i="43"/>
  <c r="L49" i="43"/>
  <c r="L11" i="44"/>
  <c r="K11" i="45"/>
  <c r="L17" i="74"/>
  <c r="I17" i="74"/>
  <c r="H17" i="43"/>
  <c r="H21" i="46"/>
  <c r="L21" i="45"/>
  <c r="I21" i="45"/>
  <c r="L62" i="46"/>
  <c r="Z58" i="46" s="1"/>
  <c r="K62" i="47"/>
  <c r="K54" i="45"/>
  <c r="L54" i="44"/>
  <c r="Z51" i="44" s="1"/>
  <c r="R55" i="46"/>
  <c r="K55" i="47"/>
  <c r="L55" i="46"/>
  <c r="Z52" i="46" s="1"/>
  <c r="K82" i="46"/>
  <c r="L82" i="45"/>
  <c r="M82" i="45"/>
  <c r="H22" i="43"/>
  <c r="L22" i="74"/>
  <c r="I90" i="45"/>
  <c r="J90" i="45" s="1"/>
  <c r="O90" i="46"/>
  <c r="K61" i="45"/>
  <c r="L61" i="44"/>
  <c r="K92" i="46"/>
  <c r="M92" i="45"/>
  <c r="I20" i="74"/>
  <c r="L20" i="74"/>
  <c r="H20" i="43"/>
  <c r="K83" i="46"/>
  <c r="M83" i="45"/>
  <c r="M90" i="45"/>
  <c r="K90" i="46"/>
  <c r="I83" i="44"/>
  <c r="J83" i="44" s="1"/>
  <c r="O83" i="45"/>
  <c r="I5" i="74"/>
  <c r="P132" i="74"/>
  <c r="H128" i="74" s="1"/>
  <c r="I128" i="74" s="1"/>
  <c r="H51" i="45"/>
  <c r="I51" i="44"/>
  <c r="H49" i="44"/>
  <c r="L51" i="44"/>
  <c r="H19" i="43"/>
  <c r="I19" i="74"/>
  <c r="L19" i="74"/>
  <c r="K10" i="44"/>
  <c r="L10" i="43"/>
  <c r="K44" i="47"/>
  <c r="I92" i="74"/>
  <c r="J92" i="74" s="1"/>
  <c r="O92" i="43"/>
  <c r="K58" i="44"/>
  <c r="L58" i="43"/>
  <c r="Z55" i="43" s="1"/>
  <c r="O82" i="46"/>
  <c r="I82" i="45"/>
  <c r="J82" i="45" s="1"/>
  <c r="H10" i="46"/>
  <c r="K49" i="46"/>
  <c r="K51" i="47"/>
  <c r="L14" i="73"/>
  <c r="L72" i="45"/>
  <c r="H72" i="46"/>
  <c r="K9" i="43"/>
  <c r="K5" i="74"/>
  <c r="I18" i="44"/>
  <c r="H18" i="45"/>
  <c r="L18" i="44"/>
  <c r="L14" i="74" l="1"/>
  <c r="O82" i="47"/>
  <c r="I82" i="46"/>
  <c r="J82" i="46" s="1"/>
  <c r="I49" i="44"/>
  <c r="L49" i="44"/>
  <c r="H21" i="47"/>
  <c r="L21" i="46"/>
  <c r="I21" i="46"/>
  <c r="L54" i="45"/>
  <c r="Z51" i="45" s="1"/>
  <c r="K54" i="46"/>
  <c r="I51" i="45"/>
  <c r="H49" i="45"/>
  <c r="H51" i="46"/>
  <c r="L51" i="45"/>
  <c r="H17" i="44"/>
  <c r="I17" i="43"/>
  <c r="L17" i="43"/>
  <c r="I93" i="43"/>
  <c r="J93" i="43" s="1"/>
  <c r="O93" i="44"/>
  <c r="K93" i="47"/>
  <c r="M93" i="46"/>
  <c r="L58" i="44"/>
  <c r="Z55" i="44" s="1"/>
  <c r="K58" i="45"/>
  <c r="M84" i="46"/>
  <c r="K84" i="47"/>
  <c r="K92" i="47"/>
  <c r="M92" i="46"/>
  <c r="I16" i="43"/>
  <c r="H14" i="43"/>
  <c r="I14" i="43" s="1"/>
  <c r="H16" i="44"/>
  <c r="L16" i="43"/>
  <c r="K10" i="45"/>
  <c r="L10" i="44"/>
  <c r="L82" i="46"/>
  <c r="K82" i="47"/>
  <c r="M82" i="46"/>
  <c r="I90" i="46"/>
  <c r="J90" i="46" s="1"/>
  <c r="O90" i="47"/>
  <c r="K44" i="48"/>
  <c r="K5" i="43"/>
  <c r="K9" i="44"/>
  <c r="K11" i="46"/>
  <c r="L11" i="45"/>
  <c r="L9" i="44"/>
  <c r="L5" i="44" s="1"/>
  <c r="I9" i="44"/>
  <c r="H5" i="44"/>
  <c r="H9" i="45"/>
  <c r="H10" i="47"/>
  <c r="K61" i="46"/>
  <c r="L61" i="45"/>
  <c r="K62" i="48"/>
  <c r="L62" i="47"/>
  <c r="Z58" i="47" s="1"/>
  <c r="I83" i="45"/>
  <c r="J83" i="45" s="1"/>
  <c r="O83" i="46"/>
  <c r="I92" i="43"/>
  <c r="J92" i="43" s="1"/>
  <c r="O92" i="44"/>
  <c r="H22" i="44"/>
  <c r="L22" i="43"/>
  <c r="M90" i="46"/>
  <c r="K90" i="47"/>
  <c r="I19" i="43"/>
  <c r="H19" i="44"/>
  <c r="L19" i="43"/>
  <c r="P132" i="43"/>
  <c r="H128" i="43" s="1"/>
  <c r="I128" i="43" s="1"/>
  <c r="I5" i="43"/>
  <c r="I84" i="45"/>
  <c r="J84" i="45" s="1"/>
  <c r="O84" i="46"/>
  <c r="H18" i="46"/>
  <c r="I18" i="45"/>
  <c r="L18" i="45"/>
  <c r="H72" i="47"/>
  <c r="L72" i="46"/>
  <c r="M83" i="46"/>
  <c r="K83" i="47"/>
  <c r="R55" i="47"/>
  <c r="L55" i="47"/>
  <c r="Z52" i="47" s="1"/>
  <c r="K55" i="48"/>
  <c r="K49" i="47"/>
  <c r="K51" i="48"/>
  <c r="L20" i="43"/>
  <c r="H20" i="44"/>
  <c r="I20" i="43"/>
  <c r="L9" i="43"/>
  <c r="L5" i="43" s="1"/>
  <c r="L16" i="44" l="1"/>
  <c r="I16" i="44"/>
  <c r="H16" i="45"/>
  <c r="H14" i="44"/>
  <c r="I14" i="44" s="1"/>
  <c r="L72" i="47"/>
  <c r="H72" i="48"/>
  <c r="K5" i="44"/>
  <c r="K9" i="45"/>
  <c r="K44" i="49"/>
  <c r="H20" i="45"/>
  <c r="I20" i="44"/>
  <c r="L20" i="44"/>
  <c r="M93" i="47"/>
  <c r="K93" i="48"/>
  <c r="I51" i="46"/>
  <c r="H51" i="47"/>
  <c r="L51" i="46"/>
  <c r="H49" i="46"/>
  <c r="H22" i="45"/>
  <c r="L22" i="44"/>
  <c r="K84" i="48"/>
  <c r="M84" i="47"/>
  <c r="L21" i="47"/>
  <c r="H21" i="48"/>
  <c r="I21" i="47"/>
  <c r="K61" i="47"/>
  <c r="L61" i="46"/>
  <c r="K82" i="48"/>
  <c r="L82" i="47"/>
  <c r="M82" i="47"/>
  <c r="O93" i="45"/>
  <c r="I93" i="44"/>
  <c r="J93" i="44" s="1"/>
  <c r="L11" i="46"/>
  <c r="K11" i="47"/>
  <c r="O92" i="45"/>
  <c r="I92" i="44"/>
  <c r="J92" i="44" s="1"/>
  <c r="L54" i="46"/>
  <c r="Z51" i="46" s="1"/>
  <c r="K54" i="47"/>
  <c r="I90" i="47"/>
  <c r="J90" i="47" s="1"/>
  <c r="O90" i="48"/>
  <c r="O84" i="47"/>
  <c r="I84" i="46"/>
  <c r="J84" i="46" s="1"/>
  <c r="K49" i="48"/>
  <c r="K51" i="49"/>
  <c r="K55" i="49"/>
  <c r="L55" i="48"/>
  <c r="Z52" i="48" s="1"/>
  <c r="R55" i="48"/>
  <c r="H10" i="48"/>
  <c r="I83" i="46"/>
  <c r="J83" i="46" s="1"/>
  <c r="O83" i="47"/>
  <c r="K58" i="46"/>
  <c r="L58" i="45"/>
  <c r="Z55" i="45" s="1"/>
  <c r="K62" i="49"/>
  <c r="L62" i="48"/>
  <c r="Z58" i="48" s="1"/>
  <c r="I19" i="44"/>
  <c r="L19" i="44"/>
  <c r="H19" i="45"/>
  <c r="H9" i="46"/>
  <c r="H5" i="45"/>
  <c r="I9" i="45"/>
  <c r="K10" i="46"/>
  <c r="L10" i="45"/>
  <c r="M90" i="47"/>
  <c r="K90" i="48"/>
  <c r="L49" i="45"/>
  <c r="I49" i="45"/>
  <c r="K92" i="48"/>
  <c r="M92" i="47"/>
  <c r="I18" i="46"/>
  <c r="H18" i="47"/>
  <c r="L18" i="46"/>
  <c r="K83" i="48"/>
  <c r="M83" i="47"/>
  <c r="P132" i="44"/>
  <c r="H128" i="44" s="1"/>
  <c r="I128" i="44" s="1"/>
  <c r="I5" i="44"/>
  <c r="L14" i="43"/>
  <c r="L17" i="44"/>
  <c r="H17" i="45"/>
  <c r="I17" i="44"/>
  <c r="O82" i="48"/>
  <c r="I82" i="47"/>
  <c r="J82" i="47" s="1"/>
  <c r="K82" i="49" l="1"/>
  <c r="M82" i="48"/>
  <c r="L82" i="48"/>
  <c r="I84" i="47"/>
  <c r="J84" i="47" s="1"/>
  <c r="O84" i="48"/>
  <c r="I90" i="48"/>
  <c r="J90" i="48" s="1"/>
  <c r="O90" i="49"/>
  <c r="K9" i="46"/>
  <c r="L9" i="46" s="1"/>
  <c r="L5" i="46" s="1"/>
  <c r="K5" i="45"/>
  <c r="L17" i="45"/>
  <c r="I17" i="45"/>
  <c r="H17" i="46"/>
  <c r="I92" i="45"/>
  <c r="J92" i="45" s="1"/>
  <c r="O92" i="46"/>
  <c r="K61" i="48"/>
  <c r="L61" i="47"/>
  <c r="K44" i="50"/>
  <c r="K10" i="47"/>
  <c r="L10" i="46"/>
  <c r="L11" i="47"/>
  <c r="K11" i="48"/>
  <c r="K84" i="49"/>
  <c r="M84" i="48"/>
  <c r="H72" i="49"/>
  <c r="L72" i="48"/>
  <c r="L21" i="48"/>
  <c r="H21" i="49"/>
  <c r="I21" i="48"/>
  <c r="M93" i="48"/>
  <c r="K93" i="49"/>
  <c r="L62" i="49"/>
  <c r="Z58" i="49" s="1"/>
  <c r="K62" i="50"/>
  <c r="K92" i="49"/>
  <c r="M92" i="48"/>
  <c r="K58" i="47"/>
  <c r="L58" i="46"/>
  <c r="Z55" i="46" s="1"/>
  <c r="L54" i="47"/>
  <c r="Z51" i="47" s="1"/>
  <c r="K54" i="48"/>
  <c r="O82" i="49"/>
  <c r="I82" i="48"/>
  <c r="J82" i="48" s="1"/>
  <c r="L9" i="45"/>
  <c r="L5" i="45" s="1"/>
  <c r="H10" i="49"/>
  <c r="H22" i="46"/>
  <c r="L22" i="45"/>
  <c r="K49" i="49"/>
  <c r="K51" i="50"/>
  <c r="I20" i="45"/>
  <c r="L20" i="45"/>
  <c r="H20" i="46"/>
  <c r="I5" i="45"/>
  <c r="P132" i="45"/>
  <c r="H128" i="45" s="1"/>
  <c r="I128" i="45" s="1"/>
  <c r="O93" i="46"/>
  <c r="I93" i="45"/>
  <c r="J93" i="45" s="1"/>
  <c r="L49" i="46"/>
  <c r="I49" i="46"/>
  <c r="I16" i="45"/>
  <c r="L16" i="45"/>
  <c r="H14" i="45"/>
  <c r="I14" i="45" s="1"/>
  <c r="H16" i="46"/>
  <c r="H18" i="48"/>
  <c r="I18" i="47"/>
  <c r="L18" i="47"/>
  <c r="H5" i="46"/>
  <c r="H9" i="47"/>
  <c r="I9" i="46"/>
  <c r="I83" i="47"/>
  <c r="J83" i="47" s="1"/>
  <c r="O83" i="48"/>
  <c r="K90" i="49"/>
  <c r="M90" i="48"/>
  <c r="K83" i="49"/>
  <c r="M83" i="48"/>
  <c r="L19" i="45"/>
  <c r="H19" i="46"/>
  <c r="I19" i="45"/>
  <c r="R55" i="49"/>
  <c r="K55" i="50"/>
  <c r="L55" i="49"/>
  <c r="Z52" i="49" s="1"/>
  <c r="H49" i="47"/>
  <c r="H51" i="48"/>
  <c r="L51" i="47"/>
  <c r="I51" i="47"/>
  <c r="L14" i="44"/>
  <c r="I83" i="48" l="1"/>
  <c r="J83" i="48" s="1"/>
  <c r="O83" i="49"/>
  <c r="I17" i="46"/>
  <c r="H17" i="47"/>
  <c r="L17" i="46"/>
  <c r="M84" i="49"/>
  <c r="K84" i="50"/>
  <c r="I92" i="46"/>
  <c r="J92" i="46" s="1"/>
  <c r="O92" i="47"/>
  <c r="H20" i="47"/>
  <c r="I20" i="46"/>
  <c r="L20" i="46"/>
  <c r="K9" i="47"/>
  <c r="L9" i="47" s="1"/>
  <c r="L5" i="47" s="1"/>
  <c r="K5" i="46"/>
  <c r="O82" i="50"/>
  <c r="I82" i="49"/>
  <c r="J82" i="49" s="1"/>
  <c r="H51" i="49"/>
  <c r="H49" i="48"/>
  <c r="L51" i="48"/>
  <c r="I51" i="48"/>
  <c r="I9" i="47"/>
  <c r="H9" i="48"/>
  <c r="H5" i="47"/>
  <c r="M92" i="49"/>
  <c r="K92" i="50"/>
  <c r="I49" i="47"/>
  <c r="L49" i="47"/>
  <c r="I5" i="46"/>
  <c r="P132" i="46"/>
  <c r="H128" i="46" s="1"/>
  <c r="I128" i="46" s="1"/>
  <c r="K62" i="52"/>
  <c r="L62" i="50"/>
  <c r="Z58" i="50" s="1"/>
  <c r="I90" i="49"/>
  <c r="J90" i="49" s="1"/>
  <c r="O90" i="50"/>
  <c r="L61" i="48"/>
  <c r="K61" i="49"/>
  <c r="M90" i="49"/>
  <c r="K90" i="50"/>
  <c r="O93" i="47"/>
  <c r="I93" i="46"/>
  <c r="J93" i="46" s="1"/>
  <c r="L58" i="47"/>
  <c r="Z55" i="47" s="1"/>
  <c r="K58" i="48"/>
  <c r="M93" i="49"/>
  <c r="K93" i="50"/>
  <c r="O84" i="49"/>
  <c r="I84" i="48"/>
  <c r="J84" i="48" s="1"/>
  <c r="K83" i="50"/>
  <c r="M83" i="49"/>
  <c r="K11" i="49"/>
  <c r="L11" i="48"/>
  <c r="I18" i="48"/>
  <c r="H18" i="49"/>
  <c r="L18" i="48"/>
  <c r="L16" i="46"/>
  <c r="H14" i="46"/>
  <c r="I14" i="46" s="1"/>
  <c r="I16" i="46"/>
  <c r="H16" i="47"/>
  <c r="L22" i="46"/>
  <c r="H22" i="47"/>
  <c r="K10" i="48"/>
  <c r="L10" i="47"/>
  <c r="K51" i="52"/>
  <c r="K49" i="50"/>
  <c r="I19" i="46"/>
  <c r="H19" i="47"/>
  <c r="L19" i="46"/>
  <c r="K44" i="52"/>
  <c r="H21" i="50"/>
  <c r="L21" i="49"/>
  <c r="I21" i="49"/>
  <c r="K54" i="49"/>
  <c r="L54" i="48"/>
  <c r="Z51" i="48" s="1"/>
  <c r="H72" i="50"/>
  <c r="L72" i="49"/>
  <c r="R55" i="50"/>
  <c r="L55" i="50"/>
  <c r="Z52" i="50" s="1"/>
  <c r="K55" i="52"/>
  <c r="L14" i="45"/>
  <c r="H10" i="50"/>
  <c r="M82" i="49"/>
  <c r="L82" i="49"/>
  <c r="K82" i="50"/>
  <c r="I84" i="49" l="1"/>
  <c r="J84" i="49" s="1"/>
  <c r="O84" i="50"/>
  <c r="I16" i="47"/>
  <c r="H14" i="47"/>
  <c r="I14" i="47" s="1"/>
  <c r="H16" i="48"/>
  <c r="L16" i="47"/>
  <c r="I92" i="47"/>
  <c r="J92" i="47" s="1"/>
  <c r="O92" i="48"/>
  <c r="H21" i="52"/>
  <c r="I21" i="50"/>
  <c r="L21" i="50"/>
  <c r="I5" i="47"/>
  <c r="P132" i="47"/>
  <c r="H128" i="47" s="1"/>
  <c r="I128" i="47" s="1"/>
  <c r="L72" i="50"/>
  <c r="H72" i="52"/>
  <c r="L58" i="48"/>
  <c r="Z55" i="48" s="1"/>
  <c r="K58" i="49"/>
  <c r="K44" i="78"/>
  <c r="K84" i="52"/>
  <c r="M84" i="50"/>
  <c r="L62" i="52"/>
  <c r="Z58" i="52" s="1"/>
  <c r="K62" i="78"/>
  <c r="L62" i="78" s="1"/>
  <c r="Z58" i="78" s="1"/>
  <c r="K5" i="47"/>
  <c r="K9" i="48"/>
  <c r="M90" i="50"/>
  <c r="K90" i="52"/>
  <c r="H5" i="48"/>
  <c r="I9" i="48"/>
  <c r="L9" i="48"/>
  <c r="L5" i="48" s="1"/>
  <c r="H9" i="49"/>
  <c r="L54" i="49"/>
  <c r="Z51" i="49" s="1"/>
  <c r="K54" i="50"/>
  <c r="L14" i="46"/>
  <c r="M82" i="50"/>
  <c r="L82" i="50"/>
  <c r="K82" i="52"/>
  <c r="O93" i="48"/>
  <c r="I93" i="47"/>
  <c r="J93" i="47" s="1"/>
  <c r="K11" i="50"/>
  <c r="L11" i="49"/>
  <c r="L61" i="49"/>
  <c r="K61" i="50"/>
  <c r="I17" i="47"/>
  <c r="H17" i="48"/>
  <c r="L17" i="47"/>
  <c r="H22" i="48"/>
  <c r="L22" i="47"/>
  <c r="H10" i="52"/>
  <c r="O82" i="52"/>
  <c r="I82" i="50"/>
  <c r="J82" i="50" s="1"/>
  <c r="K93" i="52"/>
  <c r="M93" i="50"/>
  <c r="L20" i="47"/>
  <c r="H20" i="48"/>
  <c r="I20" i="47"/>
  <c r="H18" i="50"/>
  <c r="I18" i="49"/>
  <c r="L18" i="49"/>
  <c r="H19" i="48"/>
  <c r="L19" i="47"/>
  <c r="I19" i="47"/>
  <c r="M83" i="50"/>
  <c r="K83" i="52"/>
  <c r="O90" i="52"/>
  <c r="I90" i="50"/>
  <c r="J90" i="50" s="1"/>
  <c r="I49" i="48"/>
  <c r="L49" i="48"/>
  <c r="I83" i="49"/>
  <c r="J83" i="49" s="1"/>
  <c r="O83" i="50"/>
  <c r="K10" i="49"/>
  <c r="L10" i="48"/>
  <c r="K92" i="52"/>
  <c r="M92" i="50"/>
  <c r="R55" i="52"/>
  <c r="L55" i="52"/>
  <c r="Z52" i="52" s="1"/>
  <c r="K55" i="78"/>
  <c r="K49" i="52"/>
  <c r="K51" i="78"/>
  <c r="K49" i="78" s="1"/>
  <c r="L51" i="49"/>
  <c r="I51" i="49"/>
  <c r="H49" i="49"/>
  <c r="H51" i="50"/>
  <c r="L72" i="52" l="1"/>
  <c r="H72" i="78"/>
  <c r="L72" i="78" s="1"/>
  <c r="M90" i="52"/>
  <c r="K90" i="78"/>
  <c r="M90" i="78" s="1"/>
  <c r="L11" i="50"/>
  <c r="K11" i="52"/>
  <c r="H49" i="50"/>
  <c r="I51" i="50"/>
  <c r="L51" i="50"/>
  <c r="H51" i="52"/>
  <c r="O83" i="52"/>
  <c r="I83" i="50"/>
  <c r="J83" i="50" s="1"/>
  <c r="K61" i="52"/>
  <c r="L61" i="50"/>
  <c r="O93" i="49"/>
  <c r="I93" i="48"/>
  <c r="J93" i="48" s="1"/>
  <c r="K5" i="48"/>
  <c r="K9" i="49"/>
  <c r="H21" i="78"/>
  <c r="L21" i="52"/>
  <c r="I21" i="52"/>
  <c r="L17" i="48"/>
  <c r="I17" i="48"/>
  <c r="H17" i="49"/>
  <c r="L82" i="52"/>
  <c r="K82" i="78"/>
  <c r="M82" i="52"/>
  <c r="I92" i="48"/>
  <c r="J92" i="48" s="1"/>
  <c r="O92" i="49"/>
  <c r="I18" i="50"/>
  <c r="H18" i="52"/>
  <c r="L18" i="50"/>
  <c r="K10" i="50"/>
  <c r="L10" i="49"/>
  <c r="L14" i="47"/>
  <c r="O90" i="78"/>
  <c r="I90" i="78" s="1"/>
  <c r="J90" i="78" s="1"/>
  <c r="I90" i="52"/>
  <c r="J90" i="52" s="1"/>
  <c r="H14" i="48"/>
  <c r="I14" i="48" s="1"/>
  <c r="L16" i="48"/>
  <c r="H16" i="49"/>
  <c r="I16" i="48"/>
  <c r="I9" i="49"/>
  <c r="H5" i="49"/>
  <c r="H9" i="50"/>
  <c r="L9" i="49"/>
  <c r="L5" i="49" s="1"/>
  <c r="H20" i="49"/>
  <c r="L20" i="48"/>
  <c r="I20" i="48"/>
  <c r="M93" i="52"/>
  <c r="K93" i="78"/>
  <c r="M93" i="78" s="1"/>
  <c r="M84" i="52"/>
  <c r="K84" i="78"/>
  <c r="M84" i="78" s="1"/>
  <c r="M92" i="52"/>
  <c r="K92" i="78"/>
  <c r="M92" i="78" s="1"/>
  <c r="L22" i="48"/>
  <c r="H22" i="49"/>
  <c r="I84" i="50"/>
  <c r="J84" i="50" s="1"/>
  <c r="O84" i="52"/>
  <c r="L19" i="48"/>
  <c r="H19" i="49"/>
  <c r="I19" i="48"/>
  <c r="P132" i="48"/>
  <c r="H128" i="48" s="1"/>
  <c r="I128" i="48" s="1"/>
  <c r="I5" i="48"/>
  <c r="L49" i="49"/>
  <c r="I49" i="49"/>
  <c r="O82" i="78"/>
  <c r="I82" i="52"/>
  <c r="J82" i="52" s="1"/>
  <c r="H10" i="78"/>
  <c r="L55" i="78"/>
  <c r="Z52" i="78" s="1"/>
  <c r="R55" i="78"/>
  <c r="K83" i="78"/>
  <c r="M83" i="78" s="1"/>
  <c r="M83" i="52"/>
  <c r="L54" i="50"/>
  <c r="Z51" i="50" s="1"/>
  <c r="K54" i="52"/>
  <c r="L58" i="49"/>
  <c r="Z55" i="49" s="1"/>
  <c r="K58" i="50"/>
  <c r="O92" i="50" l="1"/>
  <c r="I92" i="49"/>
  <c r="J92" i="49" s="1"/>
  <c r="H16" i="50"/>
  <c r="I16" i="49"/>
  <c r="H14" i="49"/>
  <c r="L16" i="49"/>
  <c r="L14" i="48"/>
  <c r="I51" i="52"/>
  <c r="L51" i="52"/>
  <c r="H51" i="78"/>
  <c r="I83" i="52"/>
  <c r="J83" i="52" s="1"/>
  <c r="O83" i="78"/>
  <c r="I83" i="78" s="1"/>
  <c r="J83" i="78" s="1"/>
  <c r="O93" i="50"/>
  <c r="I93" i="49"/>
  <c r="J93" i="49" s="1"/>
  <c r="H17" i="50"/>
  <c r="I17" i="49"/>
  <c r="L17" i="49"/>
  <c r="O84" i="78"/>
  <c r="I84" i="78" s="1"/>
  <c r="J84" i="78" s="1"/>
  <c r="I84" i="52"/>
  <c r="J84" i="52" s="1"/>
  <c r="I49" i="50"/>
  <c r="L49" i="50"/>
  <c r="H49" i="52"/>
  <c r="P132" i="49"/>
  <c r="H128" i="49" s="1"/>
  <c r="I128" i="49" s="1"/>
  <c r="I5" i="49"/>
  <c r="L11" i="52"/>
  <c r="K11" i="78"/>
  <c r="L11" i="78" s="1"/>
  <c r="L82" i="78"/>
  <c r="S82" i="78" s="1"/>
  <c r="M82" i="78"/>
  <c r="H22" i="50"/>
  <c r="L22" i="49"/>
  <c r="I82" i="78"/>
  <c r="J82" i="78" s="1"/>
  <c r="K10" i="52"/>
  <c r="L10" i="50"/>
  <c r="H9" i="52"/>
  <c r="H5" i="50"/>
  <c r="I9" i="50"/>
  <c r="L9" i="50"/>
  <c r="L5" i="50" s="1"/>
  <c r="K58" i="52"/>
  <c r="L58" i="50"/>
  <c r="Z55" i="50" s="1"/>
  <c r="L21" i="78"/>
  <c r="I21" i="78"/>
  <c r="L19" i="49"/>
  <c r="H19" i="50"/>
  <c r="I19" i="49"/>
  <c r="H18" i="78"/>
  <c r="I18" i="52"/>
  <c r="L18" i="52"/>
  <c r="K9" i="50"/>
  <c r="K5" i="49"/>
  <c r="L61" i="52"/>
  <c r="K61" i="78"/>
  <c r="L61" i="78" s="1"/>
  <c r="K54" i="78"/>
  <c r="L54" i="78" s="1"/>
  <c r="Z51" i="78" s="1"/>
  <c r="L54" i="52"/>
  <c r="Z51" i="52" s="1"/>
  <c r="I20" i="49"/>
  <c r="H20" i="50"/>
  <c r="L20" i="49"/>
  <c r="I19" i="50" l="1"/>
  <c r="L19" i="50"/>
  <c r="H19" i="52"/>
  <c r="L14" i="49"/>
  <c r="I51" i="78"/>
  <c r="L51" i="78"/>
  <c r="L9" i="52"/>
  <c r="L5" i="52" s="1"/>
  <c r="I9" i="52"/>
  <c r="H5" i="52"/>
  <c r="H9" i="78"/>
  <c r="I14" i="49"/>
  <c r="U22" i="49"/>
  <c r="I5" i="50"/>
  <c r="P132" i="50"/>
  <c r="H128" i="50" s="1"/>
  <c r="I128" i="50" s="1"/>
  <c r="K10" i="78"/>
  <c r="L10" i="78" s="1"/>
  <c r="L10" i="52"/>
  <c r="H14" i="50"/>
  <c r="I14" i="50" s="1"/>
  <c r="L16" i="50"/>
  <c r="I16" i="50"/>
  <c r="H16" i="52"/>
  <c r="L58" i="52"/>
  <c r="Z55" i="52" s="1"/>
  <c r="K58" i="78"/>
  <c r="L58" i="78" s="1"/>
  <c r="Z55" i="78" s="1"/>
  <c r="O93" i="52"/>
  <c r="I93" i="50"/>
  <c r="J93" i="50" s="1"/>
  <c r="H20" i="52"/>
  <c r="L20" i="50"/>
  <c r="I20" i="50"/>
  <c r="L49" i="52"/>
  <c r="H49" i="78"/>
  <c r="I49" i="52"/>
  <c r="K5" i="50"/>
  <c r="K9" i="52"/>
  <c r="H17" i="52"/>
  <c r="I17" i="50"/>
  <c r="L17" i="50"/>
  <c r="I18" i="78"/>
  <c r="L18" i="78"/>
  <c r="L22" i="50"/>
  <c r="H22" i="52"/>
  <c r="I92" i="50"/>
  <c r="J92" i="50" s="1"/>
  <c r="O92" i="52"/>
  <c r="I92" i="52" l="1"/>
  <c r="J92" i="52" s="1"/>
  <c r="O92" i="78"/>
  <c r="I92" i="78" s="1"/>
  <c r="J92" i="78" s="1"/>
  <c r="I49" i="78"/>
  <c r="L49" i="78"/>
  <c r="L22" i="52"/>
  <c r="H22" i="78"/>
  <c r="L22" i="78" s="1"/>
  <c r="P132" i="52"/>
  <c r="H128" i="52" s="1"/>
  <c r="I128" i="52" s="1"/>
  <c r="I5" i="52"/>
  <c r="L19" i="52"/>
  <c r="I19" i="52"/>
  <c r="H19" i="78"/>
  <c r="O93" i="78"/>
  <c r="I93" i="78" s="1"/>
  <c r="J93" i="78" s="1"/>
  <c r="I93" i="52"/>
  <c r="J93" i="52" s="1"/>
  <c r="L17" i="52"/>
  <c r="I17" i="52"/>
  <c r="H17" i="78"/>
  <c r="H5" i="78"/>
  <c r="I9" i="78"/>
  <c r="K5" i="52"/>
  <c r="K9" i="78"/>
  <c r="K5" i="78" s="1"/>
  <c r="L20" i="52"/>
  <c r="I20" i="52"/>
  <c r="H20" i="78"/>
  <c r="I16" i="52"/>
  <c r="H14" i="52"/>
  <c r="I14" i="52" s="1"/>
  <c r="L16" i="52"/>
  <c r="H16" i="78"/>
  <c r="L14" i="50"/>
  <c r="I17" i="78" l="1"/>
  <c r="L17" i="78"/>
  <c r="L14" i="52"/>
  <c r="P132" i="78"/>
  <c r="H128" i="78" s="1"/>
  <c r="I128" i="78" s="1"/>
  <c r="I5" i="78"/>
  <c r="L16" i="78"/>
  <c r="I16" i="78"/>
  <c r="H14" i="78"/>
  <c r="I14" i="78" s="1"/>
  <c r="L19" i="78"/>
  <c r="I19" i="78"/>
  <c r="L20" i="78"/>
  <c r="I20" i="78"/>
  <c r="L9" i="78"/>
  <c r="L5" i="78" s="1"/>
  <c r="L14" i="78" l="1"/>
  <c r="G18" i="76" l="1"/>
  <c r="G7" i="76"/>
  <c r="G8" i="76"/>
  <c r="F4" i="76"/>
  <c r="H44" i="55"/>
  <c r="H44" i="56" s="1"/>
  <c r="F20" i="76"/>
  <c r="J39" i="70"/>
  <c r="J38" i="70" s="1"/>
  <c r="B19" i="76"/>
  <c r="F38" i="70"/>
  <c r="G10" i="76"/>
  <c r="F21" i="76"/>
  <c r="F38" i="43"/>
  <c r="B24" i="76"/>
  <c r="D24" i="76" s="1"/>
  <c r="J39" i="43"/>
  <c r="J38" i="43" s="1"/>
  <c r="G15" i="76"/>
  <c r="J39" i="54"/>
  <c r="F38" i="54"/>
  <c r="H38" i="54" s="1"/>
  <c r="I38" i="54" s="1"/>
  <c r="H39" i="54"/>
  <c r="B3" i="76"/>
  <c r="F38" i="52"/>
  <c r="B32" i="76"/>
  <c r="D32" i="76" s="1"/>
  <c r="J39" i="52"/>
  <c r="B11" i="76"/>
  <c r="D11" i="76" s="1"/>
  <c r="F38" i="62"/>
  <c r="J39" i="62"/>
  <c r="J38" i="62" s="1"/>
  <c r="J43" i="58"/>
  <c r="E7" i="76"/>
  <c r="J43" i="66"/>
  <c r="E15" i="76"/>
  <c r="J43" i="74"/>
  <c r="E23" i="76"/>
  <c r="J43" i="50"/>
  <c r="E25" i="76"/>
  <c r="E31" i="76"/>
  <c r="E20" i="76"/>
  <c r="J43" i="71"/>
  <c r="F22" i="76"/>
  <c r="J39" i="66"/>
  <c r="J38" i="66" s="1"/>
  <c r="F38" i="66"/>
  <c r="B15" i="76"/>
  <c r="D15" i="76" s="1"/>
  <c r="G27" i="76"/>
  <c r="F38" i="46"/>
  <c r="J39" i="46"/>
  <c r="J38" i="46" s="1"/>
  <c r="B27" i="76"/>
  <c r="F7" i="76"/>
  <c r="F15" i="76"/>
  <c r="F23" i="76"/>
  <c r="F31" i="76"/>
  <c r="F28" i="76"/>
  <c r="F29" i="76"/>
  <c r="F14" i="76"/>
  <c r="J43" i="59"/>
  <c r="E8" i="76"/>
  <c r="J43" i="67"/>
  <c r="E16" i="76"/>
  <c r="J43" i="43"/>
  <c r="E24" i="76"/>
  <c r="J43" i="52"/>
  <c r="E32" i="76"/>
  <c r="E28" i="76"/>
  <c r="J43" i="47"/>
  <c r="F30" i="76"/>
  <c r="G26" i="76"/>
  <c r="F8" i="76"/>
  <c r="F16" i="76"/>
  <c r="F24" i="76"/>
  <c r="F32" i="76"/>
  <c r="G3" i="76"/>
  <c r="H48" i="54"/>
  <c r="J43" i="55"/>
  <c r="K43" i="55" s="1"/>
  <c r="E4" i="76"/>
  <c r="F12" i="76"/>
  <c r="G25" i="76"/>
  <c r="B9" i="76"/>
  <c r="J39" i="60"/>
  <c r="J38" i="60" s="1"/>
  <c r="F38" i="60"/>
  <c r="G17" i="76"/>
  <c r="F5" i="76"/>
  <c r="F13" i="76"/>
  <c r="G31" i="76"/>
  <c r="B26" i="76"/>
  <c r="F38" i="45"/>
  <c r="J39" i="45"/>
  <c r="J38" i="45" s="1"/>
  <c r="F38" i="78"/>
  <c r="B33" i="76"/>
  <c r="J39" i="78"/>
  <c r="J38" i="78" s="1"/>
  <c r="J39" i="59"/>
  <c r="J38" i="59" s="1"/>
  <c r="B8" i="76"/>
  <c r="D8" i="76" s="1"/>
  <c r="F38" i="59"/>
  <c r="J43" i="60"/>
  <c r="E9" i="76"/>
  <c r="J43" i="68"/>
  <c r="E17" i="76"/>
  <c r="J43" i="44"/>
  <c r="J43" i="78"/>
  <c r="E33" i="76"/>
  <c r="J43" i="72"/>
  <c r="E21" i="76"/>
  <c r="E6" i="76"/>
  <c r="J43" i="57"/>
  <c r="G11" i="76"/>
  <c r="G33" i="76"/>
  <c r="G16" i="76"/>
  <c r="B18" i="76"/>
  <c r="D18" i="76" s="1"/>
  <c r="F38" i="69"/>
  <c r="J39" i="69"/>
  <c r="J38" i="69" s="1"/>
  <c r="F38" i="58"/>
  <c r="J39" i="58"/>
  <c r="J38" i="58" s="1"/>
  <c r="B7" i="76"/>
  <c r="D7" i="76" s="1"/>
  <c r="J39" i="68"/>
  <c r="J38" i="68" s="1"/>
  <c r="F38" i="68"/>
  <c r="B17" i="76"/>
  <c r="J39" i="50"/>
  <c r="J38" i="50" s="1"/>
  <c r="F38" i="50"/>
  <c r="B31" i="76"/>
  <c r="F9" i="76"/>
  <c r="F17" i="76"/>
  <c r="F25" i="76"/>
  <c r="F33" i="76"/>
  <c r="J43" i="63"/>
  <c r="E12" i="76"/>
  <c r="F6" i="76"/>
  <c r="J39" i="44"/>
  <c r="J38" i="44" s="1"/>
  <c r="F38" i="44"/>
  <c r="B25" i="76"/>
  <c r="J39" i="67"/>
  <c r="J38" i="67" s="1"/>
  <c r="F38" i="67"/>
  <c r="B16" i="76"/>
  <c r="D16" i="76" s="1"/>
  <c r="J43" i="61"/>
  <c r="E10" i="76"/>
  <c r="J43" i="69"/>
  <c r="E18" i="76"/>
  <c r="E26" i="76"/>
  <c r="J43" i="45"/>
  <c r="J43" i="64"/>
  <c r="E13" i="76"/>
  <c r="E22" i="76"/>
  <c r="J43" i="73"/>
  <c r="F38" i="61"/>
  <c r="J39" i="61"/>
  <c r="J38" i="61" s="1"/>
  <c r="B10" i="76"/>
  <c r="D10" i="76" s="1"/>
  <c r="F10" i="76"/>
  <c r="F18" i="76"/>
  <c r="F26" i="76"/>
  <c r="E29" i="76"/>
  <c r="J43" i="48"/>
  <c r="J43" i="49"/>
  <c r="E30" i="76"/>
  <c r="E3" i="76"/>
  <c r="H43" i="54"/>
  <c r="J43" i="54"/>
  <c r="K43" i="54" s="1"/>
  <c r="J43" i="62"/>
  <c r="E11" i="76"/>
  <c r="E19" i="76"/>
  <c r="J43" i="70"/>
  <c r="E27" i="76"/>
  <c r="J43" i="46"/>
  <c r="J43" i="56"/>
  <c r="E5" i="76"/>
  <c r="E14" i="76"/>
  <c r="J43" i="65"/>
  <c r="H44" i="54"/>
  <c r="F3" i="76"/>
  <c r="F11" i="76"/>
  <c r="F19" i="76"/>
  <c r="F27" i="76"/>
  <c r="I44" i="56" l="1"/>
  <c r="L44" i="56"/>
  <c r="H44" i="57"/>
  <c r="I43" i="54"/>
  <c r="L43" i="54"/>
  <c r="H33" i="76"/>
  <c r="D33" i="76"/>
  <c r="H43" i="55"/>
  <c r="D3" i="76"/>
  <c r="H3" i="76"/>
  <c r="I44" i="55"/>
  <c r="L44" i="55"/>
  <c r="I48" i="54"/>
  <c r="L48" i="54"/>
  <c r="J38" i="54"/>
  <c r="K39" i="54"/>
  <c r="K38" i="54" s="1"/>
  <c r="L38" i="54" s="1"/>
  <c r="D26" i="76"/>
  <c r="H26" i="76"/>
  <c r="H25" i="76"/>
  <c r="D25" i="76"/>
  <c r="H16" i="76"/>
  <c r="H8" i="76"/>
  <c r="F34" i="76"/>
  <c r="I44" i="54"/>
  <c r="L44" i="54"/>
  <c r="H15" i="76"/>
  <c r="H7" i="76"/>
  <c r="D31" i="76"/>
  <c r="H31" i="76"/>
  <c r="K43" i="56"/>
  <c r="K43" i="57" s="1"/>
  <c r="K43" i="58" s="1"/>
  <c r="K43" i="59" s="1"/>
  <c r="K43" i="60" s="1"/>
  <c r="K43" i="61" s="1"/>
  <c r="K43" i="62" s="1"/>
  <c r="K43" i="63" s="1"/>
  <c r="K43" i="64" s="1"/>
  <c r="K43" i="65" s="1"/>
  <c r="K43" i="66" s="1"/>
  <c r="K43" i="67" s="1"/>
  <c r="K43" i="68" s="1"/>
  <c r="K43" i="69" s="1"/>
  <c r="K43" i="70" s="1"/>
  <c r="K43" i="71" s="1"/>
  <c r="K43" i="72" s="1"/>
  <c r="K43" i="73" s="1"/>
  <c r="K43" i="74" s="1"/>
  <c r="K43" i="43" s="1"/>
  <c r="K43" i="44" s="1"/>
  <c r="K43" i="45" s="1"/>
  <c r="K43" i="46" s="1"/>
  <c r="K43" i="47" s="1"/>
  <c r="K43" i="48" s="1"/>
  <c r="K43" i="49" s="1"/>
  <c r="K43" i="50" s="1"/>
  <c r="K43" i="52" s="1"/>
  <c r="K43" i="78" s="1"/>
  <c r="H11" i="76"/>
  <c r="D9" i="76"/>
  <c r="D27" i="76"/>
  <c r="H27" i="76"/>
  <c r="H10" i="76"/>
  <c r="H18" i="76"/>
  <c r="D17" i="76"/>
  <c r="H17" i="76"/>
  <c r="E34" i="76"/>
  <c r="D19" i="76"/>
  <c r="J38" i="52"/>
  <c r="B29" i="76" l="1"/>
  <c r="F38" i="48"/>
  <c r="J39" i="48"/>
  <c r="J38" i="48" s="1"/>
  <c r="I43" i="55"/>
  <c r="L43" i="55"/>
  <c r="H43" i="56"/>
  <c r="G19" i="76"/>
  <c r="H19" i="76" s="1"/>
  <c r="F38" i="72"/>
  <c r="B21" i="76"/>
  <c r="J39" i="72"/>
  <c r="J38" i="72" s="1"/>
  <c r="J39" i="74"/>
  <c r="J38" i="74" s="1"/>
  <c r="F38" i="74"/>
  <c r="B23" i="76"/>
  <c r="D23" i="76" s="1"/>
  <c r="F38" i="71"/>
  <c r="B20" i="76"/>
  <c r="D20" i="76" s="1"/>
  <c r="J39" i="71"/>
  <c r="J38" i="71" s="1"/>
  <c r="G9" i="76"/>
  <c r="H9" i="76" s="1"/>
  <c r="J39" i="55"/>
  <c r="B4" i="76"/>
  <c r="F38" i="55"/>
  <c r="H39" i="55"/>
  <c r="H38" i="55" s="1"/>
  <c r="I38" i="55" s="1"/>
  <c r="B13" i="76"/>
  <c r="D13" i="76" s="1"/>
  <c r="J39" i="64"/>
  <c r="J38" i="64" s="1"/>
  <c r="F38" i="64"/>
  <c r="J39" i="73"/>
  <c r="J38" i="73" s="1"/>
  <c r="F38" i="73"/>
  <c r="B22" i="76"/>
  <c r="D22" i="76" s="1"/>
  <c r="J39" i="63"/>
  <c r="J38" i="63" s="1"/>
  <c r="B12" i="76"/>
  <c r="D12" i="76" s="1"/>
  <c r="F38" i="63"/>
  <c r="I44" i="57"/>
  <c r="L44" i="57"/>
  <c r="H44" i="58"/>
  <c r="B14" i="76"/>
  <c r="D14" i="76" s="1"/>
  <c r="J39" i="65"/>
  <c r="J38" i="65" s="1"/>
  <c r="F38" i="65"/>
  <c r="G32" i="76"/>
  <c r="H32" i="76" s="1"/>
  <c r="J39" i="49"/>
  <c r="J38" i="49" s="1"/>
  <c r="B30" i="76"/>
  <c r="F38" i="49"/>
  <c r="J39" i="47"/>
  <c r="J38" i="47" s="1"/>
  <c r="B28" i="76"/>
  <c r="F38" i="47"/>
  <c r="F38" i="57"/>
  <c r="B6" i="76"/>
  <c r="D6" i="76" s="1"/>
  <c r="J39" i="57"/>
  <c r="J38" i="57" s="1"/>
  <c r="F38" i="56"/>
  <c r="H38" i="56" s="1"/>
  <c r="J39" i="56"/>
  <c r="B5" i="76"/>
  <c r="G24" i="76"/>
  <c r="H24" i="76" s="1"/>
  <c r="G20" i="76" l="1"/>
  <c r="H20" i="76" s="1"/>
  <c r="G12" i="76"/>
  <c r="H12" i="76" s="1"/>
  <c r="D21" i="76"/>
  <c r="D28" i="76"/>
  <c r="D4" i="76"/>
  <c r="B34" i="76"/>
  <c r="G4" i="76"/>
  <c r="H4" i="76" s="1"/>
  <c r="H48" i="55"/>
  <c r="H48" i="56" s="1"/>
  <c r="G14" i="76"/>
  <c r="H14" i="76" s="1"/>
  <c r="G5" i="76"/>
  <c r="J38" i="55"/>
  <c r="K39" i="55"/>
  <c r="K38" i="55" s="1"/>
  <c r="L38" i="55" s="1"/>
  <c r="G23" i="76"/>
  <c r="H23" i="76" s="1"/>
  <c r="H38" i="57"/>
  <c r="G29" i="76"/>
  <c r="G6" i="76"/>
  <c r="H6" i="76" s="1"/>
  <c r="I44" i="58"/>
  <c r="L44" i="58"/>
  <c r="H44" i="59"/>
  <c r="G13" i="76"/>
  <c r="H13" i="76" s="1"/>
  <c r="G22" i="76"/>
  <c r="H22" i="76" s="1"/>
  <c r="G28" i="76"/>
  <c r="H28" i="76" s="1"/>
  <c r="D30" i="76"/>
  <c r="H30" i="76"/>
  <c r="I43" i="56"/>
  <c r="L43" i="56"/>
  <c r="H43" i="57"/>
  <c r="I38" i="56"/>
  <c r="H39" i="56"/>
  <c r="H39" i="57" s="1"/>
  <c r="D5" i="76"/>
  <c r="H5" i="76"/>
  <c r="J38" i="56"/>
  <c r="K38" i="56" s="1"/>
  <c r="K38" i="57" s="1"/>
  <c r="K38" i="58" s="1"/>
  <c r="K38" i="59" s="1"/>
  <c r="K38" i="60" s="1"/>
  <c r="K38" i="61" s="1"/>
  <c r="K38" i="62" s="1"/>
  <c r="K38" i="63" s="1"/>
  <c r="K38" i="64" s="1"/>
  <c r="K38" i="65" s="1"/>
  <c r="K38" i="66" s="1"/>
  <c r="K38" i="67" s="1"/>
  <c r="K38" i="68" s="1"/>
  <c r="K38" i="69" s="1"/>
  <c r="K38" i="70" s="1"/>
  <c r="K38" i="71" s="1"/>
  <c r="K38" i="72" s="1"/>
  <c r="K38" i="73" s="1"/>
  <c r="K38" i="74" s="1"/>
  <c r="K38" i="43" s="1"/>
  <c r="K38" i="44" s="1"/>
  <c r="K38" i="45" s="1"/>
  <c r="K38" i="46" s="1"/>
  <c r="K38" i="47" s="1"/>
  <c r="K38" i="48" s="1"/>
  <c r="K38" i="49" s="1"/>
  <c r="K39" i="56"/>
  <c r="K39" i="57" s="1"/>
  <c r="K39" i="58" s="1"/>
  <c r="K39" i="59" s="1"/>
  <c r="K39" i="60" s="1"/>
  <c r="K39" i="61" s="1"/>
  <c r="K39" i="62" s="1"/>
  <c r="K39" i="63" s="1"/>
  <c r="K39" i="64" s="1"/>
  <c r="K39" i="65" s="1"/>
  <c r="K39" i="66" s="1"/>
  <c r="K39" i="67" s="1"/>
  <c r="K39" i="68" s="1"/>
  <c r="K39" i="69" s="1"/>
  <c r="K39" i="70" s="1"/>
  <c r="K39" i="71" s="1"/>
  <c r="K39" i="72" s="1"/>
  <c r="K39" i="73" s="1"/>
  <c r="K39" i="74" s="1"/>
  <c r="K39" i="43" s="1"/>
  <c r="K39" i="44" s="1"/>
  <c r="K39" i="45" s="1"/>
  <c r="K39" i="46" s="1"/>
  <c r="K39" i="47" s="1"/>
  <c r="K39" i="48" s="1"/>
  <c r="K39" i="49" s="1"/>
  <c r="K39" i="50" s="1"/>
  <c r="G30" i="76"/>
  <c r="G21" i="76"/>
  <c r="H21" i="76" s="1"/>
  <c r="H29" i="76"/>
  <c r="D29" i="76"/>
  <c r="L48" i="56" l="1"/>
  <c r="I48" i="56"/>
  <c r="H48" i="57"/>
  <c r="K38" i="50"/>
  <c r="K38" i="52" s="1"/>
  <c r="K38" i="78" s="1"/>
  <c r="K39" i="52"/>
  <c r="K39" i="78" s="1"/>
  <c r="I38" i="57"/>
  <c r="L38" i="57"/>
  <c r="H38" i="58"/>
  <c r="L43" i="57"/>
  <c r="I43" i="57"/>
  <c r="H43" i="58"/>
  <c r="D34" i="76"/>
  <c r="H39" i="58"/>
  <c r="H39" i="59" s="1"/>
  <c r="H39" i="60" s="1"/>
  <c r="H39" i="61" s="1"/>
  <c r="H39" i="62" s="1"/>
  <c r="H39" i="63" s="1"/>
  <c r="H39" i="64" s="1"/>
  <c r="H39" i="65" s="1"/>
  <c r="H39" i="66" s="1"/>
  <c r="H39" i="67" s="1"/>
  <c r="H39" i="68" s="1"/>
  <c r="H39" i="69" s="1"/>
  <c r="H39" i="70" s="1"/>
  <c r="H39" i="71" s="1"/>
  <c r="H39" i="72" s="1"/>
  <c r="H39" i="73" s="1"/>
  <c r="H39" i="74" s="1"/>
  <c r="H39" i="43" s="1"/>
  <c r="H39" i="44" s="1"/>
  <c r="H39" i="45" s="1"/>
  <c r="H39" i="46" s="1"/>
  <c r="H39" i="47" s="1"/>
  <c r="H39" i="48" s="1"/>
  <c r="H39" i="49" s="1"/>
  <c r="H39" i="50" s="1"/>
  <c r="H39" i="52" s="1"/>
  <c r="H39" i="78" s="1"/>
  <c r="L39" i="57"/>
  <c r="L48" i="55"/>
  <c r="I48" i="55"/>
  <c r="G34" i="76"/>
  <c r="L38" i="56"/>
  <c r="I44" i="59"/>
  <c r="L44" i="59"/>
  <c r="H44" i="60"/>
  <c r="L43" i="58" l="1"/>
  <c r="I43" i="58"/>
  <c r="H43" i="59"/>
  <c r="I48" i="57"/>
  <c r="L48" i="57"/>
  <c r="H48" i="58"/>
  <c r="I44" i="60"/>
  <c r="L44" i="60"/>
  <c r="H44" i="61"/>
  <c r="I38" i="58"/>
  <c r="L38" i="58"/>
  <c r="H38" i="59"/>
  <c r="I38" i="59" l="1"/>
  <c r="L38" i="59"/>
  <c r="H38" i="60"/>
  <c r="I44" i="61"/>
  <c r="L44" i="61"/>
  <c r="H44" i="62"/>
  <c r="I48" i="58"/>
  <c r="L48" i="58"/>
  <c r="H48" i="59"/>
  <c r="L43" i="59"/>
  <c r="I43" i="59"/>
  <c r="H43" i="60"/>
  <c r="L43" i="60" l="1"/>
  <c r="I43" i="60"/>
  <c r="H43" i="61"/>
  <c r="I48" i="59"/>
  <c r="L48" i="59"/>
  <c r="H48" i="60"/>
  <c r="I44" i="62"/>
  <c r="L44" i="62"/>
  <c r="H44" i="63"/>
  <c r="L38" i="60"/>
  <c r="I38" i="60"/>
  <c r="H38" i="61"/>
  <c r="I38" i="61" l="1"/>
  <c r="L38" i="61"/>
  <c r="H38" i="62"/>
  <c r="I44" i="63"/>
  <c r="L44" i="63"/>
  <c r="H44" i="64"/>
  <c r="I48" i="60"/>
  <c r="L48" i="60"/>
  <c r="H48" i="61"/>
  <c r="I43" i="61"/>
  <c r="L43" i="61"/>
  <c r="H43" i="62"/>
  <c r="L43" i="62" l="1"/>
  <c r="I43" i="62"/>
  <c r="H43" i="63"/>
  <c r="I44" i="64"/>
  <c r="L44" i="64"/>
  <c r="H44" i="65"/>
  <c r="L38" i="62"/>
  <c r="I38" i="62"/>
  <c r="H38" i="63"/>
  <c r="L48" i="61"/>
  <c r="I48" i="61"/>
  <c r="H48" i="62"/>
  <c r="I48" i="62" l="1"/>
  <c r="L48" i="62"/>
  <c r="H48" i="63"/>
  <c r="I38" i="63"/>
  <c r="L38" i="63"/>
  <c r="H38" i="64"/>
  <c r="I44" i="65"/>
  <c r="L44" i="65"/>
  <c r="H44" i="66"/>
  <c r="L43" i="63"/>
  <c r="I43" i="63"/>
  <c r="H43" i="64"/>
  <c r="I43" i="64" l="1"/>
  <c r="L43" i="64"/>
  <c r="H43" i="65"/>
  <c r="I44" i="66"/>
  <c r="L44" i="66"/>
  <c r="H44" i="67"/>
  <c r="I48" i="63"/>
  <c r="L48" i="63"/>
  <c r="H48" i="64"/>
  <c r="I38" i="64"/>
  <c r="L38" i="64"/>
  <c r="H38" i="65"/>
  <c r="L38" i="65" l="1"/>
  <c r="I38" i="65"/>
  <c r="H38" i="66"/>
  <c r="I48" i="64"/>
  <c r="L48" i="64"/>
  <c r="H48" i="65"/>
  <c r="I44" i="67"/>
  <c r="L44" i="67"/>
  <c r="H44" i="68"/>
  <c r="L43" i="65"/>
  <c r="I43" i="65"/>
  <c r="H43" i="66"/>
  <c r="I43" i="66" l="1"/>
  <c r="L43" i="66"/>
  <c r="H43" i="67"/>
  <c r="I38" i="66"/>
  <c r="L38" i="66"/>
  <c r="H38" i="67"/>
  <c r="I44" i="68"/>
  <c r="L44" i="68"/>
  <c r="H44" i="69"/>
  <c r="I48" i="65"/>
  <c r="L48" i="65"/>
  <c r="H48" i="66"/>
  <c r="I48" i="66" l="1"/>
  <c r="L48" i="66"/>
  <c r="H48" i="67"/>
  <c r="I44" i="69"/>
  <c r="L44" i="69"/>
  <c r="H44" i="70"/>
  <c r="L38" i="67"/>
  <c r="I38" i="67"/>
  <c r="H38" i="68"/>
  <c r="L43" i="67"/>
  <c r="I43" i="67"/>
  <c r="H43" i="68"/>
  <c r="L48" i="67" l="1"/>
  <c r="I48" i="67"/>
  <c r="H48" i="68"/>
  <c r="I43" i="68"/>
  <c r="L43" i="68"/>
  <c r="H43" i="69"/>
  <c r="I38" i="68"/>
  <c r="L38" i="68"/>
  <c r="H38" i="69"/>
  <c r="I44" i="70"/>
  <c r="L44" i="70"/>
  <c r="H44" i="71"/>
  <c r="I38" i="69" l="1"/>
  <c r="L38" i="69"/>
  <c r="H38" i="70"/>
  <c r="I48" i="68"/>
  <c r="L48" i="68"/>
  <c r="H48" i="69"/>
  <c r="I43" i="69"/>
  <c r="L43" i="69"/>
  <c r="H43" i="70"/>
  <c r="I44" i="71"/>
  <c r="L44" i="71"/>
  <c r="H44" i="72"/>
  <c r="I48" i="69" l="1"/>
  <c r="L48" i="69"/>
  <c r="H48" i="70"/>
  <c r="I44" i="72"/>
  <c r="L44" i="72"/>
  <c r="H44" i="73"/>
  <c r="L43" i="70"/>
  <c r="I43" i="70"/>
  <c r="H43" i="71"/>
  <c r="I38" i="70"/>
  <c r="L38" i="70"/>
  <c r="H38" i="71"/>
  <c r="L43" i="71" l="1"/>
  <c r="I43" i="71"/>
  <c r="H43" i="72"/>
  <c r="I44" i="73"/>
  <c r="L44" i="73"/>
  <c r="H44" i="74"/>
  <c r="I38" i="71"/>
  <c r="L38" i="71"/>
  <c r="H38" i="72"/>
  <c r="I48" i="70"/>
  <c r="L48" i="70"/>
  <c r="H48" i="71"/>
  <c r="L48" i="71" l="1"/>
  <c r="I48" i="71"/>
  <c r="H48" i="72"/>
  <c r="I38" i="72"/>
  <c r="L38" i="72"/>
  <c r="H38" i="73"/>
  <c r="I44" i="74"/>
  <c r="L44" i="74"/>
  <c r="H44" i="43"/>
  <c r="I43" i="72"/>
  <c r="L43" i="72"/>
  <c r="H43" i="73"/>
  <c r="L43" i="73" l="1"/>
  <c r="I43" i="73"/>
  <c r="H43" i="74"/>
  <c r="I38" i="73"/>
  <c r="L38" i="73"/>
  <c r="H38" i="74"/>
  <c r="I44" i="43"/>
  <c r="L44" i="43"/>
  <c r="H44" i="44"/>
  <c r="I48" i="72"/>
  <c r="L48" i="72"/>
  <c r="H48" i="73"/>
  <c r="I44" i="44" l="1"/>
  <c r="L44" i="44"/>
  <c r="H44" i="45"/>
  <c r="L48" i="73"/>
  <c r="I48" i="73"/>
  <c r="H48" i="74"/>
  <c r="I38" i="74"/>
  <c r="L38" i="74"/>
  <c r="H38" i="43"/>
  <c r="L43" i="74"/>
  <c r="I43" i="74"/>
  <c r="H43" i="43"/>
  <c r="I43" i="43" l="1"/>
  <c r="L43" i="43"/>
  <c r="H43" i="44"/>
  <c r="I48" i="74"/>
  <c r="L48" i="74"/>
  <c r="H48" i="43"/>
  <c r="L38" i="43"/>
  <c r="I38" i="43"/>
  <c r="H38" i="44"/>
  <c r="I44" i="45"/>
  <c r="L44" i="45"/>
  <c r="H44" i="46"/>
  <c r="I44" i="46" l="1"/>
  <c r="L44" i="46"/>
  <c r="H44" i="47"/>
  <c r="L38" i="44"/>
  <c r="I38" i="44"/>
  <c r="H38" i="45"/>
  <c r="I43" i="44"/>
  <c r="L43" i="44"/>
  <c r="H43" i="45"/>
  <c r="L48" i="43"/>
  <c r="I48" i="43"/>
  <c r="H48" i="44"/>
  <c r="L48" i="44" l="1"/>
  <c r="I48" i="44"/>
  <c r="H48" i="45"/>
  <c r="I38" i="45"/>
  <c r="L38" i="45"/>
  <c r="H38" i="46"/>
  <c r="L43" i="45"/>
  <c r="I43" i="45"/>
  <c r="H43" i="46"/>
  <c r="I44" i="47"/>
  <c r="L44" i="47"/>
  <c r="H44" i="48"/>
  <c r="I44" i="48" l="1"/>
  <c r="L44" i="48"/>
  <c r="H44" i="49"/>
  <c r="L43" i="46"/>
  <c r="I43" i="46"/>
  <c r="H43" i="47"/>
  <c r="I38" i="46"/>
  <c r="L38" i="46"/>
  <c r="H38" i="47"/>
  <c r="I48" i="45"/>
  <c r="L48" i="45"/>
  <c r="H48" i="46"/>
  <c r="L43" i="47" l="1"/>
  <c r="I43" i="47"/>
  <c r="H43" i="48"/>
  <c r="I48" i="46"/>
  <c r="L48" i="46"/>
  <c r="H48" i="47"/>
  <c r="I38" i="47"/>
  <c r="L38" i="47"/>
  <c r="H38" i="48"/>
  <c r="I44" i="49"/>
  <c r="L44" i="49"/>
  <c r="H44" i="50"/>
  <c r="I44" i="50" l="1"/>
  <c r="L44" i="50"/>
  <c r="H44" i="52"/>
  <c r="L48" i="47"/>
  <c r="I48" i="47"/>
  <c r="H48" i="48"/>
  <c r="L43" i="48"/>
  <c r="I43" i="48"/>
  <c r="H43" i="49"/>
  <c r="I38" i="48"/>
  <c r="L38" i="48"/>
  <c r="H38" i="49"/>
  <c r="I38" i="49" l="1"/>
  <c r="L38" i="49"/>
  <c r="H38" i="50"/>
  <c r="L43" i="49"/>
  <c r="I43" i="49"/>
  <c r="H43" i="50"/>
  <c r="I48" i="48"/>
  <c r="L48" i="48"/>
  <c r="H48" i="49"/>
  <c r="I44" i="52"/>
  <c r="L44" i="52"/>
  <c r="H44" i="78"/>
  <c r="I48" i="49" l="1"/>
  <c r="L48" i="49"/>
  <c r="H48" i="50"/>
  <c r="I44" i="78"/>
  <c r="L44" i="78"/>
  <c r="I43" i="50"/>
  <c r="L43" i="50"/>
  <c r="H43" i="52"/>
  <c r="I38" i="50"/>
  <c r="L38" i="50"/>
  <c r="H38" i="52"/>
  <c r="L38" i="52" l="1"/>
  <c r="I38" i="52"/>
  <c r="H38" i="78"/>
  <c r="L43" i="52"/>
  <c r="I43" i="52"/>
  <c r="H43" i="78"/>
  <c r="L43" i="78" s="1"/>
  <c r="L48" i="50"/>
  <c r="I48" i="50"/>
  <c r="H48" i="52"/>
  <c r="I48" i="52" l="1"/>
  <c r="L48" i="52"/>
  <c r="H48" i="78"/>
  <c r="L38" i="78"/>
  <c r="I38" i="78"/>
  <c r="I48" i="78" l="1"/>
  <c r="L48" i="7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P5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пылевозврат
</t>
        </r>
      </text>
    </comment>
    <comment ref="E79" authorId="0" shapeId="0" xr:uid="{00000000-0006-0000-0000-000003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000-000004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1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1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1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2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2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2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3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ост на 01.07.22 запас.склад</t>
        </r>
      </text>
    </comment>
    <comment ref="C78" authorId="0" shapeId="0" xr:uid="{00000000-0006-0000-0300-000002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300-000003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300-000004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400-000002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400-000003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400-000004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5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5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5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6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6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6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7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7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7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8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8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8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J16" authorId="0" shapeId="0" xr:uid="{00000000-0006-0000-0900-000001000000}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расх.на собст.нужд</t>
        </r>
      </text>
    </comment>
    <comment ref="C78" authorId="0" shapeId="0" xr:uid="{00000000-0006-0000-0900-000002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900-000003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900-000004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A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A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A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B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B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B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C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C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C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D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D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D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E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E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E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0F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0F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0F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0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0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0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1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1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1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2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2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2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3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3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3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4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4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4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5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5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5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6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6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6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7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7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7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8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8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8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9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9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9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A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A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A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B00-000002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B00-000003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B00-000004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C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C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C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8" authorId="0" shapeId="0" xr:uid="{00000000-0006-0000-1D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D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D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H55" authorId="0" shapeId="0" xr:uid="{5F5DCF16-DBC1-43BD-AF36-1EC695815051}">
      <text>
        <r>
          <rPr>
            <b/>
            <sz val="9"/>
            <color indexed="81"/>
            <rFont val="Tahoma"/>
            <family val="2"/>
            <charset val="204"/>
          </rPr>
          <t>Автор:
АГМКДАН ВЛАГА МИНУС КИЛИНЯПТИ</t>
        </r>
      </text>
    </comment>
    <comment ref="C78" authorId="0" shapeId="0" xr:uid="{00000000-0006-0000-1E00-000001000000}">
      <text>
        <r>
          <rPr>
            <sz val="9"/>
            <color indexed="81"/>
            <rFont val="Tahoma"/>
            <family val="2"/>
            <charset val="204"/>
          </rPr>
          <t xml:space="preserve">по данным технолога, согласно подписанных графиков на месяц
</t>
        </r>
      </text>
    </comment>
    <comment ref="E79" authorId="0" shapeId="0" xr:uid="{00000000-0006-0000-1E00-000002000000}">
      <text>
        <r>
          <rPr>
            <sz val="9"/>
            <color indexed="81"/>
            <rFont val="Tahoma"/>
            <family val="2"/>
            <charset val="204"/>
          </rPr>
          <t xml:space="preserve">отношение фактической производительности к плановой 
</t>
        </r>
      </text>
    </comment>
    <comment ref="H79" authorId="0" shapeId="0" xr:uid="{00000000-0006-0000-1E00-000003000000}">
      <text>
        <r>
          <rPr>
            <sz val="9"/>
            <color indexed="81"/>
            <rFont val="Tahoma"/>
            <family val="2"/>
            <charset val="204"/>
          </rPr>
          <t xml:space="preserve">коэф исп по времени
</t>
        </r>
      </text>
    </comment>
  </commentList>
</comments>
</file>

<file path=xl/sharedStrings.xml><?xml version="1.0" encoding="utf-8"?>
<sst xmlns="http://schemas.openxmlformats.org/spreadsheetml/2006/main" count="11445" uniqueCount="264">
  <si>
    <t xml:space="preserve"> расход на клинкер</t>
  </si>
  <si>
    <t>%</t>
  </si>
  <si>
    <t>факт</t>
  </si>
  <si>
    <t>план</t>
  </si>
  <si>
    <t>с начала месяца</t>
  </si>
  <si>
    <t>за сутки</t>
  </si>
  <si>
    <t>ЕдИзм</t>
  </si>
  <si>
    <t>Наименование</t>
  </si>
  <si>
    <t>Энергоресурсы</t>
  </si>
  <si>
    <t>т</t>
  </si>
  <si>
    <t>Навалом, в т.ч.</t>
  </si>
  <si>
    <t>ВСЕГО</t>
  </si>
  <si>
    <t>откл</t>
  </si>
  <si>
    <t>MTBF</t>
  </si>
  <si>
    <t>план на месяц</t>
  </si>
  <si>
    <t>наименование</t>
  </si>
  <si>
    <t>Отгрузка</t>
  </si>
  <si>
    <t>т/ч</t>
  </si>
  <si>
    <t>план с начала месяца</t>
  </si>
  <si>
    <t>план сутки</t>
  </si>
  <si>
    <t>надежность</t>
  </si>
  <si>
    <t>простой</t>
  </si>
  <si>
    <t>время работы</t>
  </si>
  <si>
    <t>загрузка производственных мощностей</t>
  </si>
  <si>
    <t>фактическая мощность с начала месяца</t>
  </si>
  <si>
    <t>фактическая мощность за сутки</t>
  </si>
  <si>
    <t>Комментарии</t>
  </si>
  <si>
    <t>факт с начала месяца</t>
  </si>
  <si>
    <t>факт за сутки</t>
  </si>
  <si>
    <t>планируемая мощность</t>
  </si>
  <si>
    <t>Работа основного оборудования</t>
  </si>
  <si>
    <t>Клинкер всего</t>
  </si>
  <si>
    <t>план на сутки</t>
  </si>
  <si>
    <t>Акты ОКК о переводе марок/перемещение между складами</t>
  </si>
  <si>
    <t>Остаток на складе на конец суток</t>
  </si>
  <si>
    <t>Отгружено со склада/отпущено в производство/перемещение</t>
  </si>
  <si>
    <t>Производство/поступление</t>
  </si>
  <si>
    <t>Остатки на складе на начало месяца</t>
  </si>
  <si>
    <t>План на месяц</t>
  </si>
  <si>
    <t>Цемент в силосах всего, в том числе:</t>
  </si>
  <si>
    <t>Глина (лёсс)</t>
  </si>
  <si>
    <t>Покупное сырье всего, в т.ч.:</t>
  </si>
  <si>
    <t>Гипс</t>
  </si>
  <si>
    <t>Глиеж</t>
  </si>
  <si>
    <t>Добавки железосодержащие</t>
  </si>
  <si>
    <t>Вращающаяся печь №1</t>
  </si>
  <si>
    <t>Вращающаяся печь №2</t>
  </si>
  <si>
    <t>Цементная мельница №7</t>
  </si>
  <si>
    <t>кВт*ч/т ц</t>
  </si>
  <si>
    <t>Перемещения</t>
  </si>
  <si>
    <t>ЦЕМ I 42.5Н</t>
  </si>
  <si>
    <t>ГДж/тн.</t>
  </si>
  <si>
    <t>Фосфозол</t>
  </si>
  <si>
    <t>Цементная мельница №3</t>
  </si>
  <si>
    <t>Цементная мельница №4</t>
  </si>
  <si>
    <t xml:space="preserve">Цементная мельница №1 </t>
  </si>
  <si>
    <t>Цементная мельница №2</t>
  </si>
  <si>
    <t xml:space="preserve">Цементная мельница №2 </t>
  </si>
  <si>
    <t>золошлак</t>
  </si>
  <si>
    <t>Золошлак</t>
  </si>
  <si>
    <t xml:space="preserve">ЦЕМ II/А-Г 32.5Н </t>
  </si>
  <si>
    <t>Производства №1</t>
  </si>
  <si>
    <t>Производства №2</t>
  </si>
  <si>
    <t>Мергель</t>
  </si>
  <si>
    <t>клинкер в силосе</t>
  </si>
  <si>
    <t>Клинкер сухой линии в т.ч.:</t>
  </si>
  <si>
    <t>Известняк общий:</t>
  </si>
  <si>
    <t>известняк на цемент мокрый</t>
  </si>
  <si>
    <t>известняк на цемент сухой</t>
  </si>
  <si>
    <t>Глина (лёсс) всего:</t>
  </si>
  <si>
    <t>лесс на мокрый</t>
  </si>
  <si>
    <t>лесс на сухой</t>
  </si>
  <si>
    <t>лесс корректировочный</t>
  </si>
  <si>
    <t>ПРИХОД</t>
  </si>
  <si>
    <t>известняк</t>
  </si>
  <si>
    <t>итого</t>
  </si>
  <si>
    <t>мергель</t>
  </si>
  <si>
    <t>ИТОГО</t>
  </si>
  <si>
    <t>сырьевая шихта</t>
  </si>
  <si>
    <t>клинкер</t>
  </si>
  <si>
    <t>цемент</t>
  </si>
  <si>
    <t>Итого</t>
  </si>
  <si>
    <t>ВП №5</t>
  </si>
  <si>
    <t xml:space="preserve">Вторичный цемент </t>
  </si>
  <si>
    <t>План производства цемента</t>
  </si>
  <si>
    <t>ЦEМ II/B-K(З-И) 32,5H</t>
  </si>
  <si>
    <t>ЦЕМ II/А-К 42,5Н</t>
  </si>
  <si>
    <t xml:space="preserve">ЦEМ II/B-K(З-И) 32,5H </t>
  </si>
  <si>
    <t>Производства</t>
  </si>
  <si>
    <t>Пр-во мокрой линии</t>
  </si>
  <si>
    <t>Пр-во сухой    линии</t>
  </si>
  <si>
    <t>известняк на шатровый склад</t>
  </si>
  <si>
    <t>Электроэнергия общий</t>
  </si>
  <si>
    <t>с начала года</t>
  </si>
  <si>
    <t>клинкер некондиционный склад БСУ</t>
  </si>
  <si>
    <t>Марка цемента</t>
  </si>
  <si>
    <t>Выработка цемента</t>
  </si>
  <si>
    <t>Расход по маркам, т</t>
  </si>
  <si>
    <t>Известняк</t>
  </si>
  <si>
    <t>Клинкер</t>
  </si>
  <si>
    <t>Всего</t>
  </si>
  <si>
    <t>тн</t>
  </si>
  <si>
    <t>Цемент</t>
  </si>
  <si>
    <t>Сухой, марка цемента</t>
  </si>
  <si>
    <t>Расход, кВт*ч</t>
  </si>
  <si>
    <t>Мокрый, марка цемента</t>
  </si>
  <si>
    <t>Сырьевая смесь</t>
  </si>
  <si>
    <t>Сырьевая мука, в т.ч.:</t>
  </si>
  <si>
    <t>Расход электроэнергии по маркам</t>
  </si>
  <si>
    <t>известняк на помол</t>
  </si>
  <si>
    <t>гипс</t>
  </si>
  <si>
    <t>дата</t>
  </si>
  <si>
    <t>Расход электроэнергии по маркам (сухой)</t>
  </si>
  <si>
    <t>Расход электроэнергии по маркам (мокрый)</t>
  </si>
  <si>
    <t>Интенсификатор помола</t>
  </si>
  <si>
    <t>Силос 1</t>
  </si>
  <si>
    <t>Силос 2</t>
  </si>
  <si>
    <t>Силос 3</t>
  </si>
  <si>
    <t>Силос 4</t>
  </si>
  <si>
    <t>Силос 5</t>
  </si>
  <si>
    <t>Силос 6</t>
  </si>
  <si>
    <t>Силос 7</t>
  </si>
  <si>
    <t>Силос 8</t>
  </si>
  <si>
    <t>Силос 9</t>
  </si>
  <si>
    <t>Силос 10</t>
  </si>
  <si>
    <t>глиеж</t>
  </si>
  <si>
    <t>цемент некон с 9 с/с.</t>
  </si>
  <si>
    <t>залошлак</t>
  </si>
  <si>
    <t>Выпуск</t>
  </si>
  <si>
    <t>Цемент неконд</t>
  </si>
  <si>
    <t>Силос</t>
  </si>
  <si>
    <t>Марка</t>
  </si>
  <si>
    <t>План</t>
  </si>
  <si>
    <t>Факт</t>
  </si>
  <si>
    <t>ЦEМ II/А-K 42,5H</t>
  </si>
  <si>
    <t>ЦЕМ I 42,5Н</t>
  </si>
  <si>
    <t>ПЦХ</t>
  </si>
  <si>
    <t>Класс цемента</t>
  </si>
  <si>
    <t>Гипс *</t>
  </si>
  <si>
    <t>Золошлак *</t>
  </si>
  <si>
    <t>Известняк *</t>
  </si>
  <si>
    <t>Всего компонентов</t>
  </si>
  <si>
    <t>ЦЕМ II/В-К (З-И) 32,5Н</t>
  </si>
  <si>
    <t>ЦЕМ II/А-К (З-И)42,5Н</t>
  </si>
  <si>
    <t>По маркам</t>
  </si>
  <si>
    <t>По силосам</t>
  </si>
  <si>
    <t>Общий ввод добавок</t>
  </si>
  <si>
    <t>Часы работы, ч</t>
  </si>
  <si>
    <t>проверка</t>
  </si>
  <si>
    <t>Добавки железосодержащие(Консенсус)</t>
  </si>
  <si>
    <t>Дата</t>
  </si>
  <si>
    <t xml:space="preserve">План </t>
  </si>
  <si>
    <t>Добавки</t>
  </si>
  <si>
    <t>ЦЕМ II/А-К (З-И) 42,5Н</t>
  </si>
  <si>
    <t>клинкер на площадку (за шатровый склад)</t>
  </si>
  <si>
    <t>ЦEМ II B-K(З-И) 32,5H</t>
  </si>
  <si>
    <t>ЦЕМ II А-К 42,5Н</t>
  </si>
  <si>
    <t>клинкер на площадку (лессовый)</t>
  </si>
  <si>
    <t xml:space="preserve">                           </t>
  </si>
  <si>
    <t>ЦЕМ I 52.5Н</t>
  </si>
  <si>
    <t>Расход тепла</t>
  </si>
  <si>
    <t>шаровые мельницы</t>
  </si>
  <si>
    <t>вертикальные валковые мельницы</t>
  </si>
  <si>
    <t>каллорийность</t>
  </si>
  <si>
    <t>Расход тепла, ГДж</t>
  </si>
  <si>
    <t>всего</t>
  </si>
  <si>
    <t>на тн клинкера</t>
  </si>
  <si>
    <t>Выпуск клинкера</t>
  </si>
  <si>
    <t>расход форсуночного топлива, тн</t>
  </si>
  <si>
    <t>Угольная мельница</t>
  </si>
  <si>
    <t>Форсуночное топливо</t>
  </si>
  <si>
    <t>Дизельное топливо</t>
  </si>
  <si>
    <t>Уголь (Кумиртранс Логистик)</t>
  </si>
  <si>
    <t>Сырьевая мельница ВВСМ №7</t>
  </si>
  <si>
    <t>Вращающаяся печь №5</t>
  </si>
  <si>
    <t>Цементная мельница ВВЦМ №1</t>
  </si>
  <si>
    <t>Цементная мельница ВВЦМ №2</t>
  </si>
  <si>
    <t>Электроэнергия на сырьевую муку</t>
  </si>
  <si>
    <t>вертикальныая мельница</t>
  </si>
  <si>
    <t>Электроэнергия на ШЦМ</t>
  </si>
  <si>
    <t>Электроэнергия на ВВЦМ</t>
  </si>
  <si>
    <t>Электроэнергия на ВП №5</t>
  </si>
  <si>
    <t>кВт*ч/т</t>
  </si>
  <si>
    <t>вращающаяся печь</t>
  </si>
  <si>
    <t>расход на производство</t>
  </si>
  <si>
    <t xml:space="preserve">ЦЕМ I 52.5Н </t>
  </si>
  <si>
    <t>выпуск клинкера</t>
  </si>
  <si>
    <t>расход тепла, ГДж</t>
  </si>
  <si>
    <t>с начало месяца</t>
  </si>
  <si>
    <t>шаровая мельница</t>
  </si>
  <si>
    <t>ЦЕМ I 52,5Н</t>
  </si>
  <si>
    <t>AMD - 6 (навал)</t>
  </si>
  <si>
    <t>AMD-6</t>
  </si>
  <si>
    <t>Угольное отделение</t>
  </si>
  <si>
    <t>Каолин</t>
  </si>
  <si>
    <t>Цементная мельница ШЦМ №6</t>
  </si>
  <si>
    <t>ЦЕМ II/А-К (З-И) 42,5Н МКР</t>
  </si>
  <si>
    <t>ЦЕМ I 52.5Н МКР</t>
  </si>
  <si>
    <t>Минеральный порошок (навал)</t>
  </si>
  <si>
    <t>ЦEМ II/А-К(З-И) 42,5H (п/п мешки по 40 кг)</t>
  </si>
  <si>
    <t>ЦEМ II/А-K(З-И) 42,5H Портландцемент композиционный (МКР)</t>
  </si>
  <si>
    <t xml:space="preserve">ЦEМ I 52,5H Портландцемент (МКР) </t>
  </si>
  <si>
    <t>В таре, в т.ч.</t>
  </si>
  <si>
    <t>Ротоупаковочная машина №1</t>
  </si>
  <si>
    <t>Ротоупаковочная машина №2</t>
  </si>
  <si>
    <t>Уголь (Жалын кумир)</t>
  </si>
  <si>
    <t>ЦЕМ I 52.5Н (п/п мешки по 40 кг)</t>
  </si>
  <si>
    <t>Уголь Киргизия (D-G Logistic)</t>
  </si>
  <si>
    <t>Уголь Кара-жыра (Brandcoal)</t>
  </si>
  <si>
    <t xml:space="preserve">Уголь (Neft gaz shina) </t>
  </si>
  <si>
    <t>на шатровый склад</t>
  </si>
  <si>
    <t>на помол цемента</t>
  </si>
  <si>
    <t>Лесс</t>
  </si>
  <si>
    <t>Проверка</t>
  </si>
  <si>
    <t>Сырьевая мука</t>
  </si>
  <si>
    <t>Мин.порошок</t>
  </si>
  <si>
    <t>АМД - 6</t>
  </si>
  <si>
    <t>Уголь (Izzatullo kamoli)</t>
  </si>
  <si>
    <t>Клинкер грейферный склад</t>
  </si>
  <si>
    <t>Клинкер некондиция (шихта)</t>
  </si>
  <si>
    <t>Уголь (Euro eco garden)</t>
  </si>
  <si>
    <t>ЦEМ I 52,5H (п/п мешки по 40 кг, паллеты)</t>
  </si>
  <si>
    <t>ЦEМ II/B-K(З-И) (п/п мешки по 40 кг, паллеты)</t>
  </si>
  <si>
    <t>ЦEМ II/А-K(З-И) 42,5H (п/п мешки по 40 кг, паллеты)</t>
  </si>
  <si>
    <t>Уголь (Шубарколь премиум)</t>
  </si>
  <si>
    <t>ЦEМ II/А-К(З-И) 42,5H (мешки по 40 кг, паллеты 1,76 тн без поддона)</t>
  </si>
  <si>
    <t>Тара: МКР</t>
  </si>
  <si>
    <t>Тара: паллеты</t>
  </si>
  <si>
    <t xml:space="preserve">Уголь (Shargun Komir) </t>
  </si>
  <si>
    <t>Цементная мельница ШЦМ №5</t>
  </si>
  <si>
    <t>ккал. на тонну клинкера</t>
  </si>
  <si>
    <t>ГДж на тонну клинкера</t>
  </si>
  <si>
    <t>ккал. на сутки</t>
  </si>
  <si>
    <t>коэф. (мука-клинкер)</t>
  </si>
  <si>
    <t>Песок природный</t>
  </si>
  <si>
    <t>Щебень фракции 5-20</t>
  </si>
  <si>
    <t>URRBAN</t>
  </si>
  <si>
    <t>AGMK</t>
  </si>
  <si>
    <t>Итого АГМК</t>
  </si>
  <si>
    <t>Итого Урбан</t>
  </si>
  <si>
    <t>сф</t>
  </si>
  <si>
    <t>весы</t>
  </si>
  <si>
    <t xml:space="preserve">Уголь (Komir Savdo Brand) </t>
  </si>
  <si>
    <t>Песок мелкозернистый</t>
  </si>
  <si>
    <t>Клинкер СС грейферный склад</t>
  </si>
  <si>
    <t>ЦЕМ I 42.5Н СС</t>
  </si>
  <si>
    <t>ЦЕМ I 42,5Н СС</t>
  </si>
  <si>
    <t>Клинкер фактор</t>
  </si>
  <si>
    <t>Коэф. мука-клинкер</t>
  </si>
  <si>
    <t xml:space="preserve"> </t>
  </si>
  <si>
    <t>Железосодержащая руда</t>
  </si>
  <si>
    <t>ЦEМ II/B-K(З-И) 42,5H (п/п мешки по 40 кг)</t>
  </si>
  <si>
    <t>ЦEМ II/B-K(З-И) 42,5H (п/п мешки по 40 кг) паллеты</t>
  </si>
  <si>
    <t>ЦEМ II/B-K(З-И) 42,5H МКР</t>
  </si>
  <si>
    <t>ЦEМ II/B-K(З-И) 42,5H</t>
  </si>
  <si>
    <t>Уголь каменный</t>
  </si>
  <si>
    <t>ЦEМ II/B-K(З-И) 32,5H  (мешки по 50 кг)</t>
  </si>
  <si>
    <t>ЦEМ II/B-K(З-И) 42,5H Портландцемент композиционный (МКР)</t>
  </si>
  <si>
    <t>огарка</t>
  </si>
  <si>
    <t>уголь</t>
  </si>
  <si>
    <t>песок</t>
  </si>
  <si>
    <t>руда</t>
  </si>
  <si>
    <t>AMD - 1000</t>
  </si>
  <si>
    <t>август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</si>
</sst>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* #,##0.00\ _₽_-;\-* #,##0.00\ _₽_-;_-* &quot;-&quot;??\ _₽_-;_-@_-"/>
    <numFmt numFmtId="165" formatCode="_-* #,##0\ _₽_-;\-* #,##0\ _₽_-;_-* &quot;-&quot;??\ _₽_-;_-@_-"/>
    <numFmt numFmtId="166" formatCode="_-* #,##0.0\ _₽_-;\-* #,##0.0\ _₽_-;_-* &quot;-&quot;??\ _₽_-;_-@_-"/>
    <numFmt numFmtId="167" formatCode="0.0%"/>
    <numFmt numFmtId="168" formatCode="_-* #,##0.000\ _₽_-;\-* #,##0.000\ _₽_-;_-* &quot;-&quot;??\ _₽_-;_-@_-"/>
    <numFmt numFmtId="169" formatCode="#,##0.00_ ;\-#,##0.00\ "/>
    <numFmt numFmtId="170" formatCode="0.000"/>
    <numFmt numFmtId="171" formatCode="_-* #,##0.000\ _₽_-;\-* #,##0.000\ _₽_-;_-* &quot;-&quot;???\ _₽_-;_-@_-"/>
    <numFmt numFmtId="172" formatCode="0.00_ ;\-0.00\ "/>
    <numFmt numFmtId="173" formatCode="_-* #,##0.0000\ _₽_-;\-* #,##0.0000\ _₽_-;_-* &quot;-&quot;??\ _₽_-;_-@_-"/>
    <numFmt numFmtId="174" formatCode="#,##0.0_ ;\-#,##0.0\ "/>
    <numFmt numFmtId="175" formatCode="0.0"/>
    <numFmt numFmtId="176" formatCode="dd/mm"/>
    <numFmt numFmtId="177" formatCode="#,##0.000"/>
    <numFmt numFmtId="178" formatCode="_-* #,##0.00000\ _₽_-;\-* #,##0.00000\ _₽_-;_-* &quot;-&quot;??\ _₽_-;_-@_-"/>
    <numFmt numFmtId="179" formatCode="#,##0.0000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 tint="0.1499984740745262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sz val="12"/>
      <name val="Times New Roman"/>
      <family val="1"/>
      <charset val="204"/>
    </font>
    <font>
      <sz val="9"/>
      <color indexed="81"/>
      <name val="Tahoma"/>
      <family val="2"/>
      <charset val="204"/>
    </font>
    <font>
      <sz val="10"/>
      <name val="Helv"/>
      <charset val="204"/>
    </font>
    <font>
      <sz val="8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8"/>
      <name val="Times New Roman"/>
      <family val="1"/>
      <charset val="204"/>
    </font>
    <font>
      <b/>
      <sz val="9"/>
      <color indexed="81"/>
      <name val="Tahoma"/>
      <family val="2"/>
      <charset val="204"/>
    </font>
    <font>
      <sz val="12"/>
      <color theme="0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sz val="10"/>
      <color theme="1"/>
      <name val="Helv"/>
      <charset val="204"/>
    </font>
    <font>
      <b/>
      <sz val="12"/>
      <color theme="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sz val="12"/>
      <name val="Arial Cyr"/>
      <charset val="204"/>
    </font>
    <font>
      <b/>
      <sz val="10"/>
      <color indexed="8"/>
      <name val="serif"/>
    </font>
    <font>
      <b/>
      <sz val="11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2"/>
      <color indexed="8" tint="0.14999847407452621"/>
      <name val="Times New Roman"/>
      <family val="1"/>
      <charset val="204"/>
    </font>
    <font>
      <b/>
      <sz val="18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1"/>
      <color theme="1"/>
      <name val="Calibri"/>
      <family val="2"/>
      <scheme val="minor"/>
    </font>
    <font>
      <b/>
      <sz val="12"/>
      <color theme="1" tint="0.14999847407452621"/>
      <name val="Times New Roman"/>
      <family val="1"/>
      <charset val="204"/>
    </font>
    <font>
      <b/>
      <sz val="30"/>
      <color theme="1"/>
      <name val="Calibri Light"/>
      <family val="2"/>
      <charset val="204"/>
      <scheme val="major"/>
    </font>
    <font>
      <sz val="12"/>
      <color indexed="63" tint="0.14999847407452621"/>
      <name val="Times New Roman"/>
      <family val="1"/>
      <charset val="204"/>
    </font>
    <font>
      <sz val="12"/>
      <color indexed="63"/>
      <name val="Times New Roman"/>
      <family val="1"/>
      <charset val="204"/>
    </font>
  </fonts>
  <fills count="1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</fills>
  <borders count="1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</borders>
  <cellStyleXfs count="15">
    <xf numFmtId="0" fontId="0" fillId="0" borderId="0"/>
    <xf numFmtId="0" fontId="3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1" fillId="0" borderId="0"/>
    <xf numFmtId="0" fontId="2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" fillId="0" borderId="0"/>
    <xf numFmtId="0" fontId="1" fillId="0" borderId="0"/>
    <xf numFmtId="0" fontId="18" fillId="0" borderId="0"/>
    <xf numFmtId="164" fontId="18" fillId="0" borderId="0" applyFont="0" applyFill="0" applyBorder="0" applyAlignment="0" applyProtection="0"/>
    <xf numFmtId="0" fontId="33" fillId="0" borderId="0"/>
  </cellStyleXfs>
  <cellXfs count="1447">
    <xf numFmtId="0" fontId="0" fillId="0" borderId="0" xfId="0"/>
    <xf numFmtId="0" fontId="4" fillId="0" borderId="0" xfId="1" applyFont="1"/>
    <xf numFmtId="164" fontId="4" fillId="0" borderId="0" xfId="2" applyFont="1"/>
    <xf numFmtId="164" fontId="5" fillId="0" borderId="0" xfId="2" applyFont="1"/>
    <xf numFmtId="0" fontId="5" fillId="0" borderId="0" xfId="1" applyFont="1"/>
    <xf numFmtId="165" fontId="4" fillId="0" borderId="0" xfId="1" applyNumberFormat="1" applyFont="1"/>
    <xf numFmtId="164" fontId="4" fillId="0" borderId="0" xfId="1" applyNumberFormat="1" applyFont="1"/>
    <xf numFmtId="0" fontId="4" fillId="0" borderId="0" xfId="1" applyFont="1" applyFill="1" applyBorder="1"/>
    <xf numFmtId="164" fontId="4" fillId="0" borderId="1" xfId="2" applyFont="1" applyBorder="1"/>
    <xf numFmtId="0" fontId="4" fillId="0" borderId="2" xfId="1" applyFont="1" applyBorder="1" applyAlignment="1">
      <alignment horizontal="center" vertical="center"/>
    </xf>
    <xf numFmtId="164" fontId="4" fillId="0" borderId="0" xfId="1" applyNumberFormat="1" applyFont="1" applyFill="1" applyBorder="1"/>
    <xf numFmtId="0" fontId="4" fillId="2" borderId="2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4" fillId="0" borderId="8" xfId="1" applyFont="1" applyFill="1" applyBorder="1"/>
    <xf numFmtId="0" fontId="5" fillId="0" borderId="0" xfId="1" applyFont="1" applyFill="1" applyBorder="1"/>
    <xf numFmtId="164" fontId="5" fillId="0" borderId="0" xfId="2" applyFont="1" applyFill="1" applyBorder="1"/>
    <xf numFmtId="9" fontId="4" fillId="0" borderId="2" xfId="3" applyFont="1" applyBorder="1" applyAlignment="1">
      <alignment horizontal="center"/>
    </xf>
    <xf numFmtId="165" fontId="4" fillId="0" borderId="1" xfId="2" applyNumberFormat="1" applyFont="1" applyBorder="1"/>
    <xf numFmtId="165" fontId="4" fillId="0" borderId="5" xfId="2" applyNumberFormat="1" applyFont="1" applyBorder="1"/>
    <xf numFmtId="165" fontId="4" fillId="0" borderId="18" xfId="2" applyNumberFormat="1" applyFont="1" applyBorder="1"/>
    <xf numFmtId="0" fontId="4" fillId="0" borderId="19" xfId="1" applyFont="1" applyBorder="1" applyAlignment="1">
      <alignment horizontal="center" vertical="center"/>
    </xf>
    <xf numFmtId="164" fontId="5" fillId="0" borderId="0" xfId="1" applyNumberFormat="1" applyFont="1"/>
    <xf numFmtId="9" fontId="5" fillId="0" borderId="2" xfId="3" applyFont="1" applyBorder="1" applyAlignment="1">
      <alignment horizontal="center"/>
    </xf>
    <xf numFmtId="165" fontId="5" fillId="0" borderId="1" xfId="2" applyNumberFormat="1" applyFont="1" applyBorder="1"/>
    <xf numFmtId="165" fontId="5" fillId="0" borderId="18" xfId="2" applyNumberFormat="1" applyFont="1" applyBorder="1"/>
    <xf numFmtId="0" fontId="5" fillId="0" borderId="2" xfId="1" applyFont="1" applyBorder="1" applyAlignment="1">
      <alignment horizontal="center" vertical="center"/>
    </xf>
    <xf numFmtId="164" fontId="6" fillId="0" borderId="0" xfId="2" applyFont="1" applyFill="1" applyBorder="1"/>
    <xf numFmtId="165" fontId="5" fillId="0" borderId="0" xfId="2" applyNumberFormat="1" applyFont="1"/>
    <xf numFmtId="9" fontId="5" fillId="4" borderId="2" xfId="3" applyFont="1" applyFill="1" applyBorder="1" applyAlignment="1">
      <alignment horizontal="center"/>
    </xf>
    <xf numFmtId="165" fontId="5" fillId="4" borderId="1" xfId="2" applyNumberFormat="1" applyFont="1" applyFill="1" applyBorder="1"/>
    <xf numFmtId="165" fontId="5" fillId="4" borderId="18" xfId="2" applyNumberFormat="1" applyFont="1" applyFill="1" applyBorder="1"/>
    <xf numFmtId="0" fontId="5" fillId="4" borderId="2" xfId="1" applyFont="1" applyFill="1" applyBorder="1" applyAlignment="1">
      <alignment horizontal="center" vertical="center"/>
    </xf>
    <xf numFmtId="165" fontId="4" fillId="0" borderId="0" xfId="2" applyNumberFormat="1" applyFont="1"/>
    <xf numFmtId="165" fontId="8" fillId="0" borderId="0" xfId="2" applyNumberFormat="1" applyFont="1"/>
    <xf numFmtId="0" fontId="5" fillId="0" borderId="0" xfId="1" applyFont="1" applyFill="1" applyBorder="1" applyAlignment="1">
      <alignment vertical="center" wrapText="1"/>
    </xf>
    <xf numFmtId="9" fontId="4" fillId="0" borderId="19" xfId="3" applyFont="1" applyBorder="1" applyAlignment="1">
      <alignment horizontal="center"/>
    </xf>
    <xf numFmtId="165" fontId="9" fillId="0" borderId="18" xfId="2" applyNumberFormat="1" applyFont="1" applyFill="1" applyBorder="1"/>
    <xf numFmtId="10" fontId="7" fillId="0" borderId="5" xfId="3" applyNumberFormat="1" applyFont="1" applyBorder="1" applyAlignment="1">
      <alignment horizontal="left" indent="2"/>
    </xf>
    <xf numFmtId="0" fontId="8" fillId="0" borderId="0" xfId="1" applyFont="1"/>
    <xf numFmtId="164" fontId="4" fillId="0" borderId="0" xfId="2" applyFont="1" applyAlignment="1">
      <alignment horizontal="left"/>
    </xf>
    <xf numFmtId="164" fontId="5" fillId="0" borderId="5" xfId="1" applyNumberFormat="1" applyFont="1" applyBorder="1" applyAlignment="1">
      <alignment horizontal="left" indent="1"/>
    </xf>
    <xf numFmtId="0" fontId="4" fillId="0" borderId="18" xfId="1" applyFont="1" applyBorder="1" applyAlignment="1"/>
    <xf numFmtId="164" fontId="4" fillId="0" borderId="18" xfId="1" applyNumberFormat="1" applyFont="1" applyBorder="1" applyAlignment="1"/>
    <xf numFmtId="164" fontId="4" fillId="0" borderId="5" xfId="1" applyNumberFormat="1" applyFont="1" applyBorder="1" applyAlignment="1">
      <alignment horizontal="left" indent="2"/>
    </xf>
    <xf numFmtId="0" fontId="5" fillId="0" borderId="18" xfId="1" applyFont="1" applyBorder="1" applyAlignment="1"/>
    <xf numFmtId="164" fontId="6" fillId="0" borderId="5" xfId="1" applyNumberFormat="1" applyFont="1" applyBorder="1" applyAlignment="1">
      <alignment horizontal="left" indent="2"/>
    </xf>
    <xf numFmtId="165" fontId="5" fillId="0" borderId="2" xfId="2" applyNumberFormat="1" applyFont="1" applyBorder="1"/>
    <xf numFmtId="165" fontId="5" fillId="0" borderId="5" xfId="2" applyNumberFormat="1" applyFont="1" applyBorder="1"/>
    <xf numFmtId="164" fontId="5" fillId="4" borderId="18" xfId="2" applyFont="1" applyFill="1" applyBorder="1" applyAlignment="1">
      <alignment vertical="center"/>
    </xf>
    <xf numFmtId="165" fontId="5" fillId="4" borderId="2" xfId="2" applyNumberFormat="1" applyFont="1" applyFill="1" applyBorder="1"/>
    <xf numFmtId="165" fontId="5" fillId="4" borderId="5" xfId="2" applyNumberFormat="1" applyFont="1" applyFill="1" applyBorder="1"/>
    <xf numFmtId="164" fontId="5" fillId="4" borderId="5" xfId="1" applyNumberFormat="1" applyFont="1" applyFill="1" applyBorder="1" applyAlignment="1">
      <alignment horizontal="left" indent="1"/>
    </xf>
    <xf numFmtId="165" fontId="4" fillId="0" borderId="18" xfId="2" applyNumberFormat="1" applyFont="1" applyBorder="1" applyAlignment="1">
      <alignment vertical="center"/>
    </xf>
    <xf numFmtId="165" fontId="5" fillId="0" borderId="18" xfId="2" applyNumberFormat="1" applyFont="1" applyBorder="1" applyAlignment="1">
      <alignment vertical="center"/>
    </xf>
    <xf numFmtId="0" fontId="4" fillId="4" borderId="18" xfId="1" applyFont="1" applyFill="1" applyBorder="1" applyAlignment="1"/>
    <xf numFmtId="0" fontId="4" fillId="0" borderId="0" xfId="1" applyFont="1" applyFill="1"/>
    <xf numFmtId="0" fontId="4" fillId="0" borderId="18" xfId="1" applyFont="1" applyFill="1" applyBorder="1" applyAlignment="1"/>
    <xf numFmtId="164" fontId="4" fillId="0" borderId="0" xfId="2" applyFont="1" applyFill="1" applyAlignment="1">
      <alignment horizontal="left"/>
    </xf>
    <xf numFmtId="0" fontId="4" fillId="0" borderId="2" xfId="1" applyFont="1" applyFill="1" applyBorder="1" applyAlignment="1">
      <alignment horizontal="center" vertical="center"/>
    </xf>
    <xf numFmtId="165" fontId="4" fillId="0" borderId="18" xfId="2" applyNumberFormat="1" applyFont="1" applyFill="1" applyBorder="1"/>
    <xf numFmtId="164" fontId="4" fillId="0" borderId="5" xfId="1" applyNumberFormat="1" applyFont="1" applyFill="1" applyBorder="1" applyAlignment="1">
      <alignment horizontal="left" indent="2"/>
    </xf>
    <xf numFmtId="3" fontId="4" fillId="0" borderId="0" xfId="1" applyNumberFormat="1" applyFont="1"/>
    <xf numFmtId="3" fontId="4" fillId="0" borderId="0" xfId="1" applyNumberFormat="1" applyFont="1" applyFill="1"/>
    <xf numFmtId="165" fontId="9" fillId="0" borderId="3" xfId="2" applyNumberFormat="1" applyFont="1" applyBorder="1"/>
    <xf numFmtId="165" fontId="9" fillId="6" borderId="18" xfId="2" applyNumberFormat="1" applyFont="1" applyFill="1" applyBorder="1"/>
    <xf numFmtId="164" fontId="4" fillId="0" borderId="5" xfId="2" applyNumberFormat="1" applyFont="1" applyBorder="1"/>
    <xf numFmtId="165" fontId="4" fillId="0" borderId="2" xfId="2" applyNumberFormat="1" applyFont="1" applyBorder="1"/>
    <xf numFmtId="165" fontId="14" fillId="0" borderId="18" xfId="2" applyNumberFormat="1" applyFont="1" applyBorder="1"/>
    <xf numFmtId="165" fontId="4" fillId="6" borderId="5" xfId="2" applyNumberFormat="1" applyFont="1" applyFill="1" applyBorder="1"/>
    <xf numFmtId="0" fontId="4" fillId="6" borderId="0" xfId="1" applyFont="1" applyFill="1"/>
    <xf numFmtId="164" fontId="4" fillId="6" borderId="0" xfId="2" applyFont="1" applyFill="1"/>
    <xf numFmtId="3" fontId="5" fillId="0" borderId="0" xfId="1" applyNumberFormat="1" applyFont="1"/>
    <xf numFmtId="165" fontId="4" fillId="0" borderId="1" xfId="2" applyNumberFormat="1" applyFont="1" applyFill="1" applyBorder="1"/>
    <xf numFmtId="164" fontId="4" fillId="0" borderId="5" xfId="1" applyNumberFormat="1" applyFont="1" applyBorder="1" applyAlignment="1">
      <alignment horizontal="left" indent="1"/>
    </xf>
    <xf numFmtId="165" fontId="5" fillId="0" borderId="0" xfId="1" applyNumberFormat="1" applyFont="1"/>
    <xf numFmtId="165" fontId="5" fillId="0" borderId="18" xfId="1" applyNumberFormat="1" applyFont="1" applyBorder="1" applyAlignment="1"/>
    <xf numFmtId="0" fontId="4" fillId="0" borderId="1" xfId="1" applyFont="1" applyBorder="1" applyAlignment="1">
      <alignment horizontal="center" vertical="center"/>
    </xf>
    <xf numFmtId="165" fontId="9" fillId="0" borderId="1" xfId="2" applyNumberFormat="1" applyFont="1" applyBorder="1"/>
    <xf numFmtId="164" fontId="14" fillId="0" borderId="5" xfId="1" applyNumberFormat="1" applyFont="1" applyBorder="1" applyAlignment="1">
      <alignment horizontal="left" indent="1"/>
    </xf>
    <xf numFmtId="17" fontId="8" fillId="0" borderId="0" xfId="5" applyNumberFormat="1" applyFont="1"/>
    <xf numFmtId="0" fontId="8" fillId="0" borderId="0" xfId="5" applyFont="1"/>
    <xf numFmtId="0" fontId="4" fillId="0" borderId="0" xfId="5" applyFont="1"/>
    <xf numFmtId="164" fontId="4" fillId="0" borderId="0" xfId="5" applyNumberFormat="1" applyFont="1"/>
    <xf numFmtId="0" fontId="4" fillId="2" borderId="1" xfId="5" applyFont="1" applyFill="1" applyBorder="1" applyAlignment="1">
      <alignment horizontal="center" vertical="center" wrapText="1"/>
    </xf>
    <xf numFmtId="164" fontId="5" fillId="4" borderId="5" xfId="5" applyNumberFormat="1" applyFont="1" applyFill="1" applyBorder="1" applyAlignment="1">
      <alignment horizontal="left" indent="1"/>
    </xf>
    <xf numFmtId="0" fontId="5" fillId="4" borderId="2" xfId="5" applyFont="1" applyFill="1" applyBorder="1" applyAlignment="1">
      <alignment horizontal="center" vertical="center"/>
    </xf>
    <xf numFmtId="165" fontId="5" fillId="4" borderId="18" xfId="6" applyNumberFormat="1" applyFont="1" applyFill="1" applyBorder="1"/>
    <xf numFmtId="165" fontId="5" fillId="4" borderId="5" xfId="6" applyNumberFormat="1" applyFont="1" applyFill="1" applyBorder="1"/>
    <xf numFmtId="165" fontId="5" fillId="4" borderId="1" xfId="6" applyNumberFormat="1" applyFont="1" applyFill="1" applyBorder="1"/>
    <xf numFmtId="9" fontId="5" fillId="4" borderId="2" xfId="7" applyFont="1" applyFill="1" applyBorder="1" applyAlignment="1">
      <alignment horizontal="center"/>
    </xf>
    <xf numFmtId="165" fontId="5" fillId="4" borderId="2" xfId="6" applyNumberFormat="1" applyFont="1" applyFill="1" applyBorder="1"/>
    <xf numFmtId="0" fontId="4" fillId="4" borderId="18" xfId="5" applyFont="1" applyFill="1" applyBorder="1" applyAlignment="1"/>
    <xf numFmtId="164" fontId="4" fillId="0" borderId="0" xfId="6" applyFont="1"/>
    <xf numFmtId="164" fontId="5" fillId="0" borderId="5" xfId="5" applyNumberFormat="1" applyFont="1" applyBorder="1" applyAlignment="1">
      <alignment horizontal="left" indent="1"/>
    </xf>
    <xf numFmtId="0" fontId="5" fillId="0" borderId="2" xfId="5" applyFont="1" applyBorder="1" applyAlignment="1">
      <alignment horizontal="center" vertical="center"/>
    </xf>
    <xf numFmtId="165" fontId="5" fillId="0" borderId="18" xfId="6" applyNumberFormat="1" applyFont="1" applyBorder="1"/>
    <xf numFmtId="165" fontId="5" fillId="0" borderId="5" xfId="6" applyNumberFormat="1" applyFont="1" applyBorder="1"/>
    <xf numFmtId="165" fontId="5" fillId="0" borderId="1" xfId="6" applyNumberFormat="1" applyFont="1" applyBorder="1"/>
    <xf numFmtId="9" fontId="5" fillId="0" borderId="2" xfId="7" applyFont="1" applyBorder="1" applyAlignment="1">
      <alignment horizontal="center"/>
    </xf>
    <xf numFmtId="165" fontId="5" fillId="0" borderId="2" xfId="6" applyNumberFormat="1" applyFont="1" applyBorder="1"/>
    <xf numFmtId="165" fontId="4" fillId="0" borderId="18" xfId="6" applyNumberFormat="1" applyFont="1" applyBorder="1" applyAlignment="1">
      <alignment vertical="center"/>
    </xf>
    <xf numFmtId="165" fontId="5" fillId="0" borderId="18" xfId="6" applyNumberFormat="1" applyFont="1" applyBorder="1" applyAlignment="1">
      <alignment vertical="center"/>
    </xf>
    <xf numFmtId="164" fontId="4" fillId="0" borderId="5" xfId="5" applyNumberFormat="1" applyFont="1" applyBorder="1" applyAlignment="1">
      <alignment horizontal="left" indent="1"/>
    </xf>
    <xf numFmtId="164" fontId="5" fillId="4" borderId="18" xfId="6" applyFont="1" applyFill="1" applyBorder="1" applyAlignment="1">
      <alignment vertical="center"/>
    </xf>
    <xf numFmtId="164" fontId="6" fillId="0" borderId="5" xfId="5" applyNumberFormat="1" applyFont="1" applyBorder="1" applyAlignment="1">
      <alignment horizontal="left" indent="2"/>
    </xf>
    <xf numFmtId="0" fontId="4" fillId="0" borderId="19" xfId="5" applyFont="1" applyBorder="1" applyAlignment="1">
      <alignment horizontal="center" vertical="center"/>
    </xf>
    <xf numFmtId="165" fontId="6" fillId="0" borderId="18" xfId="6" applyNumberFormat="1" applyFont="1" applyBorder="1"/>
    <xf numFmtId="165" fontId="6" fillId="0" borderId="5" xfId="6" applyNumberFormat="1" applyFont="1" applyBorder="1"/>
    <xf numFmtId="165" fontId="6" fillId="0" borderId="1" xfId="6" applyNumberFormat="1" applyFont="1" applyBorder="1"/>
    <xf numFmtId="165" fontId="4" fillId="0" borderId="1" xfId="6" applyNumberFormat="1" applyFont="1" applyBorder="1"/>
    <xf numFmtId="165" fontId="6" fillId="0" borderId="2" xfId="6" applyNumberFormat="1" applyFont="1" applyBorder="1"/>
    <xf numFmtId="165" fontId="6" fillId="0" borderId="1" xfId="6" applyNumberFormat="1" applyFont="1" applyFill="1" applyBorder="1"/>
    <xf numFmtId="3" fontId="4" fillId="0" borderId="0" xfId="5" applyNumberFormat="1" applyFont="1" applyFill="1"/>
    <xf numFmtId="0" fontId="4" fillId="0" borderId="0" xfId="5" applyFont="1" applyFill="1"/>
    <xf numFmtId="165" fontId="4" fillId="0" borderId="0" xfId="5" applyNumberFormat="1" applyFont="1"/>
    <xf numFmtId="0" fontId="4" fillId="0" borderId="18" xfId="5" applyFont="1" applyBorder="1" applyAlignment="1"/>
    <xf numFmtId="0" fontId="5" fillId="0" borderId="18" xfId="5" applyFont="1" applyBorder="1" applyAlignment="1"/>
    <xf numFmtId="165" fontId="4" fillId="0" borderId="0" xfId="6" applyNumberFormat="1" applyFont="1"/>
    <xf numFmtId="0" fontId="4" fillId="0" borderId="2" xfId="5" applyFont="1" applyBorder="1" applyAlignment="1">
      <alignment horizontal="center" vertical="center"/>
    </xf>
    <xf numFmtId="0" fontId="5" fillId="0" borderId="0" xfId="5" applyFont="1"/>
    <xf numFmtId="164" fontId="4" fillId="0" borderId="18" xfId="5" applyNumberFormat="1" applyFont="1" applyBorder="1" applyAlignment="1"/>
    <xf numFmtId="164" fontId="4" fillId="0" borderId="0" xfId="6" applyFont="1" applyAlignment="1">
      <alignment horizontal="left"/>
    </xf>
    <xf numFmtId="164" fontId="4" fillId="0" borderId="5" xfId="5" applyNumberFormat="1" applyFont="1" applyBorder="1" applyAlignment="1">
      <alignment horizontal="left" indent="2"/>
    </xf>
    <xf numFmtId="165" fontId="4" fillId="0" borderId="2" xfId="6" applyNumberFormat="1" applyFont="1" applyBorder="1"/>
    <xf numFmtId="164" fontId="4" fillId="0" borderId="5" xfId="5" applyNumberFormat="1" applyFont="1" applyFill="1" applyBorder="1" applyAlignment="1">
      <alignment horizontal="left" indent="2"/>
    </xf>
    <xf numFmtId="0" fontId="4" fillId="0" borderId="2" xfId="5" applyFont="1" applyFill="1" applyBorder="1" applyAlignment="1">
      <alignment horizontal="center" vertical="center"/>
    </xf>
    <xf numFmtId="165" fontId="4" fillId="0" borderId="18" xfId="6" applyNumberFormat="1" applyFont="1" applyFill="1" applyBorder="1"/>
    <xf numFmtId="0" fontId="4" fillId="0" borderId="18" xfId="5" applyFont="1" applyFill="1" applyBorder="1" applyAlignment="1"/>
    <xf numFmtId="164" fontId="4" fillId="0" borderId="0" xfId="6" applyFont="1" applyFill="1" applyAlignment="1">
      <alignment horizontal="left"/>
    </xf>
    <xf numFmtId="165" fontId="4" fillId="0" borderId="0" xfId="5" applyNumberFormat="1" applyFont="1" applyFill="1"/>
    <xf numFmtId="165" fontId="4" fillId="0" borderId="1" xfId="6" applyNumberFormat="1" applyFont="1" applyFill="1" applyBorder="1"/>
    <xf numFmtId="10" fontId="7" fillId="0" borderId="5" xfId="7" applyNumberFormat="1" applyFont="1" applyBorder="1" applyAlignment="1">
      <alignment horizontal="left" indent="2"/>
    </xf>
    <xf numFmtId="165" fontId="9" fillId="0" borderId="18" xfId="6" applyNumberFormat="1" applyFont="1" applyFill="1" applyBorder="1"/>
    <xf numFmtId="165" fontId="4" fillId="0" borderId="5" xfId="6" applyNumberFormat="1" applyFont="1" applyBorder="1"/>
    <xf numFmtId="9" fontId="4" fillId="0" borderId="1" xfId="7" applyFont="1" applyBorder="1" applyAlignment="1">
      <alignment horizontal="center"/>
    </xf>
    <xf numFmtId="164" fontId="4" fillId="0" borderId="5" xfId="6" applyNumberFormat="1" applyFont="1" applyBorder="1"/>
    <xf numFmtId="164" fontId="4" fillId="0" borderId="1" xfId="6" applyFont="1" applyBorder="1"/>
    <xf numFmtId="9" fontId="4" fillId="0" borderId="2" xfId="7" applyFont="1" applyBorder="1" applyAlignment="1">
      <alignment horizontal="center"/>
    </xf>
    <xf numFmtId="9" fontId="4" fillId="0" borderId="19" xfId="7" applyFont="1" applyBorder="1" applyAlignment="1">
      <alignment horizontal="center"/>
    </xf>
    <xf numFmtId="165" fontId="8" fillId="0" borderId="0" xfId="6" applyNumberFormat="1" applyFont="1"/>
    <xf numFmtId="165" fontId="9" fillId="6" borderId="18" xfId="6" applyNumberFormat="1" applyFont="1" applyFill="1" applyBorder="1"/>
    <xf numFmtId="0" fontId="5" fillId="0" borderId="0" xfId="5" applyFont="1" applyFill="1" applyBorder="1" applyAlignment="1">
      <alignment vertical="center" wrapText="1"/>
    </xf>
    <xf numFmtId="164" fontId="5" fillId="0" borderId="0" xfId="6" applyFont="1" applyFill="1" applyBorder="1"/>
    <xf numFmtId="164" fontId="5" fillId="0" borderId="0" xfId="5" applyNumberFormat="1" applyFont="1"/>
    <xf numFmtId="0" fontId="4" fillId="0" borderId="1" xfId="5" applyFont="1" applyBorder="1" applyAlignment="1">
      <alignment horizontal="center" vertical="center"/>
    </xf>
    <xf numFmtId="165" fontId="9" fillId="0" borderId="1" xfId="6" applyNumberFormat="1" applyFont="1" applyBorder="1"/>
    <xf numFmtId="165" fontId="9" fillId="6" borderId="1" xfId="6" applyNumberFormat="1" applyFont="1" applyFill="1" applyBorder="1"/>
    <xf numFmtId="164" fontId="6" fillId="0" borderId="0" xfId="6" applyFont="1" applyFill="1" applyBorder="1"/>
    <xf numFmtId="165" fontId="4" fillId="0" borderId="18" xfId="6" applyNumberFormat="1" applyFont="1" applyBorder="1"/>
    <xf numFmtId="165" fontId="9" fillId="0" borderId="3" xfId="6" applyNumberFormat="1" applyFont="1" applyBorder="1"/>
    <xf numFmtId="165" fontId="5" fillId="0" borderId="0" xfId="6" applyNumberFormat="1" applyFont="1"/>
    <xf numFmtId="0" fontId="5" fillId="0" borderId="0" xfId="5" applyFont="1" applyFill="1" applyBorder="1"/>
    <xf numFmtId="0" fontId="4" fillId="0" borderId="8" xfId="5" applyFont="1" applyFill="1" applyBorder="1"/>
    <xf numFmtId="0" fontId="4" fillId="0" borderId="0" xfId="5" applyFont="1" applyFill="1" applyBorder="1"/>
    <xf numFmtId="164" fontId="12" fillId="0" borderId="18" xfId="6" applyFont="1" applyBorder="1"/>
    <xf numFmtId="164" fontId="4" fillId="0" borderId="1" xfId="6" applyNumberFormat="1" applyFont="1" applyBorder="1"/>
    <xf numFmtId="9" fontId="4" fillId="0" borderId="2" xfId="7" applyFont="1" applyBorder="1"/>
    <xf numFmtId="164" fontId="4" fillId="0" borderId="0" xfId="5" applyNumberFormat="1" applyFont="1" applyFill="1" applyBorder="1"/>
    <xf numFmtId="0" fontId="4" fillId="0" borderId="48" xfId="5" applyFont="1" applyBorder="1" applyAlignment="1">
      <alignment horizontal="center" vertical="center"/>
    </xf>
    <xf numFmtId="0" fontId="5" fillId="0" borderId="0" xfId="5" applyFont="1" applyAlignment="1">
      <alignment horizontal="center"/>
    </xf>
    <xf numFmtId="164" fontId="5" fillId="0" borderId="0" xfId="6" applyFont="1"/>
    <xf numFmtId="164" fontId="14" fillId="0" borderId="5" xfId="5" applyNumberFormat="1" applyFont="1" applyBorder="1" applyAlignment="1">
      <alignment horizontal="left" indent="1"/>
    </xf>
    <xf numFmtId="0" fontId="14" fillId="0" borderId="2" xfId="5" applyFont="1" applyBorder="1" applyAlignment="1">
      <alignment horizontal="center" vertical="center"/>
    </xf>
    <xf numFmtId="165" fontId="4" fillId="0" borderId="21" xfId="6" applyNumberFormat="1" applyFont="1" applyBorder="1"/>
    <xf numFmtId="165" fontId="4" fillId="0" borderId="33" xfId="6" applyNumberFormat="1" applyFont="1" applyBorder="1"/>
    <xf numFmtId="165" fontId="4" fillId="0" borderId="39" xfId="6" applyNumberFormat="1" applyFont="1" applyBorder="1"/>
    <xf numFmtId="9" fontId="4" fillId="0" borderId="7" xfId="7" applyFont="1" applyBorder="1" applyAlignment="1">
      <alignment horizontal="center"/>
    </xf>
    <xf numFmtId="165" fontId="9" fillId="0" borderId="40" xfId="6" applyNumberFormat="1" applyFont="1" applyBorder="1"/>
    <xf numFmtId="165" fontId="5" fillId="6" borderId="5" xfId="6" applyNumberFormat="1" applyFont="1" applyFill="1" applyBorder="1"/>
    <xf numFmtId="165" fontId="14" fillId="0" borderId="18" xfId="6" applyNumberFormat="1" applyFont="1" applyBorder="1"/>
    <xf numFmtId="165" fontId="4" fillId="6" borderId="1" xfId="6" applyNumberFormat="1" applyFont="1" applyFill="1" applyBorder="1"/>
    <xf numFmtId="165" fontId="4" fillId="6" borderId="5" xfId="6" applyNumberFormat="1" applyFont="1" applyFill="1" applyBorder="1"/>
    <xf numFmtId="165" fontId="6" fillId="6" borderId="1" xfId="6" applyNumberFormat="1" applyFont="1" applyFill="1" applyBorder="1"/>
    <xf numFmtId="0" fontId="4" fillId="2" borderId="44" xfId="5" applyFont="1" applyFill="1" applyBorder="1" applyAlignment="1">
      <alignment horizontal="center" vertical="center" wrapText="1"/>
    </xf>
    <xf numFmtId="0" fontId="4" fillId="2" borderId="41" xfId="5" applyFont="1" applyFill="1" applyBorder="1" applyAlignment="1">
      <alignment horizontal="center" vertical="center" wrapText="1"/>
    </xf>
    <xf numFmtId="0" fontId="4" fillId="2" borderId="45" xfId="5" applyFont="1" applyFill="1" applyBorder="1" applyAlignment="1">
      <alignment horizontal="center" vertical="center" wrapText="1"/>
    </xf>
    <xf numFmtId="165" fontId="5" fillId="0" borderId="3" xfId="6" applyNumberFormat="1" applyFont="1" applyBorder="1"/>
    <xf numFmtId="165" fontId="4" fillId="0" borderId="3" xfId="6" applyNumberFormat="1" applyFont="1" applyBorder="1"/>
    <xf numFmtId="165" fontId="14" fillId="6" borderId="18" xfId="6" applyNumberFormat="1" applyFont="1" applyFill="1" applyBorder="1"/>
    <xf numFmtId="165" fontId="4" fillId="6" borderId="2" xfId="6" applyNumberFormat="1" applyFont="1" applyFill="1" applyBorder="1"/>
    <xf numFmtId="164" fontId="4" fillId="6" borderId="0" xfId="6" applyFont="1" applyFill="1"/>
    <xf numFmtId="0" fontId="4" fillId="6" borderId="0" xfId="5" applyFont="1" applyFill="1"/>
    <xf numFmtId="166" fontId="9" fillId="0" borderId="18" xfId="6" applyNumberFormat="1" applyFont="1" applyFill="1" applyBorder="1"/>
    <xf numFmtId="169" fontId="4" fillId="0" borderId="0" xfId="6" applyNumberFormat="1" applyFont="1"/>
    <xf numFmtId="165" fontId="4" fillId="0" borderId="18" xfId="5" applyNumberFormat="1" applyFont="1" applyFill="1" applyBorder="1" applyAlignment="1"/>
    <xf numFmtId="164" fontId="9" fillId="0" borderId="3" xfId="6" applyNumberFormat="1" applyFont="1" applyBorder="1"/>
    <xf numFmtId="170" fontId="5" fillId="0" borderId="0" xfId="5" applyNumberFormat="1" applyFont="1"/>
    <xf numFmtId="171" fontId="5" fillId="0" borderId="0" xfId="5" applyNumberFormat="1" applyFont="1"/>
    <xf numFmtId="171" fontId="4" fillId="0" borderId="0" xfId="5" applyNumberFormat="1" applyFont="1"/>
    <xf numFmtId="168" fontId="4" fillId="0" borderId="1" xfId="6" applyNumberFormat="1" applyFont="1" applyBorder="1"/>
    <xf numFmtId="165" fontId="4" fillId="0" borderId="15" xfId="6" applyNumberFormat="1" applyFont="1" applyBorder="1"/>
    <xf numFmtId="165" fontId="4" fillId="0" borderId="3" xfId="2" applyNumberFormat="1" applyFont="1" applyBorder="1"/>
    <xf numFmtId="165" fontId="4" fillId="6" borderId="1" xfId="2" applyNumberFormat="1" applyFont="1" applyFill="1" applyBorder="1"/>
    <xf numFmtId="164" fontId="5" fillId="0" borderId="18" xfId="1" applyNumberFormat="1" applyFont="1" applyBorder="1" applyAlignment="1"/>
    <xf numFmtId="1" fontId="4" fillId="0" borderId="0" xfId="5" applyNumberFormat="1" applyFont="1" applyBorder="1"/>
    <xf numFmtId="165" fontId="9" fillId="0" borderId="2" xfId="6" applyNumberFormat="1" applyFont="1" applyBorder="1"/>
    <xf numFmtId="0" fontId="7" fillId="5" borderId="1" xfId="5" applyFont="1" applyFill="1" applyBorder="1"/>
    <xf numFmtId="165" fontId="5" fillId="0" borderId="18" xfId="5" applyNumberFormat="1" applyFont="1" applyBorder="1" applyAlignment="1"/>
    <xf numFmtId="0" fontId="4" fillId="6" borderId="0" xfId="5" applyFont="1" applyFill="1" applyBorder="1"/>
    <xf numFmtId="4" fontId="4" fillId="0" borderId="1" xfId="6" applyNumberFormat="1" applyFont="1" applyBorder="1"/>
    <xf numFmtId="1" fontId="4" fillId="6" borderId="0" xfId="5" applyNumberFormat="1" applyFont="1" applyFill="1" applyBorder="1"/>
    <xf numFmtId="166" fontId="4" fillId="0" borderId="0" xfId="6" applyNumberFormat="1" applyFont="1"/>
    <xf numFmtId="165" fontId="4" fillId="6" borderId="18" xfId="6" applyNumberFormat="1" applyFont="1" applyFill="1" applyBorder="1"/>
    <xf numFmtId="4" fontId="4" fillId="0" borderId="3" xfId="6" applyNumberFormat="1" applyFont="1" applyBorder="1"/>
    <xf numFmtId="0" fontId="4" fillId="6" borderId="0" xfId="1" applyFont="1" applyFill="1" applyBorder="1"/>
    <xf numFmtId="0" fontId="4" fillId="6" borderId="0" xfId="1" applyFont="1" applyFill="1" applyBorder="1" applyAlignment="1"/>
    <xf numFmtId="0" fontId="4" fillId="6" borderId="0" xfId="5" applyFont="1" applyFill="1" applyBorder="1" applyAlignment="1"/>
    <xf numFmtId="164" fontId="4" fillId="0" borderId="0" xfId="6" applyNumberFormat="1" applyFont="1"/>
    <xf numFmtId="0" fontId="0" fillId="0" borderId="50" xfId="0" applyBorder="1"/>
    <xf numFmtId="0" fontId="0" fillId="0" borderId="55" xfId="0" applyBorder="1"/>
    <xf numFmtId="0" fontId="17" fillId="11" borderId="59" xfId="0" applyFont="1" applyFill="1" applyBorder="1" applyAlignment="1">
      <alignment horizontal="center" vertical="center" wrapText="1"/>
    </xf>
    <xf numFmtId="164" fontId="17" fillId="0" borderId="56" xfId="0" applyNumberFormat="1" applyFont="1" applyBorder="1" applyAlignment="1">
      <alignment vertical="center"/>
    </xf>
    <xf numFmtId="164" fontId="17" fillId="0" borderId="57" xfId="0" applyNumberFormat="1" applyFont="1" applyBorder="1" applyAlignment="1">
      <alignment vertical="center"/>
    </xf>
    <xf numFmtId="0" fontId="17" fillId="0" borderId="60" xfId="0" applyFont="1" applyBorder="1"/>
    <xf numFmtId="1" fontId="0" fillId="0" borderId="60" xfId="0" applyNumberFormat="1" applyBorder="1"/>
    <xf numFmtId="0" fontId="0" fillId="0" borderId="60" xfId="0" applyBorder="1"/>
    <xf numFmtId="1" fontId="17" fillId="7" borderId="62" xfId="0" applyNumberFormat="1" applyFont="1" applyFill="1" applyBorder="1"/>
    <xf numFmtId="1" fontId="0" fillId="3" borderId="62" xfId="0" applyNumberFormat="1" applyFill="1" applyBorder="1"/>
    <xf numFmtId="0" fontId="0" fillId="8" borderId="62" xfId="0" applyFill="1" applyBorder="1"/>
    <xf numFmtId="0" fontId="0" fillId="9" borderId="62" xfId="0" applyFill="1" applyBorder="1"/>
    <xf numFmtId="1" fontId="0" fillId="11" borderId="65" xfId="0" applyNumberFormat="1" applyFill="1" applyBorder="1"/>
    <xf numFmtId="0" fontId="17" fillId="0" borderId="49" xfId="0" applyFont="1" applyBorder="1"/>
    <xf numFmtId="1" fontId="0" fillId="0" borderId="49" xfId="0" applyNumberFormat="1" applyBorder="1"/>
    <xf numFmtId="0" fontId="0" fillId="0" borderId="49" xfId="0" applyBorder="1"/>
    <xf numFmtId="1" fontId="0" fillId="3" borderId="67" xfId="0" applyNumberFormat="1" applyFill="1" applyBorder="1"/>
    <xf numFmtId="0" fontId="0" fillId="8" borderId="67" xfId="0" applyFill="1" applyBorder="1"/>
    <xf numFmtId="0" fontId="0" fillId="9" borderId="67" xfId="0" applyFill="1" applyBorder="1"/>
    <xf numFmtId="1" fontId="0" fillId="11" borderId="69" xfId="0" applyNumberFormat="1" applyFill="1" applyBorder="1"/>
    <xf numFmtId="0" fontId="17" fillId="0" borderId="70" xfId="0" applyFont="1" applyBorder="1"/>
    <xf numFmtId="1" fontId="17" fillId="0" borderId="71" xfId="0" applyNumberFormat="1" applyFont="1" applyBorder="1"/>
    <xf numFmtId="0" fontId="17" fillId="0" borderId="71" xfId="0" applyFont="1" applyBorder="1"/>
    <xf numFmtId="1" fontId="17" fillId="7" borderId="73" xfId="0" applyNumberFormat="1" applyFont="1" applyFill="1" applyBorder="1"/>
    <xf numFmtId="1" fontId="17" fillId="3" borderId="73" xfId="0" applyNumberFormat="1" applyFont="1" applyFill="1" applyBorder="1"/>
    <xf numFmtId="0" fontId="17" fillId="8" borderId="73" xfId="0" applyFont="1" applyFill="1" applyBorder="1"/>
    <xf numFmtId="0" fontId="17" fillId="9" borderId="73" xfId="0" applyFont="1" applyFill="1" applyBorder="1"/>
    <xf numFmtId="1" fontId="17" fillId="11" borderId="74" xfId="0" applyNumberFormat="1" applyFont="1" applyFill="1" applyBorder="1"/>
    <xf numFmtId="1" fontId="0" fillId="0" borderId="0" xfId="0" applyNumberFormat="1"/>
    <xf numFmtId="0" fontId="17" fillId="0" borderId="56" xfId="0" applyFont="1" applyBorder="1" applyAlignment="1">
      <alignment wrapText="1"/>
    </xf>
    <xf numFmtId="165" fontId="4" fillId="6" borderId="2" xfId="2" applyNumberFormat="1" applyFont="1" applyFill="1" applyBorder="1"/>
    <xf numFmtId="165" fontId="4" fillId="0" borderId="5" xfId="2" applyNumberFormat="1" applyFont="1" applyFill="1" applyBorder="1"/>
    <xf numFmtId="0" fontId="18" fillId="6" borderId="0" xfId="0" applyFont="1" applyFill="1" applyBorder="1"/>
    <xf numFmtId="0" fontId="18" fillId="0" borderId="0" xfId="0" applyFont="1" applyBorder="1"/>
    <xf numFmtId="164" fontId="5" fillId="4" borderId="5" xfId="1" applyNumberFormat="1" applyFont="1" applyFill="1" applyBorder="1" applyAlignment="1">
      <alignment horizontal="left" indent="2"/>
    </xf>
    <xf numFmtId="0" fontId="18" fillId="0" borderId="0" xfId="0" applyFont="1"/>
    <xf numFmtId="164" fontId="5" fillId="0" borderId="5" xfId="1" applyNumberFormat="1" applyFont="1" applyBorder="1" applyAlignment="1">
      <alignment horizontal="left" indent="2"/>
    </xf>
    <xf numFmtId="164" fontId="4" fillId="0" borderId="5" xfId="1" applyNumberFormat="1" applyFont="1" applyBorder="1" applyAlignment="1">
      <alignment horizontal="left" indent="3"/>
    </xf>
    <xf numFmtId="164" fontId="4" fillId="0" borderId="0" xfId="2" applyFont="1" applyFill="1" applyBorder="1"/>
    <xf numFmtId="0" fontId="5" fillId="6" borderId="18" xfId="5" applyFont="1" applyFill="1" applyBorder="1" applyAlignment="1"/>
    <xf numFmtId="0" fontId="5" fillId="6" borderId="0" xfId="5" applyFont="1" applyFill="1"/>
    <xf numFmtId="165" fontId="4" fillId="0" borderId="5" xfId="6" applyNumberFormat="1" applyFont="1" applyFill="1" applyBorder="1"/>
    <xf numFmtId="164" fontId="5" fillId="0" borderId="5" xfId="5" applyNumberFormat="1" applyFont="1" applyBorder="1" applyAlignment="1">
      <alignment horizontal="left" indent="2"/>
    </xf>
    <xf numFmtId="165" fontId="5" fillId="6" borderId="1" xfId="6" applyNumberFormat="1" applyFont="1" applyFill="1" applyBorder="1"/>
    <xf numFmtId="164" fontId="4" fillId="0" borderId="0" xfId="6" applyFont="1" applyFill="1" applyBorder="1"/>
    <xf numFmtId="164" fontId="4" fillId="0" borderId="5" xfId="5" applyNumberFormat="1" applyFont="1" applyBorder="1" applyAlignment="1">
      <alignment horizontal="left" indent="3"/>
    </xf>
    <xf numFmtId="164" fontId="4" fillId="6" borderId="1" xfId="6" applyFont="1" applyFill="1" applyBorder="1"/>
    <xf numFmtId="4" fontId="4" fillId="6" borderId="1" xfId="6" applyNumberFormat="1" applyFont="1" applyFill="1" applyBorder="1"/>
    <xf numFmtId="164" fontId="5" fillId="4" borderId="5" xfId="5" applyNumberFormat="1" applyFont="1" applyFill="1" applyBorder="1" applyAlignment="1">
      <alignment horizontal="left" indent="2"/>
    </xf>
    <xf numFmtId="168" fontId="5" fillId="0" borderId="18" xfId="5" applyNumberFormat="1" applyFont="1" applyBorder="1" applyAlignment="1"/>
    <xf numFmtId="170" fontId="5" fillId="0" borderId="18" xfId="5" applyNumberFormat="1" applyFont="1" applyBorder="1" applyAlignment="1"/>
    <xf numFmtId="165" fontId="5" fillId="0" borderId="42" xfId="6" applyNumberFormat="1" applyFont="1" applyBorder="1"/>
    <xf numFmtId="164" fontId="4" fillId="0" borderId="0" xfId="2" applyNumberFormat="1" applyFont="1"/>
    <xf numFmtId="0" fontId="13" fillId="0" borderId="18" xfId="1" applyFont="1" applyBorder="1" applyAlignment="1"/>
    <xf numFmtId="164" fontId="9" fillId="0" borderId="18" xfId="1" applyNumberFormat="1" applyFont="1" applyBorder="1" applyAlignment="1"/>
    <xf numFmtId="0" fontId="9" fillId="0" borderId="18" xfId="1" applyFont="1" applyBorder="1" applyAlignment="1"/>
    <xf numFmtId="0" fontId="9" fillId="0" borderId="18" xfId="1" applyFont="1" applyFill="1" applyBorder="1" applyAlignment="1"/>
    <xf numFmtId="9" fontId="4" fillId="6" borderId="2" xfId="7" applyFont="1" applyFill="1" applyBorder="1"/>
    <xf numFmtId="4" fontId="4" fillId="6" borderId="3" xfId="6" applyNumberFormat="1" applyFont="1" applyFill="1" applyBorder="1"/>
    <xf numFmtId="3" fontId="4" fillId="6" borderId="1" xfId="6" applyNumberFormat="1" applyFont="1" applyFill="1" applyBorder="1"/>
    <xf numFmtId="165" fontId="4" fillId="0" borderId="18" xfId="6" quotePrefix="1" applyNumberFormat="1" applyFont="1" applyBorder="1" applyAlignment="1">
      <alignment vertical="center"/>
    </xf>
    <xf numFmtId="166" fontId="4" fillId="6" borderId="63" xfId="6" applyNumberFormat="1" applyFont="1" applyFill="1" applyBorder="1"/>
    <xf numFmtId="0" fontId="4" fillId="6" borderId="63" xfId="5" applyFont="1" applyFill="1" applyBorder="1"/>
    <xf numFmtId="164" fontId="4" fillId="0" borderId="18" xfId="5" applyNumberFormat="1" applyFont="1" applyFill="1" applyBorder="1" applyAlignment="1"/>
    <xf numFmtId="165" fontId="16" fillId="0" borderId="18" xfId="2" applyNumberFormat="1" applyFont="1" applyBorder="1" applyAlignment="1">
      <alignment vertical="center"/>
    </xf>
    <xf numFmtId="164" fontId="21" fillId="4" borderId="18" xfId="2" applyFont="1" applyFill="1" applyBorder="1" applyAlignment="1">
      <alignment vertical="center"/>
    </xf>
    <xf numFmtId="0" fontId="21" fillId="0" borderId="18" xfId="1" applyFont="1" applyBorder="1" applyAlignment="1"/>
    <xf numFmtId="164" fontId="16" fillId="0" borderId="18" xfId="1" applyNumberFormat="1" applyFont="1" applyBorder="1" applyAlignment="1"/>
    <xf numFmtId="165" fontId="16" fillId="0" borderId="5" xfId="2" applyNumberFormat="1" applyFont="1" applyBorder="1"/>
    <xf numFmtId="165" fontId="16" fillId="6" borderId="5" xfId="2" applyNumberFormat="1" applyFont="1" applyFill="1" applyBorder="1"/>
    <xf numFmtId="1" fontId="0" fillId="0" borderId="61" xfId="0" applyNumberFormat="1" applyBorder="1"/>
    <xf numFmtId="1" fontId="0" fillId="10" borderId="62" xfId="0" applyNumberFormat="1" applyFill="1" applyBorder="1"/>
    <xf numFmtId="1" fontId="0" fillId="9" borderId="62" xfId="0" applyNumberFormat="1" applyFill="1" applyBorder="1"/>
    <xf numFmtId="1" fontId="0" fillId="2" borderId="62" xfId="0" applyNumberFormat="1" applyFill="1" applyBorder="1"/>
    <xf numFmtId="1" fontId="0" fillId="0" borderId="66" xfId="0" applyNumberFormat="1" applyBorder="1"/>
    <xf numFmtId="1" fontId="0" fillId="9" borderId="67" xfId="0" applyNumberFormat="1" applyFill="1" applyBorder="1"/>
    <xf numFmtId="1" fontId="0" fillId="2" borderId="67" xfId="0" applyNumberFormat="1" applyFill="1" applyBorder="1"/>
    <xf numFmtId="1" fontId="17" fillId="0" borderId="72" xfId="0" applyNumberFormat="1" applyFont="1" applyBorder="1"/>
    <xf numFmtId="1" fontId="17" fillId="10" borderId="73" xfId="0" applyNumberFormat="1" applyFont="1" applyFill="1" applyBorder="1"/>
    <xf numFmtId="1" fontId="17" fillId="9" borderId="73" xfId="0" applyNumberFormat="1" applyFont="1" applyFill="1" applyBorder="1"/>
    <xf numFmtId="1" fontId="17" fillId="2" borderId="73" xfId="0" applyNumberFormat="1" applyFont="1" applyFill="1" applyBorder="1"/>
    <xf numFmtId="1" fontId="0" fillId="2" borderId="75" xfId="0" applyNumberFormat="1" applyFill="1" applyBorder="1"/>
    <xf numFmtId="1" fontId="0" fillId="2" borderId="76" xfId="0" applyNumberFormat="1" applyFill="1" applyBorder="1"/>
    <xf numFmtId="164" fontId="17" fillId="0" borderId="1" xfId="0" applyNumberFormat="1" applyFont="1" applyBorder="1" applyAlignment="1">
      <alignment vertical="center"/>
    </xf>
    <xf numFmtId="0" fontId="17" fillId="0" borderId="78" xfId="0" applyFont="1" applyBorder="1"/>
    <xf numFmtId="165" fontId="0" fillId="0" borderId="39" xfId="0" applyNumberFormat="1" applyBorder="1"/>
    <xf numFmtId="165" fontId="0" fillId="0" borderId="0" xfId="0" applyNumberFormat="1"/>
    <xf numFmtId="164" fontId="5" fillId="0" borderId="1" xfId="2" applyNumberFormat="1" applyFont="1" applyBorder="1"/>
    <xf numFmtId="165" fontId="4" fillId="0" borderId="21" xfId="2" applyNumberFormat="1" applyFont="1" applyBorder="1"/>
    <xf numFmtId="0" fontId="4" fillId="0" borderId="14" xfId="5" applyFont="1" applyBorder="1" applyAlignment="1">
      <alignment horizontal="center" vertical="center"/>
    </xf>
    <xf numFmtId="165" fontId="4" fillId="0" borderId="24" xfId="6" applyNumberFormat="1" applyFont="1" applyBorder="1"/>
    <xf numFmtId="9" fontId="4" fillId="0" borderId="14" xfId="7" applyFont="1" applyBorder="1" applyAlignment="1">
      <alignment horizontal="center"/>
    </xf>
    <xf numFmtId="165" fontId="5" fillId="0" borderId="39" xfId="6" applyNumberFormat="1" applyFont="1" applyBorder="1"/>
    <xf numFmtId="2" fontId="4" fillId="0" borderId="1" xfId="7" applyNumberFormat="1" applyFont="1" applyBorder="1" applyAlignment="1">
      <alignment horizontal="center"/>
    </xf>
    <xf numFmtId="165" fontId="4" fillId="0" borderId="1" xfId="9" applyNumberFormat="1" applyFont="1" applyBorder="1" applyAlignment="1">
      <alignment horizontal="center"/>
    </xf>
    <xf numFmtId="0" fontId="4" fillId="2" borderId="41" xfId="1" applyFont="1" applyFill="1" applyBorder="1" applyAlignment="1">
      <alignment horizontal="center" vertical="center" wrapText="1"/>
    </xf>
    <xf numFmtId="165" fontId="4" fillId="0" borderId="1" xfId="5" applyNumberFormat="1" applyFont="1" applyFill="1" applyBorder="1"/>
    <xf numFmtId="165" fontId="4" fillId="0" borderId="1" xfId="1" applyNumberFormat="1" applyFont="1" applyFill="1" applyBorder="1"/>
    <xf numFmtId="164" fontId="4" fillId="6" borderId="5" xfId="5" applyNumberFormat="1" applyFont="1" applyFill="1" applyBorder="1" applyAlignment="1">
      <alignment horizontal="left" indent="1"/>
    </xf>
    <xf numFmtId="0" fontId="4" fillId="6" borderId="2" xfId="5" applyFont="1" applyFill="1" applyBorder="1" applyAlignment="1">
      <alignment horizontal="center" vertical="center"/>
    </xf>
    <xf numFmtId="168" fontId="4" fillId="0" borderId="18" xfId="6" applyNumberFormat="1" applyFont="1" applyBorder="1" applyAlignment="1">
      <alignment vertical="center"/>
    </xf>
    <xf numFmtId="165" fontId="22" fillId="0" borderId="18" xfId="2" applyNumberFormat="1" applyFont="1" applyBorder="1"/>
    <xf numFmtId="165" fontId="22" fillId="0" borderId="18" xfId="6" applyNumberFormat="1" applyFont="1" applyBorder="1"/>
    <xf numFmtId="165" fontId="14" fillId="0" borderId="5" xfId="2" applyNumberFormat="1" applyFont="1" applyBorder="1"/>
    <xf numFmtId="165" fontId="14" fillId="0" borderId="5" xfId="6" applyNumberFormat="1" applyFont="1" applyBorder="1"/>
    <xf numFmtId="165" fontId="4" fillId="0" borderId="0" xfId="1" applyNumberFormat="1" applyFont="1" applyFill="1" applyBorder="1"/>
    <xf numFmtId="164" fontId="4" fillId="0" borderId="1" xfId="2" applyNumberFormat="1" applyFont="1" applyBorder="1"/>
    <xf numFmtId="173" fontId="4" fillId="0" borderId="1" xfId="6" applyNumberFormat="1" applyFont="1" applyBorder="1"/>
    <xf numFmtId="168" fontId="4" fillId="0" borderId="18" xfId="2" applyNumberFormat="1" applyFont="1" applyBorder="1" applyAlignment="1">
      <alignment vertical="center"/>
    </xf>
    <xf numFmtId="0" fontId="4" fillId="2" borderId="12" xfId="5" applyFont="1" applyFill="1" applyBorder="1" applyAlignment="1">
      <alignment horizontal="center" vertical="center" wrapText="1"/>
    </xf>
    <xf numFmtId="0" fontId="23" fillId="2" borderId="33" xfId="0" applyFont="1" applyFill="1" applyBorder="1" applyAlignment="1">
      <alignment horizontal="center" vertical="center"/>
    </xf>
    <xf numFmtId="0" fontId="23" fillId="2" borderId="39" xfId="0" applyFont="1" applyFill="1" applyBorder="1" applyAlignment="1">
      <alignment horizontal="center" vertical="center"/>
    </xf>
    <xf numFmtId="0" fontId="23" fillId="0" borderId="79" xfId="0" applyFont="1" applyBorder="1"/>
    <xf numFmtId="0" fontId="23" fillId="0" borderId="0" xfId="0" applyFont="1"/>
    <xf numFmtId="0" fontId="23" fillId="4" borderId="18" xfId="0" applyFont="1" applyFill="1" applyBorder="1" applyAlignment="1">
      <alignment horizontal="center"/>
    </xf>
    <xf numFmtId="2" fontId="23" fillId="4" borderId="2" xfId="0" applyNumberFormat="1" applyFont="1" applyFill="1" applyBorder="1" applyAlignment="1">
      <alignment horizontal="center"/>
    </xf>
    <xf numFmtId="9" fontId="23" fillId="0" borderId="80" xfId="0" applyNumberFormat="1" applyFont="1" applyBorder="1"/>
    <xf numFmtId="9" fontId="23" fillId="0" borderId="82" xfId="0" applyNumberFormat="1" applyFont="1" applyBorder="1"/>
    <xf numFmtId="0" fontId="4" fillId="0" borderId="5" xfId="5" applyFont="1" applyBorder="1" applyAlignment="1">
      <alignment horizontal="left" indent="2"/>
    </xf>
    <xf numFmtId="165" fontId="4" fillId="0" borderId="82" xfId="5" applyNumberFormat="1" applyFont="1" applyFill="1" applyBorder="1"/>
    <xf numFmtId="0" fontId="23" fillId="2" borderId="24" xfId="0" applyFont="1" applyFill="1" applyBorder="1" applyAlignment="1">
      <alignment horizontal="center" vertical="center" wrapText="1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2" fontId="23" fillId="0" borderId="29" xfId="0" applyNumberFormat="1" applyFont="1" applyBorder="1"/>
    <xf numFmtId="0" fontId="23" fillId="0" borderId="80" xfId="0" applyFont="1" applyBorder="1" applyAlignment="1">
      <alignment horizontal="center"/>
    </xf>
    <xf numFmtId="9" fontId="23" fillId="6" borderId="81" xfId="8" applyFont="1" applyFill="1" applyBorder="1" applyAlignment="1">
      <alignment horizontal="center"/>
    </xf>
    <xf numFmtId="0" fontId="23" fillId="6" borderId="80" xfId="0" applyFont="1" applyFill="1" applyBorder="1" applyAlignment="1">
      <alignment horizontal="center"/>
    </xf>
    <xf numFmtId="2" fontId="23" fillId="0" borderId="13" xfId="0" applyNumberFormat="1" applyFont="1" applyBorder="1" applyAlignment="1">
      <alignment horizontal="center"/>
    </xf>
    <xf numFmtId="0" fontId="23" fillId="2" borderId="40" xfId="0" applyFont="1" applyFill="1" applyBorder="1" applyAlignment="1">
      <alignment horizontal="center" vertical="center"/>
    </xf>
    <xf numFmtId="0" fontId="23" fillId="2" borderId="84" xfId="0" applyFont="1" applyFill="1" applyBorder="1" applyAlignment="1">
      <alignment horizontal="center" vertical="center" wrapText="1"/>
    </xf>
    <xf numFmtId="2" fontId="23" fillId="0" borderId="85" xfId="0" applyNumberFormat="1" applyFont="1" applyBorder="1" applyAlignment="1">
      <alignment horizontal="center"/>
    </xf>
    <xf numFmtId="0" fontId="23" fillId="2" borderId="7" xfId="0" applyFont="1" applyFill="1" applyBorder="1" applyAlignment="1">
      <alignment horizontal="center" vertical="center"/>
    </xf>
    <xf numFmtId="0" fontId="24" fillId="0" borderId="0" xfId="0" applyFont="1" applyAlignment="1">
      <alignment horizontal="right"/>
    </xf>
    <xf numFmtId="165" fontId="23" fillId="0" borderId="31" xfId="0" applyNumberFormat="1" applyFont="1" applyBorder="1" applyAlignment="1">
      <alignment horizontal="center"/>
    </xf>
    <xf numFmtId="165" fontId="23" fillId="6" borderId="31" xfId="0" applyNumberFormat="1" applyFont="1" applyFill="1" applyBorder="1" applyAlignment="1">
      <alignment horizontal="center"/>
    </xf>
    <xf numFmtId="1" fontId="23" fillId="4" borderId="18" xfId="0" applyNumberFormat="1" applyFont="1" applyFill="1" applyBorder="1" applyAlignment="1">
      <alignment horizontal="center"/>
    </xf>
    <xf numFmtId="10" fontId="23" fillId="6" borderId="81" xfId="8" applyNumberFormat="1" applyFont="1" applyFill="1" applyBorder="1" applyAlignment="1">
      <alignment horizontal="center"/>
    </xf>
    <xf numFmtId="0" fontId="4" fillId="2" borderId="47" xfId="5" applyFont="1" applyFill="1" applyBorder="1" applyAlignment="1">
      <alignment horizontal="center" vertical="center" wrapText="1"/>
    </xf>
    <xf numFmtId="2" fontId="4" fillId="0" borderId="3" xfId="5" applyNumberFormat="1" applyFont="1" applyFill="1" applyBorder="1"/>
    <xf numFmtId="2" fontId="23" fillId="4" borderId="18" xfId="0" applyNumberFormat="1" applyFont="1" applyFill="1" applyBorder="1" applyAlignment="1">
      <alignment horizontal="center"/>
    </xf>
    <xf numFmtId="0" fontId="4" fillId="2" borderId="12" xfId="5" applyFont="1" applyFill="1" applyBorder="1" applyAlignment="1">
      <alignment horizontal="center" vertical="center" wrapText="1"/>
    </xf>
    <xf numFmtId="0" fontId="4" fillId="2" borderId="12" xfId="5" applyFont="1" applyFill="1" applyBorder="1" applyAlignment="1">
      <alignment horizontal="center" vertical="center" wrapText="1"/>
    </xf>
    <xf numFmtId="169" fontId="4" fillId="0" borderId="5" xfId="6" applyNumberFormat="1" applyFont="1" applyBorder="1"/>
    <xf numFmtId="0" fontId="4" fillId="2" borderId="12" xfId="5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0" borderId="5" xfId="1" applyFont="1" applyBorder="1" applyAlignment="1">
      <alignment horizontal="left" indent="2"/>
    </xf>
    <xf numFmtId="9" fontId="4" fillId="0" borderId="2" xfId="3" applyFont="1" applyBorder="1"/>
    <xf numFmtId="2" fontId="4" fillId="0" borderId="81" xfId="1" applyNumberFormat="1" applyFont="1" applyFill="1" applyBorder="1"/>
    <xf numFmtId="165" fontId="4" fillId="0" borderId="82" xfId="1" applyNumberFormat="1" applyFont="1" applyFill="1" applyBorder="1"/>
    <xf numFmtId="0" fontId="23" fillId="2" borderId="11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4" fillId="2" borderId="9" xfId="5" applyFont="1" applyFill="1" applyBorder="1" applyAlignment="1">
      <alignment horizontal="center" vertical="center" wrapText="1"/>
    </xf>
    <xf numFmtId="1" fontId="26" fillId="0" borderId="1" xfId="0" applyNumberFormat="1" applyFont="1" applyBorder="1"/>
    <xf numFmtId="0" fontId="0" fillId="0" borderId="1" xfId="0" applyBorder="1"/>
    <xf numFmtId="0" fontId="23" fillId="2" borderId="73" xfId="0" applyFont="1" applyFill="1" applyBorder="1" applyAlignment="1">
      <alignment horizontal="center" vertical="center" wrapText="1"/>
    </xf>
    <xf numFmtId="0" fontId="25" fillId="0" borderId="13" xfId="0" applyFont="1" applyBorder="1" applyAlignment="1">
      <alignment vertical="center" wrapText="1"/>
    </xf>
    <xf numFmtId="1" fontId="25" fillId="0" borderId="30" xfId="0" applyNumberFormat="1" applyFont="1" applyBorder="1" applyAlignment="1">
      <alignment vertical="center" wrapText="1"/>
    </xf>
    <xf numFmtId="1" fontId="26" fillId="0" borderId="29" xfId="0" applyNumberFormat="1" applyFont="1" applyBorder="1"/>
    <xf numFmtId="0" fontId="26" fillId="0" borderId="5" xfId="0" applyFont="1" applyBorder="1"/>
    <xf numFmtId="2" fontId="26" fillId="0" borderId="2" xfId="0" applyNumberFormat="1" applyFont="1" applyBorder="1"/>
    <xf numFmtId="0" fontId="0" fillId="0" borderId="5" xfId="0" applyBorder="1"/>
    <xf numFmtId="0" fontId="0" fillId="0" borderId="81" xfId="0" applyBorder="1"/>
    <xf numFmtId="1" fontId="26" fillId="0" borderId="89" xfId="0" applyNumberFormat="1" applyFont="1" applyBorder="1"/>
    <xf numFmtId="2" fontId="26" fillId="0" borderId="82" xfId="0" applyNumberFormat="1" applyFont="1" applyBorder="1"/>
    <xf numFmtId="0" fontId="27" fillId="0" borderId="81" xfId="0" applyFont="1" applyBorder="1"/>
    <xf numFmtId="0" fontId="27" fillId="0" borderId="89" xfId="0" applyFont="1" applyBorder="1"/>
    <xf numFmtId="1" fontId="0" fillId="0" borderId="1" xfId="0" applyNumberFormat="1" applyBorder="1"/>
    <xf numFmtId="165" fontId="16" fillId="0" borderId="0" xfId="1" applyNumberFormat="1" applyFont="1"/>
    <xf numFmtId="0" fontId="16" fillId="0" borderId="0" xfId="1" applyFont="1"/>
    <xf numFmtId="3" fontId="23" fillId="2" borderId="73" xfId="0" applyNumberFormat="1" applyFont="1" applyFill="1" applyBorder="1" applyAlignment="1">
      <alignment horizontal="center" vertical="center" wrapText="1"/>
    </xf>
    <xf numFmtId="2" fontId="4" fillId="0" borderId="90" xfId="5" applyNumberFormat="1" applyFont="1" applyFill="1" applyBorder="1"/>
    <xf numFmtId="4" fontId="4" fillId="6" borderId="5" xfId="6" applyNumberFormat="1" applyFont="1" applyFill="1" applyBorder="1"/>
    <xf numFmtId="0" fontId="16" fillId="0" borderId="0" xfId="5" applyFont="1"/>
    <xf numFmtId="164" fontId="4" fillId="0" borderId="81" xfId="5" applyNumberFormat="1" applyFont="1" applyFill="1" applyBorder="1" applyAlignment="1">
      <alignment horizontal="left" indent="2"/>
    </xf>
    <xf numFmtId="165" fontId="4" fillId="0" borderId="80" xfId="6" applyNumberFormat="1" applyFont="1" applyBorder="1"/>
    <xf numFmtId="165" fontId="4" fillId="0" borderId="81" xfId="6" applyNumberFormat="1" applyFont="1" applyFill="1" applyBorder="1"/>
    <xf numFmtId="165" fontId="4" fillId="0" borderId="89" xfId="6" applyNumberFormat="1" applyFont="1" applyFill="1" applyBorder="1"/>
    <xf numFmtId="165" fontId="4" fillId="0" borderId="89" xfId="6" applyNumberFormat="1" applyFont="1" applyBorder="1"/>
    <xf numFmtId="9" fontId="4" fillId="0" borderId="82" xfId="7" applyFont="1" applyFill="1" applyBorder="1" applyAlignment="1">
      <alignment horizontal="center"/>
    </xf>
    <xf numFmtId="165" fontId="4" fillId="0" borderId="81" xfId="2" applyNumberFormat="1" applyFont="1" applyFill="1" applyBorder="1"/>
    <xf numFmtId="165" fontId="4" fillId="0" borderId="89" xfId="2" applyNumberFormat="1" applyFont="1" applyFill="1" applyBorder="1"/>
    <xf numFmtId="165" fontId="4" fillId="0" borderId="89" xfId="2" applyNumberFormat="1" applyFont="1" applyBorder="1"/>
    <xf numFmtId="9" fontId="4" fillId="0" borderId="82" xfId="3" applyFont="1" applyFill="1" applyBorder="1" applyAlignment="1">
      <alignment horizontal="center"/>
    </xf>
    <xf numFmtId="165" fontId="5" fillId="0" borderId="89" xfId="2" applyNumberFormat="1" applyFont="1" applyBorder="1"/>
    <xf numFmtId="165" fontId="5" fillId="0" borderId="89" xfId="6" applyNumberFormat="1" applyFont="1" applyBorder="1"/>
    <xf numFmtId="165" fontId="4" fillId="0" borderId="82" xfId="6" applyNumberFormat="1" applyFont="1" applyBorder="1"/>
    <xf numFmtId="165" fontId="4" fillId="0" borderId="82" xfId="2" applyNumberFormat="1" applyFont="1" applyBorder="1"/>
    <xf numFmtId="165" fontId="6" fillId="0" borderId="18" xfId="6" applyNumberFormat="1" applyFont="1" applyFill="1" applyBorder="1"/>
    <xf numFmtId="165" fontId="6" fillId="0" borderId="18" xfId="2" applyNumberFormat="1" applyFont="1" applyFill="1" applyBorder="1"/>
    <xf numFmtId="165" fontId="6" fillId="0" borderId="18" xfId="2" applyNumberFormat="1" applyFont="1" applyBorder="1"/>
    <xf numFmtId="165" fontId="6" fillId="6" borderId="18" xfId="6" applyNumberFormat="1" applyFont="1" applyFill="1" applyBorder="1"/>
    <xf numFmtId="165" fontId="4" fillId="4" borderId="18" xfId="5" applyNumberFormat="1" applyFont="1" applyFill="1" applyBorder="1" applyAlignment="1"/>
    <xf numFmtId="165" fontId="4" fillId="4" borderId="18" xfId="6" applyNumberFormat="1" applyFont="1" applyFill="1" applyBorder="1" applyAlignment="1">
      <alignment vertical="center"/>
    </xf>
    <xf numFmtId="165" fontId="4" fillId="0" borderId="18" xfId="6" applyNumberFormat="1" applyFont="1" applyFill="1" applyBorder="1" applyAlignment="1">
      <alignment vertical="center"/>
    </xf>
    <xf numFmtId="165" fontId="4" fillId="0" borderId="18" xfId="6" applyNumberFormat="1" applyFont="1" applyBorder="1" applyAlignment="1"/>
    <xf numFmtId="165" fontId="4" fillId="0" borderId="18" xfId="5" applyNumberFormat="1" applyFont="1" applyBorder="1" applyAlignment="1"/>
    <xf numFmtId="165" fontId="4" fillId="0" borderId="80" xfId="5" applyNumberFormat="1" applyFont="1" applyFill="1" applyBorder="1" applyAlignment="1"/>
    <xf numFmtId="165" fontId="4" fillId="4" borderId="18" xfId="1" applyNumberFormat="1" applyFont="1" applyFill="1" applyBorder="1" applyAlignment="1"/>
    <xf numFmtId="165" fontId="4" fillId="4" borderId="18" xfId="2" applyNumberFormat="1" applyFont="1" applyFill="1" applyBorder="1" applyAlignment="1">
      <alignment vertical="center"/>
    </xf>
    <xf numFmtId="165" fontId="4" fillId="0" borderId="18" xfId="2" applyNumberFormat="1" applyFont="1" applyBorder="1" applyAlignment="1"/>
    <xf numFmtId="165" fontId="4" fillId="0" borderId="18" xfId="1" applyNumberFormat="1" applyFont="1" applyBorder="1" applyAlignment="1"/>
    <xf numFmtId="165" fontId="4" fillId="0" borderId="18" xfId="1" applyNumberFormat="1" applyFont="1" applyFill="1" applyBorder="1" applyAlignment="1"/>
    <xf numFmtId="165" fontId="4" fillId="0" borderId="80" xfId="1" applyNumberFormat="1" applyFont="1" applyFill="1" applyBorder="1" applyAlignment="1"/>
    <xf numFmtId="165" fontId="9" fillId="0" borderId="18" xfId="1" applyNumberFormat="1" applyFont="1" applyBorder="1" applyAlignment="1"/>
    <xf numFmtId="165" fontId="9" fillId="0" borderId="18" xfId="1" applyNumberFormat="1" applyFont="1" applyFill="1" applyBorder="1" applyAlignment="1"/>
    <xf numFmtId="165" fontId="9" fillId="0" borderId="80" xfId="1" applyNumberFormat="1" applyFont="1" applyFill="1" applyBorder="1" applyAlignment="1"/>
    <xf numFmtId="165" fontId="5" fillId="0" borderId="18" xfId="2" applyNumberFormat="1" applyFont="1" applyBorder="1" applyAlignment="1"/>
    <xf numFmtId="0" fontId="20" fillId="0" borderId="24" xfId="4" applyFont="1" applyBorder="1"/>
    <xf numFmtId="165" fontId="13" fillId="0" borderId="18" xfId="1" applyNumberFormat="1" applyFont="1" applyBorder="1" applyAlignment="1"/>
    <xf numFmtId="173" fontId="9" fillId="0" borderId="18" xfId="1" applyNumberFormat="1" applyFont="1" applyBorder="1" applyAlignment="1"/>
    <xf numFmtId="165" fontId="4" fillId="6" borderId="18" xfId="6" applyNumberFormat="1" applyFont="1" applyFill="1" applyBorder="1" applyAlignment="1">
      <alignment vertical="center"/>
    </xf>
    <xf numFmtId="165" fontId="5" fillId="0" borderId="18" xfId="6" applyNumberFormat="1" applyFont="1" applyBorder="1" applyAlignment="1"/>
    <xf numFmtId="165" fontId="5" fillId="6" borderId="18" xfId="5" applyNumberFormat="1" applyFont="1" applyFill="1" applyBorder="1" applyAlignment="1"/>
    <xf numFmtId="164" fontId="4" fillId="0" borderId="18" xfId="6" applyFont="1" applyBorder="1" applyAlignment="1">
      <alignment vertical="center"/>
    </xf>
    <xf numFmtId="164" fontId="4" fillId="0" borderId="18" xfId="6" applyFont="1" applyFill="1" applyBorder="1" applyAlignment="1">
      <alignment vertical="center"/>
    </xf>
    <xf numFmtId="164" fontId="4" fillId="0" borderId="18" xfId="6" applyFont="1" applyBorder="1" applyAlignment="1"/>
    <xf numFmtId="0" fontId="4" fillId="0" borderId="80" xfId="5" applyFont="1" applyFill="1" applyBorder="1" applyAlignment="1"/>
    <xf numFmtId="164" fontId="4" fillId="0" borderId="18" xfId="2" applyFont="1" applyBorder="1" applyAlignment="1">
      <alignment vertical="center"/>
    </xf>
    <xf numFmtId="164" fontId="4" fillId="0" borderId="18" xfId="2" applyFont="1" applyFill="1" applyBorder="1" applyAlignment="1">
      <alignment vertical="center"/>
    </xf>
    <xf numFmtId="164" fontId="4" fillId="0" borderId="18" xfId="2" applyFont="1" applyBorder="1" applyAlignment="1"/>
    <xf numFmtId="0" fontId="4" fillId="0" borderId="80" xfId="1" applyFont="1" applyFill="1" applyBorder="1" applyAlignment="1"/>
    <xf numFmtId="0" fontId="9" fillId="0" borderId="80" xfId="1" applyFont="1" applyFill="1" applyBorder="1" applyAlignment="1"/>
    <xf numFmtId="164" fontId="5" fillId="0" borderId="18" xfId="2" applyFont="1" applyBorder="1" applyAlignment="1"/>
    <xf numFmtId="173" fontId="4" fillId="0" borderId="18" xfId="1" applyNumberFormat="1" applyFont="1" applyBorder="1" applyAlignment="1"/>
    <xf numFmtId="164" fontId="16" fillId="0" borderId="18" xfId="2" applyFont="1" applyBorder="1" applyAlignment="1">
      <alignment vertical="center"/>
    </xf>
    <xf numFmtId="164" fontId="16" fillId="0" borderId="18" xfId="2" applyFont="1" applyFill="1" applyBorder="1" applyAlignment="1">
      <alignment vertical="center"/>
    </xf>
    <xf numFmtId="164" fontId="16" fillId="0" borderId="18" xfId="2" applyFont="1" applyBorder="1" applyAlignment="1"/>
    <xf numFmtId="164" fontId="4" fillId="6" borderId="18" xfId="6" applyFont="1" applyFill="1" applyBorder="1" applyAlignment="1">
      <alignment vertical="center"/>
    </xf>
    <xf numFmtId="164" fontId="5" fillId="0" borderId="18" xfId="6" applyFont="1" applyBorder="1" applyAlignment="1"/>
    <xf numFmtId="0" fontId="4" fillId="2" borderId="12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174" fontId="4" fillId="0" borderId="2" xfId="3" applyNumberFormat="1" applyFont="1" applyBorder="1"/>
    <xf numFmtId="0" fontId="4" fillId="2" borderId="12" xfId="5" applyFont="1" applyFill="1" applyBorder="1" applyAlignment="1">
      <alignment horizontal="center" vertical="center" wrapText="1"/>
    </xf>
    <xf numFmtId="165" fontId="4" fillId="0" borderId="81" xfId="6" applyNumberFormat="1" applyFont="1" applyBorder="1"/>
    <xf numFmtId="9" fontId="4" fillId="0" borderId="82" xfId="7" applyFont="1" applyBorder="1" applyAlignment="1">
      <alignment horizontal="center"/>
    </xf>
    <xf numFmtId="165" fontId="9" fillId="0" borderId="5" xfId="6" applyNumberFormat="1" applyFont="1" applyBorder="1"/>
    <xf numFmtId="0" fontId="0" fillId="3" borderId="0" xfId="0" applyFill="1"/>
    <xf numFmtId="0" fontId="29" fillId="0" borderId="91" xfId="0" applyFont="1" applyBorder="1" applyAlignment="1">
      <alignment horizontal="center" vertical="center"/>
    </xf>
    <xf numFmtId="0" fontId="29" fillId="0" borderId="91" xfId="0" applyFont="1" applyBorder="1" applyAlignment="1">
      <alignment horizontal="center" vertical="center" wrapText="1"/>
    </xf>
    <xf numFmtId="0" fontId="30" fillId="0" borderId="60" xfId="0" applyFont="1" applyBorder="1" applyAlignment="1">
      <alignment horizontal="center" vertical="center" wrapText="1"/>
    </xf>
    <xf numFmtId="170" fontId="7" fillId="0" borderId="60" xfId="0" applyNumberFormat="1" applyFont="1" applyBorder="1" applyAlignment="1">
      <alignment horizontal="center" vertical="center"/>
    </xf>
    <xf numFmtId="0" fontId="30" fillId="0" borderId="49" xfId="0" applyFont="1" applyBorder="1" applyAlignment="1">
      <alignment horizontal="center" vertical="center" wrapText="1"/>
    </xf>
    <xf numFmtId="170" fontId="7" fillId="0" borderId="49" xfId="0" applyNumberFormat="1" applyFont="1" applyBorder="1" applyAlignment="1">
      <alignment horizontal="center" vertical="center"/>
    </xf>
    <xf numFmtId="0" fontId="30" fillId="6" borderId="49" xfId="0" applyFont="1" applyFill="1" applyBorder="1" applyAlignment="1">
      <alignment horizontal="center" vertical="center" wrapText="1"/>
    </xf>
    <xf numFmtId="0" fontId="30" fillId="0" borderId="92" xfId="0" applyFont="1" applyBorder="1" applyAlignment="1">
      <alignment horizontal="center" vertical="center" wrapText="1"/>
    </xf>
    <xf numFmtId="170" fontId="7" fillId="0" borderId="92" xfId="0" applyNumberFormat="1" applyFont="1" applyBorder="1" applyAlignment="1">
      <alignment horizontal="center" vertical="center"/>
    </xf>
    <xf numFmtId="165" fontId="31" fillId="0" borderId="5" xfId="6" applyNumberFormat="1" applyFont="1" applyBorder="1"/>
    <xf numFmtId="0" fontId="28" fillId="0" borderId="93" xfId="0" applyNumberFormat="1" applyFont="1" applyFill="1" applyBorder="1" applyAlignment="1" applyProtection="1">
      <alignment horizontal="center" vertical="top" wrapText="1"/>
    </xf>
    <xf numFmtId="0" fontId="28" fillId="3" borderId="93" xfId="0" applyNumberFormat="1" applyFont="1" applyFill="1" applyBorder="1" applyAlignment="1" applyProtection="1">
      <alignment horizontal="center" vertical="top" wrapText="1"/>
    </xf>
    <xf numFmtId="165" fontId="4" fillId="0" borderId="2" xfId="6" applyNumberFormat="1" applyFont="1" applyFill="1" applyBorder="1"/>
    <xf numFmtId="175" fontId="23" fillId="4" borderId="18" xfId="0" applyNumberFormat="1" applyFont="1" applyFill="1" applyBorder="1" applyAlignment="1">
      <alignment horizontal="center"/>
    </xf>
    <xf numFmtId="175" fontId="23" fillId="4" borderId="2" xfId="0" applyNumberFormat="1" applyFont="1" applyFill="1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0" fillId="0" borderId="0" xfId="0" applyBorder="1"/>
    <xf numFmtId="0" fontId="0" fillId="0" borderId="32" xfId="0" applyBorder="1"/>
    <xf numFmtId="0" fontId="0" fillId="3" borderId="0" xfId="0" applyFill="1" applyBorder="1"/>
    <xf numFmtId="9" fontId="0" fillId="0" borderId="0" xfId="8" applyFont="1" applyBorder="1"/>
    <xf numFmtId="0" fontId="29" fillId="0" borderId="94" xfId="0" applyFont="1" applyBorder="1" applyAlignment="1">
      <alignment horizontal="center" vertical="center"/>
    </xf>
    <xf numFmtId="0" fontId="30" fillId="0" borderId="64" xfId="0" applyFont="1" applyBorder="1" applyAlignment="1">
      <alignment horizontal="center" vertical="center" wrapText="1"/>
    </xf>
    <xf numFmtId="0" fontId="30" fillId="0" borderId="68" xfId="0" applyFont="1" applyBorder="1" applyAlignment="1">
      <alignment horizontal="center" vertical="center" wrapText="1"/>
    </xf>
    <xf numFmtId="0" fontId="0" fillId="0" borderId="28" xfId="0" applyBorder="1"/>
    <xf numFmtId="0" fontId="0" fillId="0" borderId="27" xfId="0" applyBorder="1"/>
    <xf numFmtId="0" fontId="0" fillId="0" borderId="95" xfId="0" applyBorder="1"/>
    <xf numFmtId="0" fontId="32" fillId="0" borderId="0" xfId="0" applyFont="1"/>
    <xf numFmtId="0" fontId="30" fillId="0" borderId="96" xfId="0" applyFont="1" applyBorder="1" applyAlignment="1">
      <alignment horizontal="center" vertical="center" wrapText="1"/>
    </xf>
    <xf numFmtId="0" fontId="32" fillId="0" borderId="27" xfId="0" applyFont="1" applyBorder="1"/>
    <xf numFmtId="0" fontId="4" fillId="0" borderId="0" xfId="5" applyFont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10" fontId="23" fillId="0" borderId="82" xfId="0" applyNumberFormat="1" applyFont="1" applyBorder="1"/>
    <xf numFmtId="164" fontId="5" fillId="4" borderId="1" xfId="2" applyNumberFormat="1" applyFont="1" applyFill="1" applyBorder="1"/>
    <xf numFmtId="2" fontId="4" fillId="0" borderId="0" xfId="9" applyNumberFormat="1" applyFont="1"/>
    <xf numFmtId="170" fontId="25" fillId="0" borderId="30" xfId="0" applyNumberFormat="1" applyFont="1" applyBorder="1" applyAlignment="1">
      <alignment vertical="center" wrapText="1"/>
    </xf>
    <xf numFmtId="164" fontId="6" fillId="0" borderId="0" xfId="5" applyNumberFormat="1" applyFont="1" applyBorder="1" applyAlignment="1">
      <alignment horizontal="center" vertical="center" wrapText="1"/>
    </xf>
    <xf numFmtId="167" fontId="0" fillId="0" borderId="1" xfId="0" applyNumberFormat="1" applyBorder="1"/>
    <xf numFmtId="167" fontId="0" fillId="0" borderId="1" xfId="8" applyNumberFormat="1" applyFont="1" applyBorder="1"/>
    <xf numFmtId="167" fontId="0" fillId="0" borderId="39" xfId="0" applyNumberFormat="1" applyBorder="1"/>
    <xf numFmtId="167" fontId="0" fillId="0" borderId="39" xfId="8" applyNumberFormat="1" applyFont="1" applyBorder="1"/>
    <xf numFmtId="167" fontId="0" fillId="0" borderId="7" xfId="0" applyNumberFormat="1" applyBorder="1"/>
    <xf numFmtId="167" fontId="0" fillId="0" borderId="2" xfId="0" applyNumberFormat="1" applyBorder="1"/>
    <xf numFmtId="167" fontId="0" fillId="0" borderId="89" xfId="0" applyNumberFormat="1" applyBorder="1"/>
    <xf numFmtId="167" fontId="0" fillId="0" borderId="89" xfId="8" applyNumberFormat="1" applyFont="1" applyBorder="1"/>
    <xf numFmtId="167" fontId="0" fillId="0" borderId="82" xfId="0" applyNumberFormat="1" applyBorder="1"/>
    <xf numFmtId="167" fontId="0" fillId="0" borderId="40" xfId="0" applyNumberFormat="1" applyBorder="1"/>
    <xf numFmtId="167" fontId="0" fillId="0" borderId="3" xfId="0" applyNumberFormat="1" applyBorder="1"/>
    <xf numFmtId="167" fontId="0" fillId="0" borderId="90" xfId="0" applyNumberFormat="1" applyBorder="1"/>
    <xf numFmtId="167" fontId="0" fillId="0" borderId="38" xfId="0" applyNumberFormat="1" applyBorder="1"/>
    <xf numFmtId="167" fontId="0" fillId="0" borderId="19" xfId="0" applyNumberFormat="1" applyBorder="1"/>
    <xf numFmtId="167" fontId="0" fillId="0" borderId="83" xfId="0" applyNumberFormat="1" applyBorder="1"/>
    <xf numFmtId="167" fontId="0" fillId="0" borderId="5" xfId="8" applyNumberFormat="1" applyFont="1" applyBorder="1"/>
    <xf numFmtId="167" fontId="0" fillId="0" borderId="81" xfId="8" applyNumberFormat="1" applyFont="1" applyBorder="1"/>
    <xf numFmtId="167" fontId="0" fillId="0" borderId="33" xfId="8" applyNumberFormat="1" applyFont="1" applyBorder="1"/>
    <xf numFmtId="0" fontId="34" fillId="2" borderId="73" xfId="0" applyFont="1" applyFill="1" applyBorder="1" applyAlignment="1">
      <alignment horizontal="center" vertical="center" wrapText="1"/>
    </xf>
    <xf numFmtId="0" fontId="34" fillId="11" borderId="21" xfId="0" applyFont="1" applyFill="1" applyBorder="1" applyAlignment="1">
      <alignment horizontal="center" vertical="center"/>
    </xf>
    <xf numFmtId="0" fontId="34" fillId="11" borderId="42" xfId="0" applyFont="1" applyFill="1" applyBorder="1" applyAlignment="1">
      <alignment horizontal="center" vertical="center"/>
    </xf>
    <xf numFmtId="164" fontId="35" fillId="11" borderId="27" xfId="5" applyNumberFormat="1" applyFont="1" applyFill="1" applyBorder="1" applyAlignment="1">
      <alignment horizontal="center" vertical="center" wrapText="1"/>
    </xf>
    <xf numFmtId="164" fontId="35" fillId="11" borderId="95" xfId="5" applyNumberFormat="1" applyFont="1" applyFill="1" applyBorder="1" applyAlignment="1">
      <alignment horizontal="center" vertical="center" wrapText="1"/>
    </xf>
    <xf numFmtId="164" fontId="35" fillId="11" borderId="28" xfId="5" applyNumberFormat="1" applyFont="1" applyFill="1" applyBorder="1" applyAlignment="1">
      <alignment horizontal="center" vertical="center" wrapText="1"/>
    </xf>
    <xf numFmtId="14" fontId="17" fillId="12" borderId="25" xfId="0" applyNumberFormat="1" applyFont="1" applyFill="1" applyBorder="1"/>
    <xf numFmtId="0" fontId="34" fillId="11" borderId="1" xfId="0" applyFont="1" applyFill="1" applyBorder="1" applyAlignment="1">
      <alignment horizontal="center" vertical="center"/>
    </xf>
    <xf numFmtId="0" fontId="4" fillId="0" borderId="81" xfId="5" applyFont="1" applyFill="1" applyBorder="1" applyAlignment="1">
      <alignment horizontal="center"/>
    </xf>
    <xf numFmtId="0" fontId="4" fillId="0" borderId="82" xfId="5" applyFont="1" applyFill="1" applyBorder="1" applyAlignment="1">
      <alignment horizontal="center"/>
    </xf>
    <xf numFmtId="0" fontId="4" fillId="0" borderId="81" xfId="1" applyFont="1" applyFill="1" applyBorder="1" applyAlignment="1">
      <alignment horizontal="center"/>
    </xf>
    <xf numFmtId="0" fontId="4" fillId="0" borderId="82" xfId="1" applyFont="1" applyFill="1" applyBorder="1" applyAlignment="1">
      <alignment horizontal="center"/>
    </xf>
    <xf numFmtId="0" fontId="9" fillId="0" borderId="81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/>
    </xf>
    <xf numFmtId="164" fontId="4" fillId="0" borderId="43" xfId="5" applyNumberFormat="1" applyFont="1" applyFill="1" applyBorder="1" applyAlignment="1">
      <alignment horizontal="left" indent="2"/>
    </xf>
    <xf numFmtId="165" fontId="4" fillId="0" borderId="43" xfId="6" applyNumberFormat="1" applyFont="1" applyFill="1" applyBorder="1"/>
    <xf numFmtId="165" fontId="4" fillId="0" borderId="44" xfId="6" applyNumberFormat="1" applyFont="1" applyFill="1" applyBorder="1"/>
    <xf numFmtId="165" fontId="4" fillId="0" borderId="44" xfId="6" applyNumberFormat="1" applyFont="1" applyBorder="1"/>
    <xf numFmtId="9" fontId="4" fillId="0" borderId="41" xfId="7" applyFont="1" applyFill="1" applyBorder="1" applyAlignment="1">
      <alignment horizontal="center"/>
    </xf>
    <xf numFmtId="165" fontId="4" fillId="0" borderId="41" xfId="6" applyNumberFormat="1" applyFont="1" applyBorder="1"/>
    <xf numFmtId="165" fontId="4" fillId="0" borderId="42" xfId="5" applyNumberFormat="1" applyFont="1" applyFill="1" applyBorder="1" applyAlignment="1"/>
    <xf numFmtId="0" fontId="4" fillId="0" borderId="42" xfId="5" applyFont="1" applyFill="1" applyBorder="1" applyAlignment="1"/>
    <xf numFmtId="0" fontId="4" fillId="0" borderId="43" xfId="5" applyFont="1" applyFill="1" applyBorder="1" applyAlignment="1">
      <alignment horizontal="center"/>
    </xf>
    <xf numFmtId="0" fontId="4" fillId="0" borderId="41" xfId="5" applyFont="1" applyFill="1" applyBorder="1" applyAlignment="1">
      <alignment horizontal="center"/>
    </xf>
    <xf numFmtId="165" fontId="4" fillId="0" borderId="41" xfId="2" applyNumberFormat="1" applyFont="1" applyBorder="1"/>
    <xf numFmtId="165" fontId="4" fillId="0" borderId="43" xfId="2" applyNumberFormat="1" applyFont="1" applyFill="1" applyBorder="1"/>
    <xf numFmtId="165" fontId="4" fillId="0" borderId="44" xfId="2" applyNumberFormat="1" applyFont="1" applyFill="1" applyBorder="1"/>
    <xf numFmtId="165" fontId="4" fillId="0" borderId="44" xfId="2" applyNumberFormat="1" applyFont="1" applyBorder="1"/>
    <xf numFmtId="9" fontId="4" fillId="0" borderId="41" xfId="3" applyFont="1" applyFill="1" applyBorder="1" applyAlignment="1">
      <alignment horizontal="center"/>
    </xf>
    <xf numFmtId="165" fontId="4" fillId="0" borderId="42" xfId="1" applyNumberFormat="1" applyFont="1" applyFill="1" applyBorder="1" applyAlignment="1"/>
    <xf numFmtId="0" fontId="4" fillId="0" borderId="42" xfId="1" applyFont="1" applyFill="1" applyBorder="1" applyAlignment="1"/>
    <xf numFmtId="0" fontId="4" fillId="0" borderId="43" xfId="1" applyFont="1" applyFill="1" applyBorder="1" applyAlignment="1">
      <alignment horizontal="center"/>
    </xf>
    <xf numFmtId="0" fontId="4" fillId="0" borderId="41" xfId="1" applyFont="1" applyFill="1" applyBorder="1" applyAlignment="1">
      <alignment horizontal="center"/>
    </xf>
    <xf numFmtId="165" fontId="9" fillId="0" borderId="42" xfId="1" applyNumberFormat="1" applyFont="1" applyFill="1" applyBorder="1" applyAlignment="1"/>
    <xf numFmtId="0" fontId="9" fillId="0" borderId="42" xfId="1" applyFont="1" applyFill="1" applyBorder="1" applyAlignment="1"/>
    <xf numFmtId="0" fontId="9" fillId="0" borderId="43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/>
    </xf>
    <xf numFmtId="165" fontId="5" fillId="0" borderId="44" xfId="2" applyNumberFormat="1" applyFont="1" applyBorder="1"/>
    <xf numFmtId="165" fontId="5" fillId="0" borderId="44" xfId="6" applyNumberFormat="1" applyFont="1" applyBorder="1"/>
    <xf numFmtId="2" fontId="25" fillId="0" borderId="30" xfId="0" applyNumberFormat="1" applyFont="1" applyBorder="1" applyAlignment="1">
      <alignment vertical="center" wrapText="1"/>
    </xf>
    <xf numFmtId="0" fontId="4" fillId="2" borderId="25" xfId="5" applyFont="1" applyFill="1" applyBorder="1" applyAlignment="1">
      <alignment horizontal="center" vertical="center" wrapText="1"/>
    </xf>
    <xf numFmtId="165" fontId="4" fillId="0" borderId="42" xfId="6" applyNumberFormat="1" applyFont="1" applyBorder="1"/>
    <xf numFmtId="164" fontId="5" fillId="4" borderId="5" xfId="6" applyFont="1" applyFill="1" applyBorder="1"/>
    <xf numFmtId="165" fontId="4" fillId="0" borderId="80" xfId="5" applyNumberFormat="1" applyFont="1" applyFill="1" applyBorder="1"/>
    <xf numFmtId="0" fontId="4" fillId="0" borderId="17" xfId="5" applyFont="1" applyBorder="1" applyAlignment="1">
      <alignment horizontal="left" indent="2"/>
    </xf>
    <xf numFmtId="0" fontId="4" fillId="0" borderId="4" xfId="5" applyFont="1" applyBorder="1" applyAlignment="1">
      <alignment horizontal="center" vertical="center"/>
    </xf>
    <xf numFmtId="2" fontId="23" fillId="0" borderId="34" xfId="0" applyNumberFormat="1" applyFont="1" applyBorder="1"/>
    <xf numFmtId="9" fontId="23" fillId="0" borderId="99" xfId="0" applyNumberFormat="1" applyFont="1" applyBorder="1"/>
    <xf numFmtId="165" fontId="4" fillId="0" borderId="80" xfId="6" applyNumberFormat="1" applyFont="1" applyFill="1" applyBorder="1"/>
    <xf numFmtId="0" fontId="4" fillId="0" borderId="100" xfId="1" applyFont="1" applyBorder="1" applyAlignment="1">
      <alignment horizontal="center" vertical="center"/>
    </xf>
    <xf numFmtId="165" fontId="4" fillId="0" borderId="90" xfId="6" applyNumberFormat="1" applyFont="1" applyBorder="1"/>
    <xf numFmtId="165" fontId="5" fillId="6" borderId="5" xfId="2" applyNumberFormat="1" applyFont="1" applyFill="1" applyBorder="1"/>
    <xf numFmtId="164" fontId="12" fillId="0" borderId="18" xfId="2" applyFont="1" applyBorder="1"/>
    <xf numFmtId="165" fontId="4" fillId="0" borderId="80" xfId="2" applyNumberFormat="1" applyFont="1" applyBorder="1"/>
    <xf numFmtId="165" fontId="4" fillId="0" borderId="80" xfId="2" applyNumberFormat="1" applyFont="1" applyFill="1" applyBorder="1"/>
    <xf numFmtId="176" fontId="17" fillId="12" borderId="31" xfId="0" applyNumberFormat="1" applyFont="1" applyFill="1" applyBorder="1" applyAlignment="1">
      <alignment horizontal="center"/>
    </xf>
    <xf numFmtId="176" fontId="17" fillId="12" borderId="18" xfId="0" applyNumberFormat="1" applyFont="1" applyFill="1" applyBorder="1" applyAlignment="1">
      <alignment horizontal="center"/>
    </xf>
    <xf numFmtId="176" fontId="17" fillId="12" borderId="80" xfId="0" applyNumberFormat="1" applyFont="1" applyFill="1" applyBorder="1" applyAlignment="1">
      <alignment horizontal="center"/>
    </xf>
    <xf numFmtId="176" fontId="17" fillId="12" borderId="21" xfId="0" applyNumberFormat="1" applyFont="1" applyFill="1" applyBorder="1" applyAlignment="1">
      <alignment horizontal="center"/>
    </xf>
    <xf numFmtId="0" fontId="34" fillId="11" borderId="31" xfId="0" applyFont="1" applyFill="1" applyBorder="1" applyAlignment="1">
      <alignment horizontal="center" vertical="center"/>
    </xf>
    <xf numFmtId="0" fontId="34" fillId="11" borderId="79" xfId="0" applyFont="1" applyFill="1" applyBorder="1" applyAlignment="1">
      <alignment horizontal="center" vertical="center"/>
    </xf>
    <xf numFmtId="164" fontId="35" fillId="11" borderId="89" xfId="5" applyNumberFormat="1" applyFont="1" applyFill="1" applyBorder="1" applyAlignment="1">
      <alignment horizontal="center" vertical="center" wrapText="1"/>
    </xf>
    <xf numFmtId="164" fontId="35" fillId="11" borderId="82" xfId="5" applyNumberFormat="1" applyFont="1" applyFill="1" applyBorder="1" applyAlignment="1">
      <alignment horizontal="center" vertical="center" wrapText="1"/>
    </xf>
    <xf numFmtId="164" fontId="4" fillId="0" borderId="0" xfId="1" applyNumberFormat="1" applyFont="1" applyFill="1"/>
    <xf numFmtId="9" fontId="0" fillId="0" borderId="0" xfId="8" applyNumberFormat="1" applyFont="1" applyBorder="1"/>
    <xf numFmtId="164" fontId="35" fillId="11" borderId="1" xfId="5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176" fontId="17" fillId="12" borderId="1" xfId="0" applyNumberFormat="1" applyFont="1" applyFill="1" applyBorder="1" applyAlignment="1">
      <alignment horizontal="center"/>
    </xf>
    <xf numFmtId="0" fontId="4" fillId="0" borderId="82" xfId="1" applyFont="1" applyFill="1" applyBorder="1" applyAlignment="1">
      <alignment horizontal="center" vertical="center"/>
    </xf>
    <xf numFmtId="165" fontId="4" fillId="6" borderId="42" xfId="6" applyNumberFormat="1" applyFont="1" applyFill="1" applyBorder="1"/>
    <xf numFmtId="165" fontId="4" fillId="0" borderId="42" xfId="2" applyNumberFormat="1" applyFont="1" applyBorder="1"/>
    <xf numFmtId="0" fontId="4" fillId="0" borderId="82" xfId="5" applyFont="1" applyFill="1" applyBorder="1" applyAlignment="1">
      <alignment horizontal="center" vertical="center"/>
    </xf>
    <xf numFmtId="165" fontId="4" fillId="6" borderId="80" xfId="6" applyNumberFormat="1" applyFont="1" applyFill="1" applyBorder="1"/>
    <xf numFmtId="165" fontId="4" fillId="0" borderId="21" xfId="5" applyNumberFormat="1" applyFont="1" applyFill="1" applyBorder="1" applyAlignment="1"/>
    <xf numFmtId="0" fontId="4" fillId="0" borderId="21" xfId="5" applyFont="1" applyFill="1" applyBorder="1" applyAlignment="1"/>
    <xf numFmtId="165" fontId="4" fillId="0" borderId="21" xfId="1" applyNumberFormat="1" applyFont="1" applyFill="1" applyBorder="1" applyAlignment="1"/>
    <xf numFmtId="0" fontId="4" fillId="0" borderId="21" xfId="1" applyFont="1" applyFill="1" applyBorder="1" applyAlignment="1"/>
    <xf numFmtId="165" fontId="9" fillId="0" borderId="21" xfId="1" applyNumberFormat="1" applyFont="1" applyFill="1" applyBorder="1" applyAlignment="1"/>
    <xf numFmtId="0" fontId="9" fillId="0" borderId="21" xfId="1" applyFont="1" applyFill="1" applyBorder="1" applyAlignment="1"/>
    <xf numFmtId="165" fontId="5" fillId="0" borderId="18" xfId="6" applyNumberFormat="1" applyFont="1" applyFill="1" applyBorder="1"/>
    <xf numFmtId="165" fontId="5" fillId="0" borderId="18" xfId="2" applyNumberFormat="1" applyFont="1" applyFill="1" applyBorder="1"/>
    <xf numFmtId="164" fontId="5" fillId="0" borderId="5" xfId="5" applyNumberFormat="1" applyFont="1" applyBorder="1" applyAlignment="1">
      <alignment horizontal="left" indent="3"/>
    </xf>
    <xf numFmtId="164" fontId="5" fillId="0" borderId="5" xfId="1" applyNumberFormat="1" applyFont="1" applyBorder="1" applyAlignment="1">
      <alignment horizontal="left" indent="3"/>
    </xf>
    <xf numFmtId="164" fontId="21" fillId="0" borderId="18" xfId="2" applyFont="1" applyBorder="1" applyAlignment="1"/>
    <xf numFmtId="165" fontId="5" fillId="6" borderId="1" xfId="2" applyNumberFormat="1" applyFont="1" applyFill="1" applyBorder="1"/>
    <xf numFmtId="0" fontId="4" fillId="0" borderId="10" xfId="5" applyFont="1" applyBorder="1"/>
    <xf numFmtId="0" fontId="4" fillId="0" borderId="0" xfId="5" applyFont="1" applyBorder="1"/>
    <xf numFmtId="168" fontId="4" fillId="0" borderId="0" xfId="5" applyNumberFormat="1" applyFont="1" applyBorder="1"/>
    <xf numFmtId="164" fontId="4" fillId="0" borderId="0" xfId="5" applyNumberFormat="1" applyFont="1" applyBorder="1"/>
    <xf numFmtId="168" fontId="4" fillId="0" borderId="0" xfId="6" applyNumberFormat="1" applyFont="1" applyBorder="1"/>
    <xf numFmtId="0" fontId="5" fillId="0" borderId="0" xfId="5" applyFont="1" applyBorder="1"/>
    <xf numFmtId="164" fontId="5" fillId="0" borderId="0" xfId="6" applyFont="1" applyBorder="1" applyAlignment="1">
      <alignment horizontal="left"/>
    </xf>
    <xf numFmtId="164" fontId="4" fillId="0" borderId="0" xfId="6" applyFont="1" applyBorder="1" applyAlignment="1">
      <alignment horizontal="left"/>
    </xf>
    <xf numFmtId="164" fontId="4" fillId="0" borderId="0" xfId="6" applyFont="1" applyFill="1" applyBorder="1" applyAlignment="1">
      <alignment horizontal="left"/>
    </xf>
    <xf numFmtId="165" fontId="4" fillId="0" borderId="0" xfId="5" applyNumberFormat="1" applyFont="1" applyFill="1" applyBorder="1"/>
    <xf numFmtId="164" fontId="4" fillId="0" borderId="27" xfId="6" applyFont="1" applyFill="1" applyBorder="1" applyAlignment="1">
      <alignment horizontal="left"/>
    </xf>
    <xf numFmtId="0" fontId="4" fillId="0" borderId="27" xfId="5" applyFont="1" applyFill="1" applyBorder="1"/>
    <xf numFmtId="0" fontId="4" fillId="0" borderId="10" xfId="1" applyFont="1" applyBorder="1"/>
    <xf numFmtId="0" fontId="4" fillId="0" borderId="0" xfId="1" applyFont="1" applyBorder="1"/>
    <xf numFmtId="168" fontId="4" fillId="0" borderId="0" xfId="1" applyNumberFormat="1" applyFont="1" applyBorder="1"/>
    <xf numFmtId="164" fontId="4" fillId="0" borderId="0" xfId="1" applyNumberFormat="1" applyFont="1" applyBorder="1"/>
    <xf numFmtId="168" fontId="4" fillId="0" borderId="0" xfId="2" applyNumberFormat="1" applyFont="1" applyBorder="1"/>
    <xf numFmtId="0" fontId="5" fillId="0" borderId="0" xfId="1" applyFont="1" applyBorder="1"/>
    <xf numFmtId="164" fontId="5" fillId="0" borderId="0" xfId="2" applyFont="1" applyBorder="1" applyAlignment="1">
      <alignment horizontal="left"/>
    </xf>
    <xf numFmtId="164" fontId="4" fillId="0" borderId="0" xfId="2" applyFont="1" applyBorder="1" applyAlignment="1">
      <alignment horizontal="left"/>
    </xf>
    <xf numFmtId="164" fontId="4" fillId="0" borderId="0" xfId="2" applyFont="1" applyFill="1" applyBorder="1" applyAlignment="1">
      <alignment horizontal="left"/>
    </xf>
    <xf numFmtId="164" fontId="4" fillId="0" borderId="27" xfId="2" applyFont="1" applyFill="1" applyBorder="1" applyAlignment="1">
      <alignment horizontal="left"/>
    </xf>
    <xf numFmtId="0" fontId="4" fillId="0" borderId="27" xfId="1" applyFont="1" applyFill="1" applyBorder="1"/>
    <xf numFmtId="164" fontId="5" fillId="0" borderId="0" xfId="1" applyNumberFormat="1" applyFont="1" applyBorder="1"/>
    <xf numFmtId="0" fontId="4" fillId="0" borderId="0" xfId="1" applyFont="1" applyBorder="1" applyAlignment="1">
      <alignment horizontal="center"/>
    </xf>
    <xf numFmtId="3" fontId="4" fillId="0" borderId="0" xfId="1" applyNumberFormat="1" applyFont="1" applyBorder="1"/>
    <xf numFmtId="3" fontId="4" fillId="0" borderId="0" xfId="1" applyNumberFormat="1" applyFont="1" applyFill="1" applyBorder="1"/>
    <xf numFmtId="3" fontId="5" fillId="0" borderId="0" xfId="1" applyNumberFormat="1" applyFont="1" applyBorder="1"/>
    <xf numFmtId="0" fontId="4" fillId="0" borderId="0" xfId="5" applyFont="1" applyBorder="1" applyAlignment="1">
      <alignment horizontal="center"/>
    </xf>
    <xf numFmtId="3" fontId="4" fillId="0" borderId="0" xfId="5" applyNumberFormat="1" applyFont="1" applyBorder="1"/>
    <xf numFmtId="3" fontId="4" fillId="0" borderId="0" xfId="5" applyNumberFormat="1" applyFont="1" applyFill="1" applyBorder="1"/>
    <xf numFmtId="3" fontId="5" fillId="0" borderId="0" xfId="5" applyNumberFormat="1" applyFont="1" applyBorder="1"/>
    <xf numFmtId="164" fontId="4" fillId="0" borderId="0" xfId="6" applyFont="1" applyBorder="1"/>
    <xf numFmtId="3" fontId="4" fillId="6" borderId="0" xfId="5" applyNumberFormat="1" applyFont="1" applyFill="1" applyBorder="1"/>
    <xf numFmtId="168" fontId="4" fillId="0" borderId="3" xfId="2" applyNumberFormat="1" applyFont="1" applyFill="1" applyBorder="1"/>
    <xf numFmtId="165" fontId="4" fillId="0" borderId="3" xfId="2" applyNumberFormat="1" applyFont="1" applyFill="1" applyBorder="1"/>
    <xf numFmtId="164" fontId="4" fillId="0" borderId="3" xfId="2" applyNumberFormat="1" applyFont="1" applyFill="1" applyBorder="1"/>
    <xf numFmtId="164" fontId="4" fillId="0" borderId="1" xfId="2" applyNumberFormat="1" applyFont="1" applyFill="1" applyBorder="1"/>
    <xf numFmtId="2" fontId="0" fillId="13" borderId="1" xfId="0" applyNumberFormat="1" applyFill="1" applyBorder="1" applyAlignment="1">
      <alignment wrapText="1"/>
    </xf>
    <xf numFmtId="2" fontId="4" fillId="0" borderId="1" xfId="5" applyNumberFormat="1" applyFont="1" applyBorder="1"/>
    <xf numFmtId="0" fontId="4" fillId="2" borderId="1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168" fontId="5" fillId="0" borderId="18" xfId="6" applyNumberFormat="1" applyFont="1" applyBorder="1"/>
    <xf numFmtId="0" fontId="4" fillId="2" borderId="1" xfId="5" applyFont="1" applyFill="1" applyBorder="1" applyAlignment="1">
      <alignment horizontal="center" vertical="center" wrapText="1"/>
    </xf>
    <xf numFmtId="0" fontId="4" fillId="0" borderId="41" xfId="5" applyFont="1" applyFill="1" applyBorder="1" applyAlignment="1">
      <alignment horizontal="center" vertical="center"/>
    </xf>
    <xf numFmtId="165" fontId="4" fillId="0" borderId="42" xfId="6" applyNumberFormat="1" applyFont="1" applyFill="1" applyBorder="1"/>
    <xf numFmtId="0" fontId="4" fillId="0" borderId="41" xfId="1" applyFont="1" applyFill="1" applyBorder="1" applyAlignment="1">
      <alignment horizontal="center" vertical="center"/>
    </xf>
    <xf numFmtId="165" fontId="4" fillId="0" borderId="42" xfId="2" applyNumberFormat="1" applyFont="1" applyFill="1" applyBorder="1"/>
    <xf numFmtId="164" fontId="4" fillId="0" borderId="16" xfId="5" applyNumberFormat="1" applyFont="1" applyFill="1" applyBorder="1" applyAlignment="1">
      <alignment horizontal="left" indent="2"/>
    </xf>
    <xf numFmtId="0" fontId="4" fillId="0" borderId="14" xfId="5" applyFont="1" applyFill="1" applyBorder="1" applyAlignment="1">
      <alignment horizontal="center" vertical="center"/>
    </xf>
    <xf numFmtId="165" fontId="4" fillId="6" borderId="24" xfId="6" applyNumberFormat="1" applyFont="1" applyFill="1" applyBorder="1"/>
    <xf numFmtId="165" fontId="4" fillId="0" borderId="16" xfId="6" applyNumberFormat="1" applyFont="1" applyFill="1" applyBorder="1"/>
    <xf numFmtId="165" fontId="4" fillId="0" borderId="15" xfId="6" applyNumberFormat="1" applyFont="1" applyFill="1" applyBorder="1"/>
    <xf numFmtId="9" fontId="4" fillId="0" borderId="14" xfId="7" applyFont="1" applyFill="1" applyBorder="1" applyAlignment="1">
      <alignment horizontal="center"/>
    </xf>
    <xf numFmtId="165" fontId="4" fillId="0" borderId="14" xfId="6" applyNumberFormat="1" applyFont="1" applyBorder="1"/>
    <xf numFmtId="165" fontId="4" fillId="0" borderId="24" xfId="6" applyNumberFormat="1" applyFont="1" applyFill="1" applyBorder="1"/>
    <xf numFmtId="165" fontId="4" fillId="0" borderId="24" xfId="5" applyNumberFormat="1" applyFont="1" applyFill="1" applyBorder="1" applyAlignment="1"/>
    <xf numFmtId="0" fontId="4" fillId="0" borderId="24" xfId="5" applyFont="1" applyFill="1" applyBorder="1" applyAlignment="1"/>
    <xf numFmtId="0" fontId="4" fillId="0" borderId="16" xfId="5" applyFont="1" applyFill="1" applyBorder="1" applyAlignment="1">
      <alignment horizontal="center"/>
    </xf>
    <xf numFmtId="0" fontId="4" fillId="0" borderId="14" xfId="5" applyFont="1" applyFill="1" applyBorder="1" applyAlignment="1">
      <alignment horizontal="center"/>
    </xf>
    <xf numFmtId="0" fontId="4" fillId="0" borderId="14" xfId="1" applyFont="1" applyFill="1" applyBorder="1" applyAlignment="1">
      <alignment horizontal="center" vertical="center"/>
    </xf>
    <xf numFmtId="165" fontId="4" fillId="0" borderId="24" xfId="2" applyNumberFormat="1" applyFont="1" applyBorder="1"/>
    <xf numFmtId="165" fontId="4" fillId="0" borderId="16" xfId="2" applyNumberFormat="1" applyFont="1" applyFill="1" applyBorder="1"/>
    <xf numFmtId="165" fontId="4" fillId="0" borderId="15" xfId="2" applyNumberFormat="1" applyFont="1" applyFill="1" applyBorder="1"/>
    <xf numFmtId="165" fontId="4" fillId="0" borderId="15" xfId="2" applyNumberFormat="1" applyFont="1" applyBorder="1"/>
    <xf numFmtId="9" fontId="4" fillId="0" borderId="14" xfId="3" applyFont="1" applyFill="1" applyBorder="1" applyAlignment="1">
      <alignment horizontal="center"/>
    </xf>
    <xf numFmtId="165" fontId="4" fillId="0" borderId="14" xfId="2" applyNumberFormat="1" applyFont="1" applyBorder="1"/>
    <xf numFmtId="165" fontId="4" fillId="0" borderId="24" xfId="2" applyNumberFormat="1" applyFont="1" applyFill="1" applyBorder="1"/>
    <xf numFmtId="165" fontId="4" fillId="0" borderId="24" xfId="1" applyNumberFormat="1" applyFont="1" applyFill="1" applyBorder="1" applyAlignment="1"/>
    <xf numFmtId="0" fontId="4" fillId="0" borderId="24" xfId="1" applyFont="1" applyFill="1" applyBorder="1" applyAlignment="1"/>
    <xf numFmtId="0" fontId="4" fillId="0" borderId="16" xfId="1" applyFont="1" applyFill="1" applyBorder="1" applyAlignment="1">
      <alignment horizontal="center"/>
    </xf>
    <xf numFmtId="0" fontId="4" fillId="0" borderId="14" xfId="1" applyFont="1" applyFill="1" applyBorder="1" applyAlignment="1">
      <alignment horizontal="center"/>
    </xf>
    <xf numFmtId="165" fontId="9" fillId="0" borderId="24" xfId="1" applyNumberFormat="1" applyFont="1" applyFill="1" applyBorder="1" applyAlignment="1"/>
    <xf numFmtId="0" fontId="9" fillId="0" borderId="24" xfId="1" applyFont="1" applyFill="1" applyBorder="1" applyAlignment="1"/>
    <xf numFmtId="0" fontId="9" fillId="0" borderId="16" xfId="1" applyFont="1" applyFill="1" applyBorder="1" applyAlignment="1">
      <alignment horizontal="center"/>
    </xf>
    <xf numFmtId="0" fontId="9" fillId="0" borderId="14" xfId="1" applyFont="1" applyFill="1" applyBorder="1" applyAlignment="1">
      <alignment horizontal="center"/>
    </xf>
    <xf numFmtId="165" fontId="5" fillId="0" borderId="15" xfId="2" applyNumberFormat="1" applyFont="1" applyBorder="1"/>
    <xf numFmtId="165" fontId="5" fillId="0" borderId="15" xfId="6" applyNumberFormat="1" applyFont="1" applyBorder="1"/>
    <xf numFmtId="165" fontId="4" fillId="0" borderId="4" xfId="6" applyNumberFormat="1" applyFont="1" applyBorder="1"/>
    <xf numFmtId="164" fontId="22" fillId="0" borderId="5" xfId="1" applyNumberFormat="1" applyFont="1" applyBorder="1" applyAlignment="1">
      <alignment horizontal="left" indent="1"/>
    </xf>
    <xf numFmtId="0" fontId="22" fillId="0" borderId="2" xfId="1" applyFont="1" applyBorder="1" applyAlignment="1">
      <alignment horizontal="center" vertical="center"/>
    </xf>
    <xf numFmtId="165" fontId="22" fillId="0" borderId="1" xfId="2" applyNumberFormat="1" applyFont="1" applyBorder="1"/>
    <xf numFmtId="165" fontId="22" fillId="0" borderId="2" xfId="2" applyNumberFormat="1" applyFont="1" applyBorder="1"/>
    <xf numFmtId="165" fontId="22" fillId="0" borderId="18" xfId="2" applyNumberFormat="1" applyFont="1" applyFill="1" applyBorder="1"/>
    <xf numFmtId="164" fontId="22" fillId="0" borderId="5" xfId="5" applyNumberFormat="1" applyFont="1" applyBorder="1" applyAlignment="1">
      <alignment horizontal="left" indent="1"/>
    </xf>
    <xf numFmtId="0" fontId="22" fillId="0" borderId="2" xfId="5" applyFont="1" applyBorder="1" applyAlignment="1">
      <alignment horizontal="center" vertical="center"/>
    </xf>
    <xf numFmtId="165" fontId="22" fillId="0" borderId="1" xfId="6" applyNumberFormat="1" applyFont="1" applyBorder="1"/>
    <xf numFmtId="165" fontId="22" fillId="0" borderId="2" xfId="6" applyNumberFormat="1" applyFont="1" applyBorder="1"/>
    <xf numFmtId="0" fontId="4" fillId="0" borderId="103" xfId="5" applyFont="1" applyBorder="1" applyAlignment="1">
      <alignment horizontal="left" indent="2"/>
    </xf>
    <xf numFmtId="0" fontId="4" fillId="0" borderId="105" xfId="5" applyFont="1" applyBorder="1" applyAlignment="1">
      <alignment horizontal="center" vertical="center"/>
    </xf>
    <xf numFmtId="164" fontId="12" fillId="0" borderId="97" xfId="6" applyFont="1" applyBorder="1"/>
    <xf numFmtId="4" fontId="4" fillId="6" borderId="103" xfId="6" applyNumberFormat="1" applyFont="1" applyFill="1" applyBorder="1"/>
    <xf numFmtId="4" fontId="4" fillId="0" borderId="100" xfId="6" applyNumberFormat="1" applyFont="1" applyBorder="1"/>
    <xf numFmtId="4" fontId="4" fillId="0" borderId="100" xfId="5" applyNumberFormat="1" applyFont="1" applyBorder="1"/>
    <xf numFmtId="9" fontId="4" fillId="0" borderId="102" xfId="7" applyFont="1" applyBorder="1"/>
    <xf numFmtId="4" fontId="4" fillId="0" borderId="39" xfId="5" applyNumberFormat="1" applyFont="1" applyBorder="1"/>
    <xf numFmtId="0" fontId="4" fillId="0" borderId="103" xfId="1" applyFont="1" applyBorder="1" applyAlignment="1">
      <alignment horizontal="left" indent="2"/>
    </xf>
    <xf numFmtId="169" fontId="4" fillId="0" borderId="103" xfId="6" applyNumberFormat="1" applyFont="1" applyBorder="1"/>
    <xf numFmtId="4" fontId="4" fillId="0" borderId="101" xfId="5" applyNumberFormat="1" applyFont="1" applyBorder="1"/>
    <xf numFmtId="0" fontId="4" fillId="0" borderId="105" xfId="1" applyFont="1" applyBorder="1" applyAlignment="1">
      <alignment horizontal="center" vertical="center"/>
    </xf>
    <xf numFmtId="164" fontId="12" fillId="0" borderId="97" xfId="2" applyFont="1" applyBorder="1"/>
    <xf numFmtId="0" fontId="4" fillId="0" borderId="100" xfId="5" applyFont="1" applyBorder="1" applyAlignment="1">
      <alignment horizontal="center" vertical="center"/>
    </xf>
    <xf numFmtId="0" fontId="4" fillId="0" borderId="28" xfId="5" applyFont="1" applyBorder="1" applyAlignment="1">
      <alignment horizontal="left" indent="2"/>
    </xf>
    <xf numFmtId="0" fontId="4" fillId="0" borderId="95" xfId="5" applyFont="1" applyBorder="1" applyAlignment="1">
      <alignment horizontal="center" vertical="center"/>
    </xf>
    <xf numFmtId="165" fontId="5" fillId="0" borderId="4" xfId="6" applyNumberFormat="1" applyFont="1" applyBorder="1"/>
    <xf numFmtId="164" fontId="9" fillId="0" borderId="3" xfId="2" applyNumberFormat="1" applyFont="1" applyFill="1" applyBorder="1"/>
    <xf numFmtId="0" fontId="4" fillId="2" borderId="1" xfId="5" applyFont="1" applyFill="1" applyBorder="1" applyAlignment="1">
      <alignment horizontal="center" vertical="center" wrapText="1"/>
    </xf>
    <xf numFmtId="2" fontId="4" fillId="0" borderId="0" xfId="5" applyNumberFormat="1" applyFont="1" applyFill="1" applyBorder="1"/>
    <xf numFmtId="2" fontId="4" fillId="0" borderId="0" xfId="1" applyNumberFormat="1" applyFont="1" applyFill="1" applyBorder="1"/>
    <xf numFmtId="0" fontId="4" fillId="2" borderId="1" xfId="5" applyFont="1" applyFill="1" applyBorder="1" applyAlignment="1">
      <alignment horizontal="center" vertical="center" wrapText="1"/>
    </xf>
    <xf numFmtId="177" fontId="4" fillId="0" borderId="0" xfId="5" applyNumberFormat="1" applyFont="1" applyBorder="1"/>
    <xf numFmtId="0" fontId="4" fillId="2" borderId="1" xfId="5" applyFont="1" applyFill="1" applyBorder="1" applyAlignment="1">
      <alignment vertical="center" wrapText="1"/>
    </xf>
    <xf numFmtId="0" fontId="4" fillId="0" borderId="1" xfId="1" applyFont="1" applyBorder="1"/>
    <xf numFmtId="0" fontId="4" fillId="0" borderId="1" xfId="5" applyFont="1" applyBorder="1"/>
    <xf numFmtId="165" fontId="4" fillId="0" borderId="1" xfId="5" applyNumberFormat="1" applyFont="1" applyBorder="1"/>
    <xf numFmtId="0" fontId="4" fillId="0" borderId="89" xfId="5" applyFont="1" applyBorder="1" applyAlignment="1">
      <alignment horizontal="center" vertical="center"/>
    </xf>
    <xf numFmtId="165" fontId="4" fillId="0" borderId="17" xfId="6" applyNumberFormat="1" applyFont="1" applyBorder="1"/>
    <xf numFmtId="165" fontId="4" fillId="0" borderId="17" xfId="2" applyNumberFormat="1" applyFont="1" applyBorder="1"/>
    <xf numFmtId="9" fontId="4" fillId="0" borderId="82" xfId="3" applyFont="1" applyBorder="1" applyAlignment="1">
      <alignment horizontal="center"/>
    </xf>
    <xf numFmtId="165" fontId="4" fillId="0" borderId="90" xfId="2" applyNumberFormat="1" applyFont="1" applyBorder="1"/>
    <xf numFmtId="0" fontId="14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left" vertical="top" wrapText="1"/>
    </xf>
    <xf numFmtId="9" fontId="4" fillId="0" borderId="83" xfId="3" applyFont="1" applyBorder="1" applyAlignment="1">
      <alignment horizontal="center"/>
    </xf>
    <xf numFmtId="165" fontId="4" fillId="0" borderId="89" xfId="9" applyNumberFormat="1" applyFont="1" applyBorder="1" applyAlignment="1">
      <alignment horizontal="center"/>
    </xf>
    <xf numFmtId="0" fontId="4" fillId="0" borderId="82" xfId="1" applyFont="1" applyBorder="1" applyAlignment="1">
      <alignment horizontal="left" vertical="top" wrapText="1"/>
    </xf>
    <xf numFmtId="10" fontId="7" fillId="0" borderId="81" xfId="3" applyNumberFormat="1" applyFont="1" applyBorder="1" applyAlignment="1">
      <alignment horizontal="left" indent="2"/>
    </xf>
    <xf numFmtId="165" fontId="4" fillId="0" borderId="5" xfId="9" applyNumberFormat="1" applyFont="1" applyBorder="1" applyAlignment="1">
      <alignment horizontal="center"/>
    </xf>
    <xf numFmtId="164" fontId="4" fillId="0" borderId="3" xfId="2" applyFont="1" applyBorder="1"/>
    <xf numFmtId="0" fontId="14" fillId="2" borderId="1" xfId="5" applyFont="1" applyFill="1" applyBorder="1" applyAlignment="1">
      <alignment horizontal="center" vertical="center" wrapText="1"/>
    </xf>
    <xf numFmtId="0" fontId="4" fillId="0" borderId="2" xfId="5" applyFont="1" applyBorder="1" applyAlignment="1">
      <alignment horizontal="left" vertical="top" wrapText="1"/>
    </xf>
    <xf numFmtId="0" fontId="4" fillId="0" borderId="82" xfId="5" applyFont="1" applyBorder="1" applyAlignment="1">
      <alignment horizontal="left" vertical="top" wrapText="1"/>
    </xf>
    <xf numFmtId="165" fontId="9" fillId="0" borderId="2" xfId="6" applyNumberFormat="1" applyFont="1" applyFill="1" applyBorder="1"/>
    <xf numFmtId="10" fontId="7" fillId="0" borderId="81" xfId="7" applyNumberFormat="1" applyFont="1" applyBorder="1" applyAlignment="1">
      <alignment horizontal="left" indent="2"/>
    </xf>
    <xf numFmtId="9" fontId="4" fillId="0" borderId="83" xfId="7" applyFont="1" applyBorder="1" applyAlignment="1">
      <alignment horizontal="center"/>
    </xf>
    <xf numFmtId="164" fontId="4" fillId="0" borderId="1" xfId="5" applyNumberFormat="1" applyFont="1" applyBorder="1"/>
    <xf numFmtId="165" fontId="4" fillId="0" borderId="1" xfId="9" applyNumberFormat="1" applyFont="1" applyBorder="1"/>
    <xf numFmtId="0" fontId="4" fillId="0" borderId="44" xfId="5" applyFont="1" applyFill="1" applyBorder="1"/>
    <xf numFmtId="0" fontId="14" fillId="0" borderId="44" xfId="1" applyFont="1" applyBorder="1"/>
    <xf numFmtId="0" fontId="14" fillId="0" borderId="44" xfId="5" applyFont="1" applyBorder="1"/>
    <xf numFmtId="0" fontId="4" fillId="2" borderId="9" xfId="5" applyFont="1" applyFill="1" applyBorder="1" applyAlignment="1">
      <alignment horizontal="center" vertical="center" wrapText="1"/>
    </xf>
    <xf numFmtId="2" fontId="4" fillId="0" borderId="99" xfId="5" applyNumberFormat="1" applyFont="1" applyFill="1" applyBorder="1"/>
    <xf numFmtId="164" fontId="14" fillId="0" borderId="5" xfId="5" applyNumberFormat="1" applyFont="1" applyBorder="1" applyAlignment="1">
      <alignment horizontal="left" indent="3"/>
    </xf>
    <xf numFmtId="164" fontId="14" fillId="0" borderId="5" xfId="1" applyNumberFormat="1" applyFont="1" applyBorder="1" applyAlignment="1">
      <alignment horizontal="left" indent="3"/>
    </xf>
    <xf numFmtId="164" fontId="14" fillId="0" borderId="5" xfId="1" applyNumberFormat="1" applyFont="1" applyBorder="1" applyAlignment="1">
      <alignment horizontal="left" indent="2"/>
    </xf>
    <xf numFmtId="164" fontId="14" fillId="0" borderId="5" xfId="5" applyNumberFormat="1" applyFont="1" applyBorder="1" applyAlignment="1">
      <alignment horizontal="left" indent="2"/>
    </xf>
    <xf numFmtId="165" fontId="5" fillId="0" borderId="17" xfId="2" applyNumberFormat="1" applyFont="1" applyBorder="1"/>
    <xf numFmtId="164" fontId="35" fillId="11" borderId="1" xfId="5" applyNumberFormat="1" applyFont="1" applyFill="1" applyBorder="1" applyAlignment="1">
      <alignment horizontal="center" vertical="center" wrapText="1"/>
    </xf>
    <xf numFmtId="9" fontId="4" fillId="0" borderId="2" xfId="8" applyFont="1" applyBorder="1"/>
    <xf numFmtId="9" fontId="4" fillId="0" borderId="102" xfId="8" applyFont="1" applyBorder="1"/>
    <xf numFmtId="9" fontId="4" fillId="0" borderId="7" xfId="3" applyFont="1" applyBorder="1" applyAlignment="1">
      <alignment horizontal="center"/>
    </xf>
    <xf numFmtId="9" fontId="5" fillId="0" borderId="7" xfId="7" applyFont="1" applyBorder="1" applyAlignment="1">
      <alignment horizontal="center"/>
    </xf>
    <xf numFmtId="165" fontId="9" fillId="0" borderId="5" xfId="2" applyNumberFormat="1" applyFont="1" applyBorder="1"/>
    <xf numFmtId="165" fontId="9" fillId="0" borderId="33" xfId="6" applyNumberFormat="1" applyFont="1" applyBorder="1"/>
    <xf numFmtId="0" fontId="4" fillId="0" borderId="8" xfId="5" applyFont="1" applyBorder="1"/>
    <xf numFmtId="0" fontId="4" fillId="0" borderId="32" xfId="5" applyFont="1" applyBorder="1"/>
    <xf numFmtId="164" fontId="5" fillId="4" borderId="5" xfId="2" applyFont="1" applyFill="1" applyBorder="1"/>
    <xf numFmtId="9" fontId="4" fillId="0" borderId="41" xfId="7" applyFont="1" applyBorder="1" applyAlignment="1">
      <alignment horizontal="center"/>
    </xf>
    <xf numFmtId="164" fontId="4" fillId="0" borderId="18" xfId="2" applyNumberFormat="1" applyFont="1" applyBorder="1" applyAlignment="1"/>
    <xf numFmtId="165" fontId="5" fillId="0" borderId="19" xfId="6" applyNumberFormat="1" applyFont="1" applyBorder="1"/>
    <xf numFmtId="165" fontId="5" fillId="4" borderId="3" xfId="6" applyNumberFormat="1" applyFont="1" applyFill="1" applyBorder="1"/>
    <xf numFmtId="165" fontId="4" fillId="6" borderId="3" xfId="6" applyNumberFormat="1" applyFont="1" applyFill="1" applyBorder="1"/>
    <xf numFmtId="165" fontId="6" fillId="0" borderId="3" xfId="6" applyNumberFormat="1" applyFont="1" applyBorder="1"/>
    <xf numFmtId="165" fontId="35" fillId="0" borderId="3" xfId="6" applyNumberFormat="1" applyFont="1" applyBorder="1"/>
    <xf numFmtId="165" fontId="22" fillId="0" borderId="3" xfId="2" applyNumberFormat="1" applyFont="1" applyBorder="1"/>
    <xf numFmtId="165" fontId="4" fillId="0" borderId="3" xfId="6" applyNumberFormat="1" applyFont="1" applyFill="1" applyBorder="1"/>
    <xf numFmtId="165" fontId="4" fillId="0" borderId="45" xfId="6" applyNumberFormat="1" applyFont="1" applyFill="1" applyBorder="1"/>
    <xf numFmtId="165" fontId="4" fillId="0" borderId="90" xfId="6" applyNumberFormat="1" applyFont="1" applyFill="1" applyBorder="1"/>
    <xf numFmtId="9" fontId="14" fillId="0" borderId="2" xfId="7" applyFont="1" applyBorder="1" applyAlignment="1">
      <alignment horizontal="center"/>
    </xf>
    <xf numFmtId="9" fontId="6" fillId="0" borderId="2" xfId="7" applyFont="1" applyBorder="1" applyAlignment="1">
      <alignment horizontal="center"/>
    </xf>
    <xf numFmtId="9" fontId="4" fillId="0" borderId="2" xfId="7" applyFont="1" applyFill="1" applyBorder="1" applyAlignment="1">
      <alignment horizontal="center"/>
    </xf>
    <xf numFmtId="9" fontId="22" fillId="0" borderId="2" xfId="7" applyFont="1" applyBorder="1" applyAlignment="1">
      <alignment horizontal="center"/>
    </xf>
    <xf numFmtId="0" fontId="4" fillId="6" borderId="0" xfId="5" applyFont="1" applyFill="1" applyBorder="1" applyAlignment="1">
      <alignment horizontal="center"/>
    </xf>
    <xf numFmtId="1" fontId="0" fillId="0" borderId="89" xfId="0" applyNumberFormat="1" applyBorder="1"/>
    <xf numFmtId="1" fontId="0" fillId="3" borderId="0" xfId="0" applyNumberFormat="1" applyFill="1"/>
    <xf numFmtId="9" fontId="4" fillId="0" borderId="14" xfId="3" applyFont="1" applyBorder="1" applyAlignment="1">
      <alignment horizontal="center"/>
    </xf>
    <xf numFmtId="165" fontId="4" fillId="0" borderId="43" xfId="6" applyNumberFormat="1" applyFont="1" applyBorder="1"/>
    <xf numFmtId="0" fontId="4" fillId="0" borderId="14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4" xfId="1" applyFont="1" applyBorder="1" applyAlignment="1">
      <alignment horizontal="left" vertical="top" wrapText="1"/>
    </xf>
    <xf numFmtId="2" fontId="4" fillId="0" borderId="4" xfId="7" applyNumberFormat="1" applyFont="1" applyBorder="1" applyAlignment="1">
      <alignment horizontal="center"/>
    </xf>
    <xf numFmtId="165" fontId="4" fillId="0" borderId="4" xfId="9" applyNumberFormat="1" applyFont="1" applyBorder="1" applyAlignment="1">
      <alignment horizontal="center"/>
    </xf>
    <xf numFmtId="165" fontId="4" fillId="0" borderId="2" xfId="9" applyNumberFormat="1" applyFont="1" applyBorder="1" applyAlignment="1">
      <alignment horizontal="center"/>
    </xf>
    <xf numFmtId="165" fontId="4" fillId="0" borderId="82" xfId="9" applyNumberFormat="1" applyFont="1" applyBorder="1" applyAlignment="1">
      <alignment horizontal="center"/>
    </xf>
    <xf numFmtId="0" fontId="4" fillId="0" borderId="18" xfId="1" applyFont="1" applyBorder="1" applyAlignment="1">
      <alignment horizontal="left" vertical="top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164" fontId="12" fillId="0" borderId="2" xfId="2" applyFont="1" applyBorder="1"/>
    <xf numFmtId="164" fontId="12" fillId="0" borderId="102" xfId="2" applyFont="1" applyBorder="1"/>
    <xf numFmtId="171" fontId="4" fillId="0" borderId="0" xfId="1" applyNumberFormat="1" applyFont="1"/>
    <xf numFmtId="0" fontId="4" fillId="2" borderId="47" xfId="5" applyFont="1" applyFill="1" applyBorder="1" applyAlignment="1">
      <alignment horizontal="center" vertical="center" wrapText="1"/>
    </xf>
    <xf numFmtId="164" fontId="12" fillId="0" borderId="2" xfId="6" applyFont="1" applyBorder="1"/>
    <xf numFmtId="164" fontId="12" fillId="0" borderId="102" xfId="6" applyFont="1" applyBorder="1"/>
    <xf numFmtId="9" fontId="4" fillId="6" borderId="102" xfId="7" applyFont="1" applyFill="1" applyBorder="1"/>
    <xf numFmtId="0" fontId="4" fillId="2" borderId="12" xfId="5" applyFont="1" applyFill="1" applyBorder="1" applyAlignment="1">
      <alignment horizontal="center" vertical="center" wrapText="1"/>
    </xf>
    <xf numFmtId="0" fontId="4" fillId="2" borderId="47" xfId="5" applyFont="1" applyFill="1" applyBorder="1" applyAlignment="1">
      <alignment horizontal="center" vertical="center" wrapText="1"/>
    </xf>
    <xf numFmtId="178" fontId="4" fillId="0" borderId="0" xfId="6" applyNumberFormat="1" applyFont="1"/>
    <xf numFmtId="0" fontId="4" fillId="2" borderId="9" xfId="5" applyFont="1" applyFill="1" applyBorder="1" applyAlignment="1">
      <alignment horizontal="center" vertical="center" wrapText="1"/>
    </xf>
    <xf numFmtId="0" fontId="4" fillId="2" borderId="3" xfId="5" applyFont="1" applyFill="1" applyBorder="1" applyAlignment="1">
      <alignment horizontal="center" vertical="center" wrapText="1"/>
    </xf>
    <xf numFmtId="0" fontId="4" fillId="2" borderId="47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5" applyFont="1" applyFill="1" applyBorder="1" applyAlignment="1">
      <alignment horizontal="center" vertical="center" wrapText="1"/>
    </xf>
    <xf numFmtId="164" fontId="5" fillId="0" borderId="17" xfId="6" applyFont="1" applyFill="1" applyBorder="1" applyAlignment="1">
      <alignment horizontal="center"/>
    </xf>
    <xf numFmtId="164" fontId="5" fillId="0" borderId="4" xfId="6" applyFont="1" applyFill="1" applyBorder="1" applyAlignment="1">
      <alignment horizontal="center"/>
    </xf>
    <xf numFmtId="164" fontId="5" fillId="0" borderId="5" xfId="6" applyFont="1" applyFill="1" applyBorder="1" applyAlignment="1">
      <alignment horizontal="center"/>
    </xf>
    <xf numFmtId="164" fontId="5" fillId="0" borderId="2" xfId="6" applyFont="1" applyFill="1" applyBorder="1" applyAlignment="1">
      <alignment horizontal="center"/>
    </xf>
    <xf numFmtId="164" fontId="4" fillId="0" borderId="5" xfId="6" applyFont="1" applyFill="1" applyBorder="1" applyAlignment="1">
      <alignment horizontal="center"/>
    </xf>
    <xf numFmtId="164" fontId="4" fillId="0" borderId="2" xfId="6" applyFont="1" applyFill="1" applyBorder="1" applyAlignment="1">
      <alignment horizontal="center"/>
    </xf>
    <xf numFmtId="0" fontId="4" fillId="2" borderId="2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164" fontId="5" fillId="0" borderId="5" xfId="2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164" fontId="5" fillId="0" borderId="17" xfId="2" applyFont="1" applyFill="1" applyBorder="1" applyAlignment="1">
      <alignment horizontal="center"/>
    </xf>
    <xf numFmtId="164" fontId="5" fillId="0" borderId="4" xfId="2" applyFont="1" applyFill="1" applyBorder="1" applyAlignment="1">
      <alignment horizontal="center"/>
    </xf>
    <xf numFmtId="164" fontId="4" fillId="0" borderId="5" xfId="2" applyFont="1" applyFill="1" applyBorder="1" applyAlignment="1">
      <alignment horizontal="center"/>
    </xf>
    <xf numFmtId="164" fontId="4" fillId="0" borderId="2" xfId="2" applyFont="1" applyFill="1" applyBorder="1" applyAlignment="1">
      <alignment horizontal="center"/>
    </xf>
    <xf numFmtId="164" fontId="4" fillId="0" borderId="103" xfId="5" applyNumberFormat="1" applyFont="1" applyFill="1" applyBorder="1" applyAlignment="1">
      <alignment horizontal="left" indent="2"/>
    </xf>
    <xf numFmtId="0" fontId="4" fillId="0" borderId="102" xfId="1" applyFont="1" applyFill="1" applyBorder="1" applyAlignment="1">
      <alignment horizontal="center" vertical="center"/>
    </xf>
    <xf numFmtId="165" fontId="4" fillId="0" borderId="97" xfId="2" applyNumberFormat="1" applyFont="1" applyBorder="1"/>
    <xf numFmtId="165" fontId="4" fillId="0" borderId="103" xfId="2" applyNumberFormat="1" applyFont="1" applyFill="1" applyBorder="1"/>
    <xf numFmtId="165" fontId="4" fillId="0" borderId="100" xfId="2" applyNumberFormat="1" applyFont="1" applyFill="1" applyBorder="1"/>
    <xf numFmtId="165" fontId="4" fillId="0" borderId="100" xfId="2" applyNumberFormat="1" applyFont="1" applyBorder="1"/>
    <xf numFmtId="9" fontId="4" fillId="0" borderId="105" xfId="3" applyFont="1" applyFill="1" applyBorder="1" applyAlignment="1">
      <alignment horizontal="center"/>
    </xf>
    <xf numFmtId="165" fontId="4" fillId="0" borderId="102" xfId="2" applyNumberFormat="1" applyFont="1" applyBorder="1"/>
    <xf numFmtId="165" fontId="4" fillId="0" borderId="97" xfId="2" applyNumberFormat="1" applyFont="1" applyFill="1" applyBorder="1"/>
    <xf numFmtId="165" fontId="4" fillId="0" borderId="97" xfId="1" applyNumberFormat="1" applyFont="1" applyFill="1" applyBorder="1" applyAlignment="1"/>
    <xf numFmtId="0" fontId="4" fillId="0" borderId="97" xfId="1" applyFont="1" applyFill="1" applyBorder="1" applyAlignment="1"/>
    <xf numFmtId="0" fontId="4" fillId="2" borderId="47" xfId="1" applyFont="1" applyFill="1" applyBorder="1" applyAlignment="1">
      <alignment horizontal="center" vertical="center" wrapText="1"/>
    </xf>
    <xf numFmtId="2" fontId="4" fillId="0" borderId="3" xfId="1" applyNumberFormat="1" applyFont="1" applyFill="1" applyBorder="1"/>
    <xf numFmtId="2" fontId="4" fillId="0" borderId="90" xfId="1" applyNumberFormat="1" applyFont="1" applyFill="1" applyBorder="1"/>
    <xf numFmtId="0" fontId="4" fillId="0" borderId="7" xfId="5" applyFont="1" applyBorder="1" applyAlignment="1">
      <alignment horizontal="center" vertical="center"/>
    </xf>
    <xf numFmtId="0" fontId="4" fillId="0" borderId="109" xfId="5" applyFont="1" applyBorder="1" applyAlignment="1">
      <alignment horizontal="center" vertical="center"/>
    </xf>
    <xf numFmtId="0" fontId="4" fillId="0" borderId="111" xfId="5" applyFont="1" applyBorder="1" applyAlignment="1">
      <alignment horizontal="center" vertical="center"/>
    </xf>
    <xf numFmtId="0" fontId="4" fillId="0" borderId="107" xfId="5" applyFont="1" applyBorder="1" applyAlignment="1">
      <alignment horizontal="center" vertical="center"/>
    </xf>
    <xf numFmtId="9" fontId="4" fillId="0" borderId="6" xfId="7" applyFont="1" applyBorder="1" applyAlignment="1">
      <alignment horizontal="center"/>
    </xf>
    <xf numFmtId="164" fontId="4" fillId="0" borderId="5" xfId="6" applyFont="1" applyFill="1" applyBorder="1" applyAlignment="1">
      <alignment horizontal="center"/>
    </xf>
    <xf numFmtId="164" fontId="4" fillId="0" borderId="2" xfId="6" applyFont="1" applyFill="1" applyBorder="1" applyAlignment="1">
      <alignment horizontal="center"/>
    </xf>
    <xf numFmtId="0" fontId="4" fillId="2" borderId="5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5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168" fontId="4" fillId="0" borderId="0" xfId="6" applyNumberFormat="1" applyFont="1"/>
    <xf numFmtId="179" fontId="4" fillId="0" borderId="0" xfId="1" applyNumberFormat="1" applyFont="1" applyFill="1" applyBorder="1"/>
    <xf numFmtId="164" fontId="5" fillId="0" borderId="5" xfId="6" applyFont="1" applyFill="1" applyBorder="1" applyAlignment="1">
      <alignment horizontal="center"/>
    </xf>
    <xf numFmtId="164" fontId="5" fillId="0" borderId="2" xfId="6" applyFont="1" applyFill="1" applyBorder="1" applyAlignment="1">
      <alignment horizontal="center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164" fontId="5" fillId="0" borderId="5" xfId="2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73" fontId="4" fillId="0" borderId="0" xfId="6" applyNumberFormat="1" applyFont="1"/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5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164" fontId="5" fillId="0" borderId="5" xfId="6" applyFont="1" applyFill="1" applyBorder="1" applyAlignment="1">
      <alignment horizontal="center"/>
    </xf>
    <xf numFmtId="164" fontId="5" fillId="0" borderId="2" xfId="6" applyFont="1" applyFill="1" applyBorder="1" applyAlignment="1">
      <alignment horizontal="center"/>
    </xf>
    <xf numFmtId="164" fontId="4" fillId="0" borderId="1" xfId="5" applyNumberFormat="1" applyFont="1" applyBorder="1" applyAlignment="1">
      <alignment horizontal="left" indent="3"/>
    </xf>
    <xf numFmtId="165" fontId="35" fillId="0" borderId="1" xfId="6" applyNumberFormat="1" applyFont="1" applyFill="1" applyBorder="1"/>
    <xf numFmtId="165" fontId="35" fillId="0" borderId="2" xfId="6" applyNumberFormat="1" applyFont="1" applyBorder="1"/>
    <xf numFmtId="164" fontId="5" fillId="0" borderId="18" xfId="2" applyNumberFormat="1" applyFont="1" applyBorder="1" applyAlignment="1"/>
    <xf numFmtId="165" fontId="5" fillId="6" borderId="2" xfId="6" applyNumberFormat="1" applyFont="1" applyFill="1" applyBorder="1"/>
    <xf numFmtId="165" fontId="14" fillId="0" borderId="1" xfId="2" applyNumberFormat="1" applyFont="1" applyBorder="1"/>
    <xf numFmtId="165" fontId="14" fillId="0" borderId="1" xfId="6" applyNumberFormat="1" applyFont="1" applyBorder="1"/>
    <xf numFmtId="165" fontId="38" fillId="0" borderId="3" xfId="6" applyNumberFormat="1" applyFont="1" applyBorder="1"/>
    <xf numFmtId="165" fontId="4" fillId="0" borderId="81" xfId="2" applyNumberFormat="1" applyFont="1" applyBorder="1"/>
    <xf numFmtId="10" fontId="7" fillId="0" borderId="43" xfId="3" applyNumberFormat="1" applyFont="1" applyBorder="1" applyAlignment="1">
      <alignment horizontal="left" indent="2"/>
    </xf>
    <xf numFmtId="0" fontId="4" fillId="0" borderId="48" xfId="1" applyFont="1" applyBorder="1" applyAlignment="1">
      <alignment horizontal="center" vertical="center"/>
    </xf>
    <xf numFmtId="165" fontId="4" fillId="0" borderId="45" xfId="6" applyNumberFormat="1" applyFont="1" applyBorder="1"/>
    <xf numFmtId="9" fontId="4" fillId="0" borderId="41" xfId="3" applyFont="1" applyBorder="1" applyAlignment="1">
      <alignment horizontal="center"/>
    </xf>
    <xf numFmtId="165" fontId="4" fillId="0" borderId="44" xfId="9" applyNumberFormat="1" applyFont="1" applyBorder="1" applyAlignment="1">
      <alignment horizontal="center"/>
    </xf>
    <xf numFmtId="0" fontId="4" fillId="0" borderId="41" xfId="1" applyFont="1" applyBorder="1" applyAlignment="1">
      <alignment horizontal="left" vertical="top" wrapText="1"/>
    </xf>
    <xf numFmtId="9" fontId="4" fillId="0" borderId="48" xfId="3" applyFont="1" applyBorder="1" applyAlignment="1">
      <alignment horizontal="center"/>
    </xf>
    <xf numFmtId="165" fontId="4" fillId="0" borderId="45" xfId="2" applyNumberFormat="1" applyFont="1" applyBorder="1"/>
    <xf numFmtId="165" fontId="4" fillId="0" borderId="41" xfId="9" applyNumberFormat="1" applyFont="1" applyBorder="1" applyAlignment="1">
      <alignment horizontal="center"/>
    </xf>
    <xf numFmtId="0" fontId="4" fillId="0" borderId="47" xfId="1" applyFont="1" applyBorder="1" applyAlignment="1">
      <alignment horizontal="left" vertical="top" wrapText="1"/>
    </xf>
    <xf numFmtId="0" fontId="4" fillId="0" borderId="42" xfId="1" applyFont="1" applyBorder="1" applyAlignment="1">
      <alignment horizontal="left" vertical="top" wrapText="1"/>
    </xf>
    <xf numFmtId="165" fontId="4" fillId="0" borderId="43" xfId="2" applyNumberFormat="1" applyFont="1" applyBorder="1"/>
    <xf numFmtId="10" fontId="7" fillId="0" borderId="43" xfId="7" applyNumberFormat="1" applyFont="1" applyBorder="1" applyAlignment="1">
      <alignment horizontal="left" indent="2"/>
    </xf>
    <xf numFmtId="9" fontId="4" fillId="0" borderId="48" xfId="7" applyFont="1" applyBorder="1" applyAlignment="1">
      <alignment horizontal="center"/>
    </xf>
    <xf numFmtId="0" fontId="4" fillId="0" borderId="41" xfId="5" applyFont="1" applyBorder="1" applyAlignment="1">
      <alignment horizontal="left" vertical="top" wrapText="1"/>
    </xf>
    <xf numFmtId="0" fontId="4" fillId="0" borderId="44" xfId="5" applyFont="1" applyBorder="1" applyAlignment="1">
      <alignment horizontal="center" vertical="center"/>
    </xf>
    <xf numFmtId="165" fontId="4" fillId="0" borderId="41" xfId="6" applyNumberFormat="1" applyFont="1" applyFill="1" applyBorder="1"/>
    <xf numFmtId="164" fontId="4" fillId="0" borderId="44" xfId="6" applyNumberFormat="1" applyFont="1" applyBorder="1"/>
    <xf numFmtId="165" fontId="4" fillId="6" borderId="89" xfId="6" applyNumberFormat="1" applyFont="1" applyFill="1" applyBorder="1"/>
    <xf numFmtId="0" fontId="4" fillId="0" borderId="89" xfId="1" applyFont="1" applyBorder="1" applyAlignment="1">
      <alignment horizontal="center" vertical="center"/>
    </xf>
    <xf numFmtId="164" fontId="4" fillId="0" borderId="89" xfId="6" applyNumberFormat="1" applyFont="1" applyBorder="1"/>
    <xf numFmtId="0" fontId="4" fillId="0" borderId="0" xfId="1" applyFont="1" applyAlignment="1">
      <alignment horizontal="center"/>
    </xf>
    <xf numFmtId="164" fontId="4" fillId="0" borderId="43" xfId="5" applyNumberFormat="1" applyFont="1" applyBorder="1" applyAlignment="1">
      <alignment horizontal="right" indent="2"/>
    </xf>
    <xf numFmtId="164" fontId="4" fillId="0" borderId="5" xfId="5" applyNumberFormat="1" applyFont="1" applyBorder="1" applyAlignment="1">
      <alignment horizontal="right" indent="2"/>
    </xf>
    <xf numFmtId="0" fontId="17" fillId="0" borderId="54" xfId="0" applyFont="1" applyBorder="1" applyAlignment="1">
      <alignment horizontal="center" vertical="center" wrapText="1"/>
    </xf>
    <xf numFmtId="0" fontId="17" fillId="0" borderId="106" xfId="0" applyFont="1" applyBorder="1" applyAlignment="1">
      <alignment horizontal="center" vertical="center"/>
    </xf>
    <xf numFmtId="0" fontId="17" fillId="9" borderId="112" xfId="0" applyFont="1" applyFill="1" applyBorder="1" applyAlignment="1">
      <alignment horizontal="center" vertical="center" wrapText="1"/>
    </xf>
    <xf numFmtId="0" fontId="17" fillId="9" borderId="77" xfId="0" applyFont="1" applyFill="1" applyBorder="1" applyAlignment="1">
      <alignment horizontal="center" vertical="center" wrapText="1"/>
    </xf>
    <xf numFmtId="0" fontId="17" fillId="9" borderId="86" xfId="0" applyFont="1" applyFill="1" applyBorder="1"/>
    <xf numFmtId="1" fontId="0" fillId="9" borderId="75" xfId="0" applyNumberFormat="1" applyFill="1" applyBorder="1"/>
    <xf numFmtId="164" fontId="17" fillId="0" borderId="56" xfId="0" applyNumberFormat="1" applyFont="1" applyBorder="1" applyAlignment="1">
      <alignment vertical="center" wrapText="1"/>
    </xf>
    <xf numFmtId="164" fontId="17" fillId="0" borderId="113" xfId="0" applyNumberFormat="1" applyFont="1" applyBorder="1" applyAlignment="1">
      <alignment vertical="center"/>
    </xf>
    <xf numFmtId="1" fontId="17" fillId="0" borderId="87" xfId="0" applyNumberFormat="1" applyFont="1" applyBorder="1"/>
    <xf numFmtId="165" fontId="0" fillId="0" borderId="39" xfId="9" applyNumberFormat="1" applyFont="1" applyBorder="1"/>
    <xf numFmtId="165" fontId="0" fillId="0" borderId="0" xfId="9" applyNumberFormat="1" applyFont="1"/>
    <xf numFmtId="1" fontId="17" fillId="0" borderId="0" xfId="0" applyNumberFormat="1" applyFont="1" applyBorder="1"/>
    <xf numFmtId="165" fontId="17" fillId="0" borderId="1" xfId="9" applyNumberFormat="1" applyFont="1" applyBorder="1" applyAlignment="1">
      <alignment vertical="center" wrapText="1"/>
    </xf>
    <xf numFmtId="0" fontId="4" fillId="2" borderId="19" xfId="5" applyFont="1" applyFill="1" applyBorder="1" applyAlignment="1">
      <alignment horizontal="center" vertical="center" wrapText="1"/>
    </xf>
    <xf numFmtId="0" fontId="4" fillId="2" borderId="3" xfId="5" applyFont="1" applyFill="1" applyBorder="1" applyAlignment="1">
      <alignment horizontal="center" vertical="center" wrapText="1"/>
    </xf>
    <xf numFmtId="164" fontId="5" fillId="0" borderId="20" xfId="6" applyFont="1" applyBorder="1" applyAlignment="1">
      <alignment horizontal="center"/>
    </xf>
    <xf numFmtId="164" fontId="5" fillId="0" borderId="4" xfId="6" applyFont="1" applyBorder="1" applyAlignment="1">
      <alignment horizontal="center"/>
    </xf>
    <xf numFmtId="0" fontId="4" fillId="2" borderId="13" xfId="5" applyFont="1" applyFill="1" applyBorder="1" applyAlignment="1">
      <alignment horizontal="center" vertical="center" wrapText="1"/>
    </xf>
    <xf numFmtId="0" fontId="4" fillId="2" borderId="5" xfId="5" applyFont="1" applyFill="1" applyBorder="1" applyAlignment="1">
      <alignment horizontal="center" vertical="center" wrapText="1"/>
    </xf>
    <xf numFmtId="0" fontId="4" fillId="2" borderId="26" xfId="5" applyFont="1" applyFill="1" applyBorder="1" applyAlignment="1">
      <alignment horizontal="center" vertical="center" wrapText="1"/>
    </xf>
    <xf numFmtId="0" fontId="4" fillId="2" borderId="29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4" fillId="2" borderId="43" xfId="5" applyFont="1" applyFill="1" applyBorder="1" applyAlignment="1">
      <alignment horizontal="center" vertical="center" wrapText="1"/>
    </xf>
    <xf numFmtId="0" fontId="7" fillId="5" borderId="1" xfId="5" applyFont="1" applyFill="1" applyBorder="1" applyAlignment="1">
      <alignment horizontal="center"/>
    </xf>
    <xf numFmtId="0" fontId="4" fillId="2" borderId="30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13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0" borderId="20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4" fillId="2" borderId="26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164" fontId="5" fillId="0" borderId="20" xfId="2" applyFont="1" applyBorder="1" applyAlignment="1">
      <alignment horizontal="center"/>
    </xf>
    <xf numFmtId="164" fontId="5" fillId="0" borderId="4" xfId="2" applyFont="1" applyBorder="1" applyAlignment="1">
      <alignment horizontal="center"/>
    </xf>
    <xf numFmtId="164" fontId="21" fillId="0" borderId="20" xfId="2" applyFont="1" applyBorder="1" applyAlignment="1">
      <alignment horizontal="center"/>
    </xf>
    <xf numFmtId="164" fontId="21" fillId="0" borderId="4" xfId="2" applyFont="1" applyBorder="1" applyAlignment="1">
      <alignment horizontal="center"/>
    </xf>
    <xf numFmtId="0" fontId="4" fillId="0" borderId="102" xfId="5" applyFont="1" applyFill="1" applyBorder="1" applyAlignment="1">
      <alignment horizontal="center" vertical="center"/>
    </xf>
    <xf numFmtId="165" fontId="4" fillId="6" borderId="97" xfId="6" applyNumberFormat="1" applyFont="1" applyFill="1" applyBorder="1"/>
    <xf numFmtId="165" fontId="4" fillId="0" borderId="103" xfId="6" applyNumberFormat="1" applyFont="1" applyFill="1" applyBorder="1"/>
    <xf numFmtId="165" fontId="4" fillId="0" borderId="100" xfId="6" applyNumberFormat="1" applyFont="1" applyFill="1" applyBorder="1"/>
    <xf numFmtId="165" fontId="4" fillId="0" borderId="100" xfId="6" applyNumberFormat="1" applyFont="1" applyBorder="1"/>
    <xf numFmtId="9" fontId="4" fillId="0" borderId="105" xfId="7" applyFont="1" applyFill="1" applyBorder="1" applyAlignment="1">
      <alignment horizontal="center"/>
    </xf>
    <xf numFmtId="165" fontId="4" fillId="0" borderId="102" xfId="6" applyNumberFormat="1" applyFont="1" applyBorder="1"/>
    <xf numFmtId="165" fontId="4" fillId="0" borderId="97" xfId="6" applyNumberFormat="1" applyFont="1" applyFill="1" applyBorder="1"/>
    <xf numFmtId="165" fontId="4" fillId="0" borderId="97" xfId="5" applyNumberFormat="1" applyFont="1" applyFill="1" applyBorder="1" applyAlignment="1"/>
    <xf numFmtId="0" fontId="4" fillId="0" borderId="97" xfId="5" applyFont="1" applyFill="1" applyBorder="1" applyAlignment="1"/>
    <xf numFmtId="165" fontId="9" fillId="0" borderId="97" xfId="1" applyNumberFormat="1" applyFont="1" applyFill="1" applyBorder="1" applyAlignment="1"/>
    <xf numFmtId="0" fontId="9" fillId="0" borderId="97" xfId="1" applyFont="1" applyFill="1" applyBorder="1" applyAlignment="1"/>
    <xf numFmtId="165" fontId="5" fillId="0" borderId="100" xfId="2" applyNumberFormat="1" applyFont="1" applyBorder="1"/>
    <xf numFmtId="165" fontId="4" fillId="0" borderId="97" xfId="6" applyNumberFormat="1" applyFont="1" applyBorder="1"/>
    <xf numFmtId="165" fontId="5" fillId="0" borderId="100" xfId="6" applyNumberFormat="1" applyFont="1" applyBorder="1"/>
    <xf numFmtId="9" fontId="4" fillId="0" borderId="102" xfId="7" applyFont="1" applyFill="1" applyBorder="1" applyAlignment="1">
      <alignment horizontal="center"/>
    </xf>
    <xf numFmtId="165" fontId="4" fillId="0" borderId="101" xfId="6" applyNumberFormat="1" applyFont="1" applyFill="1" applyBorder="1"/>
    <xf numFmtId="165" fontId="5" fillId="0" borderId="3" xfId="2" applyNumberFormat="1" applyFont="1" applyBorder="1"/>
    <xf numFmtId="165" fontId="5" fillId="6" borderId="3" xfId="6" applyNumberFormat="1" applyFont="1" applyFill="1" applyBorder="1"/>
    <xf numFmtId="165" fontId="5" fillId="4" borderId="3" xfId="2" applyNumberFormat="1" applyFont="1" applyFill="1" applyBorder="1"/>
    <xf numFmtId="165" fontId="4" fillId="6" borderId="3" xfId="2" applyNumberFormat="1" applyFont="1" applyFill="1" applyBorder="1"/>
    <xf numFmtId="165" fontId="37" fillId="0" borderId="3" xfId="6" applyNumberFormat="1" applyFont="1" applyBorder="1"/>
    <xf numFmtId="165" fontId="4" fillId="0" borderId="45" xfId="2" applyNumberFormat="1" applyFont="1" applyFill="1" applyBorder="1"/>
    <xf numFmtId="165" fontId="4" fillId="0" borderId="90" xfId="2" applyNumberFormat="1" applyFont="1" applyFill="1" applyBorder="1"/>
    <xf numFmtId="165" fontId="5" fillId="6" borderId="3" xfId="2" applyNumberFormat="1" applyFont="1" applyFill="1" applyBorder="1"/>
    <xf numFmtId="165" fontId="22" fillId="0" borderId="3" xfId="6" applyNumberFormat="1" applyFont="1" applyBorder="1"/>
    <xf numFmtId="9" fontId="14" fillId="0" borderId="2" xfId="3" applyFont="1" applyBorder="1" applyAlignment="1">
      <alignment horizontal="center"/>
    </xf>
    <xf numFmtId="9" fontId="6" fillId="0" borderId="2" xfId="3" applyFont="1" applyBorder="1" applyAlignment="1">
      <alignment horizontal="center"/>
    </xf>
    <xf numFmtId="9" fontId="4" fillId="0" borderId="2" xfId="3" applyFont="1" applyFill="1" applyBorder="1" applyAlignment="1">
      <alignment horizontal="center"/>
    </xf>
    <xf numFmtId="9" fontId="22" fillId="0" borderId="2" xfId="3" applyFont="1" applyBorder="1" applyAlignment="1">
      <alignment horizontal="center"/>
    </xf>
    <xf numFmtId="9" fontId="6" fillId="6" borderId="2" xfId="7" applyFont="1" applyFill="1" applyBorder="1" applyAlignment="1">
      <alignment horizontal="center"/>
    </xf>
    <xf numFmtId="9" fontId="4" fillId="6" borderId="2" xfId="7" applyFont="1" applyFill="1" applyBorder="1" applyAlignment="1">
      <alignment horizontal="center"/>
    </xf>
    <xf numFmtId="0" fontId="4" fillId="2" borderId="30" xfId="1" applyFont="1" applyFill="1" applyBorder="1" applyAlignment="1">
      <alignment horizontal="center" vertical="center" wrapText="1"/>
    </xf>
    <xf numFmtId="0" fontId="4" fillId="2" borderId="85" xfId="1" applyFont="1" applyFill="1" applyBorder="1" applyAlignment="1">
      <alignment horizontal="center" vertical="center" wrapText="1"/>
    </xf>
    <xf numFmtId="0" fontId="14" fillId="2" borderId="5" xfId="5" applyFont="1" applyFill="1" applyBorder="1" applyAlignment="1">
      <alignment horizontal="center" vertical="center" wrapText="1"/>
    </xf>
    <xf numFmtId="9" fontId="4" fillId="0" borderId="5" xfId="7" applyFont="1" applyBorder="1" applyAlignment="1">
      <alignment horizontal="center"/>
    </xf>
    <xf numFmtId="2" fontId="4" fillId="0" borderId="5" xfId="7" applyNumberFormat="1" applyFont="1" applyBorder="1" applyAlignment="1">
      <alignment horizontal="center"/>
    </xf>
    <xf numFmtId="165" fontId="4" fillId="0" borderId="43" xfId="9" applyNumberFormat="1" applyFont="1" applyBorder="1" applyAlignment="1">
      <alignment horizontal="center"/>
    </xf>
    <xf numFmtId="165" fontId="4" fillId="0" borderId="81" xfId="9" applyNumberFormat="1" applyFont="1" applyBorder="1" applyAlignment="1">
      <alignment horizontal="center"/>
    </xf>
    <xf numFmtId="0" fontId="14" fillId="2" borderId="5" xfId="1" applyFont="1" applyFill="1" applyBorder="1" applyAlignment="1">
      <alignment horizontal="center" vertical="center" wrapText="1"/>
    </xf>
    <xf numFmtId="165" fontId="4" fillId="0" borderId="33" xfId="9" applyNumberFormat="1" applyFont="1" applyBorder="1" applyAlignment="1">
      <alignment horizontal="center"/>
    </xf>
    <xf numFmtId="167" fontId="5" fillId="4" borderId="19" xfId="7" applyNumberFormat="1" applyFont="1" applyFill="1" applyBorder="1" applyAlignment="1">
      <alignment horizontal="center"/>
    </xf>
    <xf numFmtId="167" fontId="5" fillId="4" borderId="19" xfId="3" applyNumberFormat="1" applyFont="1" applyFill="1" applyBorder="1" applyAlignment="1">
      <alignment horizontal="center"/>
    </xf>
    <xf numFmtId="164" fontId="12" fillId="6" borderId="2" xfId="6" applyFont="1" applyFill="1" applyBorder="1"/>
    <xf numFmtId="164" fontId="12" fillId="0" borderId="42" xfId="6" applyFont="1" applyBorder="1"/>
    <xf numFmtId="4" fontId="4" fillId="6" borderId="101" xfId="5" applyNumberFormat="1" applyFont="1" applyFill="1" applyBorder="1"/>
    <xf numFmtId="4" fontId="4" fillId="0" borderId="101" xfId="6" applyNumberFormat="1" applyFont="1" applyBorder="1"/>
    <xf numFmtId="164" fontId="4" fillId="0" borderId="5" xfId="6" applyFont="1" applyBorder="1"/>
    <xf numFmtId="164" fontId="4" fillId="0" borderId="103" xfId="6" applyFont="1" applyBorder="1"/>
    <xf numFmtId="172" fontId="4" fillId="0" borderId="5" xfId="6" applyNumberFormat="1" applyFont="1" applyBorder="1"/>
    <xf numFmtId="172" fontId="4" fillId="0" borderId="103" xfId="6" applyNumberFormat="1" applyFont="1" applyBorder="1"/>
    <xf numFmtId="0" fontId="4" fillId="2" borderId="12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4" fontId="4" fillId="0" borderId="5" xfId="6" applyNumberFormat="1" applyFont="1" applyBorder="1"/>
    <xf numFmtId="4" fontId="4" fillId="0" borderId="103" xfId="5" applyNumberFormat="1" applyFont="1" applyBorder="1"/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9" fontId="4" fillId="0" borderId="19" xfId="3" applyFont="1" applyBorder="1"/>
    <xf numFmtId="9" fontId="4" fillId="0" borderId="19" xfId="7" applyFont="1" applyBorder="1"/>
    <xf numFmtId="9" fontId="4" fillId="0" borderId="105" xfId="7" applyFont="1" applyBorder="1"/>
    <xf numFmtId="164" fontId="5" fillId="0" borderId="0" xfId="1" applyNumberFormat="1" applyFont="1" applyFill="1" applyBorder="1"/>
    <xf numFmtId="164" fontId="5" fillId="4" borderId="5" xfId="2" applyNumberFormat="1" applyFont="1" applyFill="1" applyBorder="1"/>
    <xf numFmtId="9" fontId="5" fillId="4" borderId="2" xfId="3" applyNumberFormat="1" applyFont="1" applyFill="1" applyBorder="1" applyAlignment="1">
      <alignment horizontal="center"/>
    </xf>
    <xf numFmtId="165" fontId="5" fillId="0" borderId="0" xfId="5" applyNumberFormat="1" applyFont="1"/>
    <xf numFmtId="168" fontId="5" fillId="0" borderId="0" xfId="6" applyNumberFormat="1" applyFont="1"/>
    <xf numFmtId="165" fontId="4" fillId="0" borderId="17" xfId="9" applyNumberFormat="1" applyFont="1" applyBorder="1" applyAlignment="1">
      <alignment horizontal="center"/>
    </xf>
    <xf numFmtId="0" fontId="4" fillId="0" borderId="4" xfId="5" applyFont="1" applyBorder="1" applyAlignment="1">
      <alignment horizontal="left" vertical="top" wrapText="1"/>
    </xf>
    <xf numFmtId="164" fontId="17" fillId="0" borderId="1" xfId="0" applyNumberFormat="1" applyFont="1" applyBorder="1" applyAlignment="1">
      <alignment horizontal="center" vertical="top" wrapText="1"/>
    </xf>
    <xf numFmtId="164" fontId="0" fillId="0" borderId="39" xfId="9" applyFont="1" applyBorder="1"/>
    <xf numFmtId="164" fontId="0" fillId="0" borderId="1" xfId="0" applyNumberFormat="1" applyBorder="1"/>
    <xf numFmtId="164" fontId="17" fillId="0" borderId="1" xfId="0" applyNumberFormat="1" applyFon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/>
    </xf>
    <xf numFmtId="168" fontId="4" fillId="4" borderId="18" xfId="6" applyNumberFormat="1" applyFont="1" applyFill="1" applyBorder="1" applyAlignment="1">
      <alignment vertical="center"/>
    </xf>
    <xf numFmtId="0" fontId="4" fillId="0" borderId="4" xfId="5" applyFont="1" applyFill="1" applyBorder="1" applyAlignment="1"/>
    <xf numFmtId="0" fontId="4" fillId="4" borderId="4" xfId="5" applyFont="1" applyFill="1" applyBorder="1" applyAlignment="1"/>
    <xf numFmtId="165" fontId="4" fillId="0" borderId="4" xfId="6" applyNumberFormat="1" applyFont="1" applyBorder="1" applyAlignment="1">
      <alignment vertical="center"/>
    </xf>
    <xf numFmtId="164" fontId="5" fillId="4" borderId="4" xfId="6" applyFont="1" applyFill="1" applyBorder="1" applyAlignment="1">
      <alignment vertical="center"/>
    </xf>
    <xf numFmtId="164" fontId="4" fillId="0" borderId="4" xfId="6" applyFont="1" applyBorder="1" applyAlignment="1">
      <alignment vertical="center"/>
    </xf>
    <xf numFmtId="164" fontId="4" fillId="0" borderId="4" xfId="6" applyFont="1" applyFill="1" applyBorder="1" applyAlignment="1">
      <alignment vertical="center"/>
    </xf>
    <xf numFmtId="164" fontId="4" fillId="0" borderId="4" xfId="6" applyFont="1" applyBorder="1" applyAlignment="1"/>
    <xf numFmtId="164" fontId="5" fillId="0" borderId="4" xfId="6" applyFont="1" applyBorder="1" applyAlignment="1"/>
    <xf numFmtId="0" fontId="5" fillId="0" borderId="4" xfId="5" applyFont="1" applyBorder="1" applyAlignment="1"/>
    <xf numFmtId="164" fontId="4" fillId="0" borderId="4" xfId="5" applyNumberFormat="1" applyFont="1" applyBorder="1" applyAlignment="1"/>
    <xf numFmtId="0" fontId="4" fillId="0" borderId="47" xfId="5" applyFont="1" applyFill="1" applyBorder="1" applyAlignment="1"/>
    <xf numFmtId="0" fontId="4" fillId="0" borderId="6" xfId="5" applyFont="1" applyFill="1" applyBorder="1" applyAlignment="1"/>
    <xf numFmtId="0" fontId="4" fillId="0" borderId="99" xfId="5" applyFont="1" applyFill="1" applyBorder="1" applyAlignment="1"/>
    <xf numFmtId="3" fontId="4" fillId="0" borderId="0" xfId="1" applyNumberFormat="1" applyFont="1" applyBorder="1" applyAlignment="1">
      <alignment horizontal="right"/>
    </xf>
    <xf numFmtId="0" fontId="4" fillId="2" borderId="5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4" fontId="4" fillId="6" borderId="89" xfId="6" applyNumberFormat="1" applyFont="1" applyFill="1" applyBorder="1"/>
    <xf numFmtId="164" fontId="4" fillId="0" borderId="18" xfId="2" applyNumberFormat="1" applyFont="1" applyFill="1" applyBorder="1"/>
    <xf numFmtId="164" fontId="4" fillId="0" borderId="18" xfId="2" applyNumberFormat="1" applyFont="1" applyBorder="1"/>
    <xf numFmtId="165" fontId="5" fillId="0" borderId="0" xfId="9" applyNumberFormat="1" applyFont="1"/>
    <xf numFmtId="165" fontId="4" fillId="0" borderId="0" xfId="9" applyNumberFormat="1" applyFont="1"/>
    <xf numFmtId="164" fontId="4" fillId="0" borderId="5" xfId="2" applyNumberFormat="1" applyFont="1" applyFill="1" applyBorder="1"/>
    <xf numFmtId="171" fontId="4" fillId="0" borderId="0" xfId="1" applyNumberFormat="1" applyFont="1" applyBorder="1"/>
    <xf numFmtId="168" fontId="4" fillId="0" borderId="0" xfId="1" applyNumberFormat="1" applyFont="1"/>
    <xf numFmtId="168" fontId="5" fillId="4" borderId="1" xfId="2" applyNumberFormat="1" applyFont="1" applyFill="1" applyBorder="1"/>
    <xf numFmtId="168" fontId="4" fillId="0" borderId="1" xfId="2" applyNumberFormat="1" applyFont="1" applyFill="1" applyBorder="1"/>
    <xf numFmtId="16" fontId="4" fillId="0" borderId="0" xfId="1" applyNumberFormat="1" applyFont="1"/>
    <xf numFmtId="16" fontId="4" fillId="0" borderId="0" xfId="1" applyNumberFormat="1" applyFont="1" applyFill="1"/>
    <xf numFmtId="164" fontId="4" fillId="0" borderId="0" xfId="9" applyFont="1"/>
    <xf numFmtId="164" fontId="4" fillId="0" borderId="0" xfId="9" applyFont="1" applyFill="1"/>
    <xf numFmtId="164" fontId="5" fillId="0" borderId="0" xfId="9" applyFont="1"/>
    <xf numFmtId="0" fontId="5" fillId="0" borderId="0" xfId="1" applyFont="1" applyAlignment="1">
      <alignment horizontal="center" vertical="center"/>
    </xf>
    <xf numFmtId="177" fontId="4" fillId="0" borderId="0" xfId="1" applyNumberFormat="1" applyFont="1" applyFill="1" applyBorder="1"/>
    <xf numFmtId="167" fontId="4" fillId="0" borderId="1" xfId="5" applyNumberFormat="1" applyFont="1" applyBorder="1"/>
    <xf numFmtId="167" fontId="4" fillId="0" borderId="1" xfId="1" applyNumberFormat="1" applyFont="1" applyBorder="1"/>
    <xf numFmtId="2" fontId="4" fillId="0" borderId="1" xfId="1" applyNumberFormat="1" applyFont="1" applyBorder="1"/>
    <xf numFmtId="0" fontId="4" fillId="6" borderId="1" xfId="5" applyFont="1" applyFill="1" applyBorder="1"/>
    <xf numFmtId="2" fontId="4" fillId="6" borderId="1" xfId="5" applyNumberFormat="1" applyFont="1" applyFill="1" applyBorder="1"/>
    <xf numFmtId="0" fontId="4" fillId="2" borderId="3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48" xfId="5" applyFont="1" applyFill="1" applyBorder="1" applyAlignment="1">
      <alignment horizontal="center" vertical="center" wrapText="1"/>
    </xf>
    <xf numFmtId="173" fontId="5" fillId="0" borderId="0" xfId="2" applyNumberFormat="1" applyFont="1"/>
    <xf numFmtId="165" fontId="5" fillId="0" borderId="17" xfId="6" applyNumberFormat="1" applyFont="1" applyBorder="1"/>
    <xf numFmtId="165" fontId="5" fillId="0" borderId="46" xfId="6" applyNumberFormat="1" applyFont="1" applyBorder="1"/>
    <xf numFmtId="9" fontId="5" fillId="0" borderId="4" xfId="7" applyFont="1" applyBorder="1" applyAlignment="1">
      <alignment horizontal="center"/>
    </xf>
    <xf numFmtId="9" fontId="5" fillId="0" borderId="4" xfId="3" applyFont="1" applyBorder="1" applyAlignment="1">
      <alignment horizontal="center"/>
    </xf>
    <xf numFmtId="9" fontId="4" fillId="0" borderId="4" xfId="7" applyFont="1" applyBorder="1" applyAlignment="1">
      <alignment horizontal="center"/>
    </xf>
    <xf numFmtId="9" fontId="5" fillId="0" borderId="47" xfId="7" applyFont="1" applyBorder="1" applyAlignment="1">
      <alignment horizontal="center"/>
    </xf>
    <xf numFmtId="164" fontId="4" fillId="0" borderId="18" xfId="6" applyNumberFormat="1" applyFont="1" applyBorder="1"/>
    <xf numFmtId="165" fontId="4" fillId="0" borderId="46" xfId="6" applyNumberFormat="1" applyFont="1" applyFill="1" applyBorder="1"/>
    <xf numFmtId="9" fontId="4" fillId="0" borderId="47" xfId="7" applyFont="1" applyFill="1" applyBorder="1" applyAlignment="1">
      <alignment horizontal="center"/>
    </xf>
    <xf numFmtId="165" fontId="4" fillId="6" borderId="4" xfId="6" applyNumberFormat="1" applyFont="1" applyFill="1" applyBorder="1"/>
    <xf numFmtId="164" fontId="14" fillId="0" borderId="43" xfId="5" applyNumberFormat="1" applyFont="1" applyFill="1" applyBorder="1" applyAlignment="1">
      <alignment horizontal="left" indent="2"/>
    </xf>
    <xf numFmtId="165" fontId="4" fillId="0" borderId="46" xfId="2" applyNumberFormat="1" applyFont="1" applyFill="1" applyBorder="1"/>
    <xf numFmtId="165" fontId="14" fillId="0" borderId="1" xfId="2" applyNumberFormat="1" applyFont="1" applyFill="1" applyBorder="1"/>
    <xf numFmtId="9" fontId="4" fillId="0" borderId="47" xfId="3" applyFont="1" applyFill="1" applyBorder="1" applyAlignment="1">
      <alignment horizontal="center"/>
    </xf>
    <xf numFmtId="165" fontId="14" fillId="0" borderId="45" xfId="6" applyNumberFormat="1" applyFont="1" applyFill="1" applyBorder="1"/>
    <xf numFmtId="165" fontId="4" fillId="0" borderId="4" xfId="2" applyNumberFormat="1" applyFont="1" applyBorder="1"/>
    <xf numFmtId="165" fontId="14" fillId="0" borderId="1" xfId="6" applyNumberFormat="1" applyFont="1" applyFill="1" applyBorder="1"/>
    <xf numFmtId="165" fontId="14" fillId="0" borderId="3" xfId="6" applyNumberFormat="1" applyFont="1" applyFill="1" applyBorder="1"/>
    <xf numFmtId="164" fontId="4" fillId="0" borderId="1" xfId="5" applyNumberFormat="1" applyFont="1" applyBorder="1" applyAlignment="1">
      <alignment horizontal="left"/>
    </xf>
    <xf numFmtId="0" fontId="4" fillId="0" borderId="1" xfId="5" applyFont="1" applyFill="1" applyBorder="1" applyAlignment="1">
      <alignment horizontal="left"/>
    </xf>
    <xf numFmtId="0" fontId="4" fillId="0" borderId="1" xfId="5" applyFont="1" applyFill="1" applyBorder="1"/>
    <xf numFmtId="164" fontId="4" fillId="0" borderId="1" xfId="1" applyNumberFormat="1" applyFont="1" applyBorder="1" applyAlignment="1">
      <alignment horizontal="left"/>
    </xf>
    <xf numFmtId="165" fontId="4" fillId="0" borderId="1" xfId="1" applyNumberFormat="1" applyFont="1" applyBorder="1"/>
    <xf numFmtId="164" fontId="14" fillId="0" borderId="1" xfId="1" applyNumberFormat="1" applyFont="1" applyBorder="1" applyAlignment="1">
      <alignment horizontal="left"/>
    </xf>
    <xf numFmtId="0" fontId="4" fillId="0" borderId="1" xfId="1" applyFont="1" applyFill="1" applyBorder="1" applyAlignment="1">
      <alignment horizontal="left"/>
    </xf>
    <xf numFmtId="0" fontId="4" fillId="0" borderId="1" xfId="1" applyFont="1" applyFill="1" applyBorder="1"/>
    <xf numFmtId="164" fontId="14" fillId="0" borderId="1" xfId="5" applyNumberFormat="1" applyFont="1" applyBorder="1" applyAlignment="1">
      <alignment horizontal="left"/>
    </xf>
    <xf numFmtId="165" fontId="4" fillId="0" borderId="1" xfId="5" applyNumberFormat="1" applyFont="1" applyBorder="1" applyAlignment="1">
      <alignment horizontal="left"/>
    </xf>
    <xf numFmtId="165" fontId="14" fillId="0" borderId="1" xfId="5" applyNumberFormat="1" applyFont="1" applyBorder="1" applyAlignment="1">
      <alignment horizontal="left"/>
    </xf>
    <xf numFmtId="165" fontId="4" fillId="0" borderId="1" xfId="5" applyNumberFormat="1" applyFont="1" applyFill="1" applyBorder="1" applyAlignment="1">
      <alignment horizontal="left"/>
    </xf>
    <xf numFmtId="165" fontId="14" fillId="0" borderId="1" xfId="1" applyNumberFormat="1" applyFont="1" applyBorder="1"/>
    <xf numFmtId="165" fontId="14" fillId="0" borderId="1" xfId="5" applyNumberFormat="1" applyFont="1" applyBorder="1"/>
    <xf numFmtId="0" fontId="23" fillId="2" borderId="25" xfId="0" applyFont="1" applyFill="1" applyBorder="1" applyAlignment="1">
      <alignment horizontal="center" wrapText="1"/>
    </xf>
    <xf numFmtId="0" fontId="23" fillId="2" borderId="21" xfId="0" applyFont="1" applyFill="1" applyBorder="1" applyAlignment="1">
      <alignment horizontal="center" wrapText="1"/>
    </xf>
    <xf numFmtId="0" fontId="19" fillId="0" borderId="0" xfId="5" applyFont="1" applyAlignment="1">
      <alignment horizontal="center"/>
    </xf>
    <xf numFmtId="0" fontId="4" fillId="2" borderId="37" xfId="5" applyFont="1" applyFill="1" applyBorder="1" applyAlignment="1">
      <alignment horizontal="center" vertical="center" wrapText="1"/>
    </xf>
    <xf numFmtId="0" fontId="4" fillId="2" borderId="33" xfId="5" applyFont="1" applyFill="1" applyBorder="1" applyAlignment="1">
      <alignment horizontal="center" vertical="center" wrapText="1"/>
    </xf>
    <xf numFmtId="0" fontId="4" fillId="2" borderId="12" xfId="5" applyFont="1" applyFill="1" applyBorder="1" applyAlignment="1">
      <alignment horizontal="center" vertical="center" wrapText="1"/>
    </xf>
    <xf numFmtId="0" fontId="4" fillId="2" borderId="7" xfId="5" applyFont="1" applyFill="1" applyBorder="1" applyAlignment="1">
      <alignment horizontal="center" vertical="center" wrapText="1"/>
    </xf>
    <xf numFmtId="0" fontId="4" fillId="2" borderId="25" xfId="5" applyFont="1" applyFill="1" applyBorder="1" applyAlignment="1">
      <alignment horizontal="center" vertical="center" wrapText="1"/>
    </xf>
    <xf numFmtId="0" fontId="4" fillId="2" borderId="21" xfId="5" applyFont="1" applyFill="1" applyBorder="1" applyAlignment="1">
      <alignment horizontal="center" vertical="center" wrapText="1"/>
    </xf>
    <xf numFmtId="0" fontId="5" fillId="2" borderId="35" xfId="5" applyFont="1" applyFill="1" applyBorder="1" applyAlignment="1">
      <alignment horizontal="center" vertical="center" wrapText="1"/>
    </xf>
    <xf numFmtId="0" fontId="5" fillId="2" borderId="36" xfId="5" applyFont="1" applyFill="1" applyBorder="1" applyAlignment="1">
      <alignment horizontal="center" vertical="center" wrapText="1"/>
    </xf>
    <xf numFmtId="0" fontId="5" fillId="2" borderId="34" xfId="5" applyFont="1" applyFill="1" applyBorder="1" applyAlignment="1">
      <alignment horizontal="center" vertical="center" wrapText="1"/>
    </xf>
    <xf numFmtId="0" fontId="4" fillId="2" borderId="10" xfId="5" applyFont="1" applyFill="1" applyBorder="1" applyAlignment="1">
      <alignment horizontal="center" vertical="center"/>
    </xf>
    <xf numFmtId="0" fontId="4" fillId="2" borderId="9" xfId="5" applyFont="1" applyFill="1" applyBorder="1" applyAlignment="1">
      <alignment horizontal="center" vertical="center"/>
    </xf>
    <xf numFmtId="0" fontId="4" fillId="2" borderId="23" xfId="5" applyFont="1" applyFill="1" applyBorder="1" applyAlignment="1">
      <alignment horizontal="center" vertical="center"/>
    </xf>
    <xf numFmtId="0" fontId="4" fillId="2" borderId="6" xfId="5" applyFont="1" applyFill="1" applyBorder="1" applyAlignment="1">
      <alignment horizontal="center" vertical="center"/>
    </xf>
    <xf numFmtId="0" fontId="5" fillId="3" borderId="8" xfId="5" applyFont="1" applyFill="1" applyBorder="1" applyAlignment="1">
      <alignment horizontal="center"/>
    </xf>
    <xf numFmtId="0" fontId="5" fillId="3" borderId="0" xfId="5" applyFont="1" applyFill="1" applyBorder="1" applyAlignment="1">
      <alignment horizontal="center"/>
    </xf>
    <xf numFmtId="0" fontId="5" fillId="3" borderId="32" xfId="5" applyFont="1" applyFill="1" applyBorder="1" applyAlignment="1">
      <alignment horizontal="center"/>
    </xf>
    <xf numFmtId="0" fontId="4" fillId="2" borderId="29" xfId="5" applyFont="1" applyFill="1" applyBorder="1" applyAlignment="1">
      <alignment horizontal="center" vertical="center"/>
    </xf>
    <xf numFmtId="0" fontId="4" fillId="2" borderId="2" xfId="5" applyFont="1" applyFill="1" applyBorder="1" applyAlignment="1">
      <alignment horizontal="center" vertical="center"/>
    </xf>
    <xf numFmtId="0" fontId="5" fillId="3" borderId="28" xfId="5" applyFont="1" applyFill="1" applyBorder="1" applyAlignment="1">
      <alignment horizontal="center"/>
    </xf>
    <xf numFmtId="0" fontId="5" fillId="3" borderId="27" xfId="5" applyFont="1" applyFill="1" applyBorder="1" applyAlignment="1">
      <alignment horizontal="center"/>
    </xf>
    <xf numFmtId="0" fontId="4" fillId="2" borderId="13" xfId="5" applyFont="1" applyFill="1" applyBorder="1" applyAlignment="1">
      <alignment horizontal="center" vertical="center" wrapText="1"/>
    </xf>
    <xf numFmtId="0" fontId="4" fillId="2" borderId="5" xfId="5" applyFont="1" applyFill="1" applyBorder="1" applyAlignment="1">
      <alignment horizontal="center" vertical="center" wrapText="1"/>
    </xf>
    <xf numFmtId="0" fontId="4" fillId="2" borderId="29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5" fillId="2" borderId="25" xfId="5" applyFont="1" applyFill="1" applyBorder="1" applyAlignment="1">
      <alignment horizontal="center" vertical="center" wrapText="1"/>
    </xf>
    <xf numFmtId="0" fontId="5" fillId="2" borderId="24" xfId="5" applyFont="1" applyFill="1" applyBorder="1" applyAlignment="1">
      <alignment horizontal="center" vertical="center" wrapText="1"/>
    </xf>
    <xf numFmtId="0" fontId="5" fillId="2" borderId="21" xfId="5" applyFont="1" applyFill="1" applyBorder="1" applyAlignment="1">
      <alignment horizontal="center" vertical="center" wrapText="1"/>
    </xf>
    <xf numFmtId="0" fontId="4" fillId="0" borderId="20" xfId="5" applyFont="1" applyFill="1" applyBorder="1" applyAlignment="1">
      <alignment horizontal="center"/>
    </xf>
    <xf numFmtId="0" fontId="4" fillId="0" borderId="4" xfId="5" applyFont="1" applyFill="1" applyBorder="1" applyAlignment="1">
      <alignment horizontal="center"/>
    </xf>
    <xf numFmtId="164" fontId="5" fillId="4" borderId="20" xfId="6" applyFont="1" applyFill="1" applyBorder="1" applyAlignment="1">
      <alignment horizontal="center" vertical="center"/>
    </xf>
    <xf numFmtId="164" fontId="5" fillId="4" borderId="4" xfId="6" applyFont="1" applyFill="1" applyBorder="1" applyAlignment="1">
      <alignment horizontal="center" vertical="center"/>
    </xf>
    <xf numFmtId="0" fontId="4" fillId="2" borderId="47" xfId="5" applyFont="1" applyFill="1" applyBorder="1" applyAlignment="1">
      <alignment horizontal="center" vertical="center" wrapText="1"/>
    </xf>
    <xf numFmtId="0" fontId="4" fillId="2" borderId="6" xfId="5" applyFont="1" applyFill="1" applyBorder="1" applyAlignment="1">
      <alignment horizontal="center" vertical="center" wrapText="1"/>
    </xf>
    <xf numFmtId="0" fontId="4" fillId="2" borderId="17" xfId="5" applyFont="1" applyFill="1" applyBorder="1" applyAlignment="1">
      <alignment horizontal="center" vertical="center" wrapText="1"/>
    </xf>
    <xf numFmtId="0" fontId="4" fillId="2" borderId="20" xfId="5" applyFont="1" applyFill="1" applyBorder="1" applyAlignment="1">
      <alignment horizontal="center" vertical="center" wrapText="1"/>
    </xf>
    <xf numFmtId="164" fontId="4" fillId="0" borderId="20" xfId="6" applyFont="1" applyBorder="1" applyAlignment="1">
      <alignment horizontal="center" vertical="center"/>
    </xf>
    <xf numFmtId="164" fontId="4" fillId="0" borderId="4" xfId="6" applyFont="1" applyBorder="1" applyAlignment="1">
      <alignment horizontal="center" vertical="center"/>
    </xf>
    <xf numFmtId="164" fontId="4" fillId="0" borderId="20" xfId="6" applyFont="1" applyFill="1" applyBorder="1" applyAlignment="1">
      <alignment horizontal="center" vertical="center"/>
    </xf>
    <xf numFmtId="164" fontId="4" fillId="0" borderId="4" xfId="6" applyFont="1" applyFill="1" applyBorder="1" applyAlignment="1">
      <alignment horizontal="center" vertical="center"/>
    </xf>
    <xf numFmtId="0" fontId="5" fillId="0" borderId="20" xfId="5" applyFont="1" applyBorder="1" applyAlignment="1">
      <alignment horizontal="center"/>
    </xf>
    <xf numFmtId="0" fontId="5" fillId="0" borderId="4" xfId="5" applyFont="1" applyBorder="1" applyAlignment="1">
      <alignment horizontal="center"/>
    </xf>
    <xf numFmtId="164" fontId="5" fillId="0" borderId="17" xfId="6" applyFont="1" applyBorder="1" applyAlignment="1">
      <alignment horizontal="center"/>
    </xf>
    <xf numFmtId="164" fontId="5" fillId="0" borderId="4" xfId="6" applyFont="1" applyBorder="1" applyAlignment="1">
      <alignment horizontal="center"/>
    </xf>
    <xf numFmtId="164" fontId="4" fillId="0" borderId="17" xfId="6" applyFont="1" applyBorder="1" applyAlignment="1">
      <alignment horizontal="center"/>
    </xf>
    <xf numFmtId="164" fontId="4" fillId="0" borderId="4" xfId="6" applyFont="1" applyBorder="1" applyAlignment="1">
      <alignment horizontal="center"/>
    </xf>
    <xf numFmtId="0" fontId="4" fillId="4" borderId="20" xfId="5" applyFont="1" applyFill="1" applyBorder="1" applyAlignment="1">
      <alignment horizontal="center"/>
    </xf>
    <xf numFmtId="0" fontId="4" fillId="4" borderId="4" xfId="5" applyFont="1" applyFill="1" applyBorder="1" applyAlignment="1">
      <alignment horizontal="center"/>
    </xf>
    <xf numFmtId="165" fontId="4" fillId="0" borderId="20" xfId="6" applyNumberFormat="1" applyFont="1" applyBorder="1" applyAlignment="1">
      <alignment horizontal="center" vertical="center"/>
    </xf>
    <xf numFmtId="165" fontId="4" fillId="0" borderId="4" xfId="6" applyNumberFormat="1" applyFont="1" applyBorder="1" applyAlignment="1">
      <alignment horizontal="center" vertical="center"/>
    </xf>
    <xf numFmtId="0" fontId="4" fillId="2" borderId="9" xfId="5" applyFont="1" applyFill="1" applyBorder="1" applyAlignment="1">
      <alignment horizontal="center" vertical="center" wrapText="1"/>
    </xf>
    <xf numFmtId="0" fontId="4" fillId="2" borderId="11" xfId="5" applyFont="1" applyFill="1" applyBorder="1" applyAlignment="1">
      <alignment horizontal="center" vertical="center" wrapText="1"/>
    </xf>
    <xf numFmtId="0" fontId="4" fillId="2" borderId="10" xfId="5" applyFont="1" applyFill="1" applyBorder="1" applyAlignment="1">
      <alignment horizontal="center" vertical="center" wrapText="1"/>
    </xf>
    <xf numFmtId="0" fontId="4" fillId="2" borderId="26" xfId="5" applyFont="1" applyFill="1" applyBorder="1" applyAlignment="1">
      <alignment horizontal="center" vertical="center" wrapText="1"/>
    </xf>
    <xf numFmtId="0" fontId="4" fillId="2" borderId="19" xfId="5" applyFont="1" applyFill="1" applyBorder="1" applyAlignment="1">
      <alignment horizontal="center" vertical="center" wrapText="1"/>
    </xf>
    <xf numFmtId="0" fontId="4" fillId="2" borderId="31" xfId="5" applyFont="1" applyFill="1" applyBorder="1" applyAlignment="1">
      <alignment horizontal="center" vertical="center" wrapText="1"/>
    </xf>
    <xf numFmtId="0" fontId="4" fillId="2" borderId="18" xfId="5" applyFont="1" applyFill="1" applyBorder="1" applyAlignment="1">
      <alignment horizontal="center" vertical="center" wrapText="1"/>
    </xf>
    <xf numFmtId="0" fontId="5" fillId="2" borderId="37" xfId="5" applyFont="1" applyFill="1" applyBorder="1" applyAlignment="1">
      <alignment horizontal="center"/>
    </xf>
    <xf numFmtId="0" fontId="5" fillId="2" borderId="110" xfId="5" applyFont="1" applyFill="1" applyBorder="1" applyAlignment="1">
      <alignment horizontal="center"/>
    </xf>
    <xf numFmtId="0" fontId="5" fillId="2" borderId="12" xfId="5" applyFont="1" applyFill="1" applyBorder="1" applyAlignment="1">
      <alignment horizontal="center"/>
    </xf>
    <xf numFmtId="0" fontId="5" fillId="2" borderId="98" xfId="5" applyFont="1" applyFill="1" applyBorder="1" applyAlignment="1">
      <alignment horizontal="center"/>
    </xf>
    <xf numFmtId="164" fontId="5" fillId="0" borderId="17" xfId="6" applyFont="1" applyFill="1" applyBorder="1" applyAlignment="1">
      <alignment horizontal="center"/>
    </xf>
    <xf numFmtId="164" fontId="5" fillId="0" borderId="4" xfId="6" applyFont="1" applyFill="1" applyBorder="1" applyAlignment="1">
      <alignment horizontal="center"/>
    </xf>
    <xf numFmtId="164" fontId="5" fillId="0" borderId="5" xfId="6" applyFont="1" applyFill="1" applyBorder="1" applyAlignment="1">
      <alignment horizontal="center"/>
    </xf>
    <xf numFmtId="164" fontId="5" fillId="0" borderId="19" xfId="6" applyFont="1" applyFill="1" applyBorder="1" applyAlignment="1">
      <alignment horizontal="center"/>
    </xf>
    <xf numFmtId="164" fontId="5" fillId="0" borderId="2" xfId="6" applyFont="1" applyFill="1" applyBorder="1" applyAlignment="1">
      <alignment horizontal="center"/>
    </xf>
    <xf numFmtId="164" fontId="5" fillId="0" borderId="33" xfId="6" applyFont="1" applyFill="1" applyBorder="1" applyAlignment="1">
      <alignment horizontal="center"/>
    </xf>
    <xf numFmtId="164" fontId="5" fillId="0" borderId="7" xfId="6" applyFont="1" applyFill="1" applyBorder="1" applyAlignment="1">
      <alignment horizontal="center"/>
    </xf>
    <xf numFmtId="0" fontId="7" fillId="5" borderId="1" xfId="5" applyFont="1" applyFill="1" applyBorder="1" applyAlignment="1">
      <alignment horizontal="center"/>
    </xf>
    <xf numFmtId="0" fontId="5" fillId="2" borderId="11" xfId="5" applyFont="1" applyFill="1" applyBorder="1" applyAlignment="1">
      <alignment horizontal="center" vertical="center" wrapText="1"/>
    </xf>
    <xf numFmtId="0" fontId="5" fillId="2" borderId="10" xfId="5" applyFont="1" applyFill="1" applyBorder="1" applyAlignment="1">
      <alignment horizontal="center" vertical="center" wrapText="1"/>
    </xf>
    <xf numFmtId="0" fontId="5" fillId="2" borderId="9" xfId="5" applyFont="1" applyFill="1" applyBorder="1" applyAlignment="1">
      <alignment horizontal="center" vertical="center" wrapText="1"/>
    </xf>
    <xf numFmtId="0" fontId="5" fillId="2" borderId="22" xfId="5" applyFont="1" applyFill="1" applyBorder="1" applyAlignment="1">
      <alignment horizontal="center" vertical="center" wrapText="1"/>
    </xf>
    <xf numFmtId="0" fontId="5" fillId="2" borderId="23" xfId="5" applyFont="1" applyFill="1" applyBorder="1" applyAlignment="1">
      <alignment horizontal="center" vertical="center" wrapText="1"/>
    </xf>
    <xf numFmtId="0" fontId="5" fillId="2" borderId="6" xfId="5" applyFont="1" applyFill="1" applyBorder="1" applyAlignment="1">
      <alignment horizontal="center" vertical="center" wrapText="1"/>
    </xf>
    <xf numFmtId="164" fontId="4" fillId="0" borderId="20" xfId="6" applyFont="1" applyBorder="1" applyAlignment="1">
      <alignment horizontal="center"/>
    </xf>
    <xf numFmtId="164" fontId="5" fillId="0" borderId="20" xfId="6" applyFont="1" applyBorder="1" applyAlignment="1">
      <alignment horizontal="center"/>
    </xf>
    <xf numFmtId="0" fontId="5" fillId="3" borderId="16" xfId="5" applyFont="1" applyFill="1" applyBorder="1" applyAlignment="1">
      <alignment horizontal="center"/>
    </xf>
    <xf numFmtId="0" fontId="5" fillId="3" borderId="15" xfId="5" applyFont="1" applyFill="1" applyBorder="1" applyAlignment="1">
      <alignment horizontal="center"/>
    </xf>
    <xf numFmtId="0" fontId="5" fillId="3" borderId="14" xfId="5" applyFont="1" applyFill="1" applyBorder="1" applyAlignment="1">
      <alignment horizontal="center"/>
    </xf>
    <xf numFmtId="0" fontId="4" fillId="0" borderId="104" xfId="5" applyFont="1" applyFill="1" applyBorder="1" applyAlignment="1">
      <alignment horizontal="center"/>
    </xf>
    <xf numFmtId="0" fontId="4" fillId="0" borderId="99" xfId="5" applyFont="1" applyFill="1" applyBorder="1" applyAlignment="1">
      <alignment horizontal="center"/>
    </xf>
    <xf numFmtId="0" fontId="4" fillId="0" borderId="27" xfId="5" applyFont="1" applyFill="1" applyBorder="1" applyAlignment="1">
      <alignment horizontal="center"/>
    </xf>
    <xf numFmtId="0" fontId="4" fillId="0" borderId="95" xfId="5" applyFont="1" applyFill="1" applyBorder="1" applyAlignment="1">
      <alignment horizontal="center"/>
    </xf>
    <xf numFmtId="164" fontId="4" fillId="0" borderId="20" xfId="5" applyNumberFormat="1" applyFont="1" applyBorder="1" applyAlignment="1">
      <alignment horizontal="center"/>
    </xf>
    <xf numFmtId="164" fontId="4" fillId="0" borderId="4" xfId="5" applyNumberFormat="1" applyFont="1" applyBorder="1" applyAlignment="1">
      <alignment horizontal="center"/>
    </xf>
    <xf numFmtId="9" fontId="4" fillId="0" borderId="24" xfId="5" applyNumberFormat="1" applyFont="1" applyBorder="1" applyAlignment="1">
      <alignment horizontal="center" vertical="center"/>
    </xf>
    <xf numFmtId="0" fontId="4" fillId="0" borderId="24" xfId="5" applyFont="1" applyBorder="1" applyAlignment="1">
      <alignment horizontal="center" vertical="center"/>
    </xf>
    <xf numFmtId="0" fontId="23" fillId="2" borderId="86" xfId="0" applyFont="1" applyFill="1" applyBorder="1" applyAlignment="1">
      <alignment horizontal="center"/>
    </xf>
    <xf numFmtId="0" fontId="23" fillId="2" borderId="87" xfId="0" applyFont="1" applyFill="1" applyBorder="1" applyAlignment="1">
      <alignment horizontal="center"/>
    </xf>
    <xf numFmtId="0" fontId="23" fillId="2" borderId="88" xfId="0" applyFont="1" applyFill="1" applyBorder="1" applyAlignment="1">
      <alignment horizontal="center"/>
    </xf>
    <xf numFmtId="0" fontId="5" fillId="2" borderId="13" xfId="5" applyFont="1" applyFill="1" applyBorder="1" applyAlignment="1">
      <alignment horizontal="center" vertical="center" wrapText="1"/>
    </xf>
    <xf numFmtId="0" fontId="5" fillId="2" borderId="30" xfId="5" applyFont="1" applyFill="1" applyBorder="1" applyAlignment="1">
      <alignment horizontal="center" vertical="center" wrapText="1"/>
    </xf>
    <xf numFmtId="0" fontId="4" fillId="0" borderId="3" xfId="5" applyFont="1" applyFill="1" applyBorder="1" applyAlignment="1">
      <alignment horizontal="center"/>
    </xf>
    <xf numFmtId="0" fontId="4" fillId="0" borderId="2" xfId="5" applyFont="1" applyFill="1" applyBorder="1" applyAlignment="1">
      <alignment horizontal="center"/>
    </xf>
    <xf numFmtId="0" fontId="4" fillId="2" borderId="3" xfId="5" applyFont="1" applyFill="1" applyBorder="1" applyAlignment="1">
      <alignment horizontal="center" vertical="center" wrapText="1"/>
    </xf>
    <xf numFmtId="0" fontId="4" fillId="0" borderId="17" xfId="5" applyFont="1" applyFill="1" applyBorder="1" applyAlignment="1">
      <alignment horizontal="center"/>
    </xf>
    <xf numFmtId="0" fontId="23" fillId="2" borderId="11" xfId="0" applyFont="1" applyFill="1" applyBorder="1" applyAlignment="1">
      <alignment horizontal="center" vertical="center"/>
    </xf>
    <xf numFmtId="0" fontId="23" fillId="2" borderId="8" xfId="0" applyFont="1" applyFill="1" applyBorder="1" applyAlignment="1">
      <alignment horizontal="center" vertical="center"/>
    </xf>
    <xf numFmtId="0" fontId="5" fillId="2" borderId="29" xfId="5" applyFont="1" applyFill="1" applyBorder="1" applyAlignment="1">
      <alignment horizontal="center" vertical="center" wrapText="1"/>
    </xf>
    <xf numFmtId="0" fontId="5" fillId="2" borderId="5" xfId="5" applyFont="1" applyFill="1" applyBorder="1" applyAlignment="1">
      <alignment horizontal="center" vertical="center" wrapText="1"/>
    </xf>
    <xf numFmtId="0" fontId="5" fillId="2" borderId="2" xfId="5" applyFont="1" applyFill="1" applyBorder="1" applyAlignment="1">
      <alignment horizontal="center" vertical="center" wrapText="1"/>
    </xf>
    <xf numFmtId="164" fontId="5" fillId="0" borderId="22" xfId="6" applyFont="1" applyFill="1" applyBorder="1" applyAlignment="1">
      <alignment horizontal="center"/>
    </xf>
    <xf numFmtId="164" fontId="5" fillId="0" borderId="6" xfId="6" applyFont="1" applyFill="1" applyBorder="1" applyAlignment="1">
      <alignment horizontal="center"/>
    </xf>
    <xf numFmtId="0" fontId="4" fillId="0" borderId="20" xfId="5" applyFont="1" applyBorder="1" applyAlignment="1">
      <alignment horizontal="center"/>
    </xf>
    <xf numFmtId="0" fontId="4" fillId="0" borderId="4" xfId="5" applyFont="1" applyBorder="1" applyAlignment="1">
      <alignment horizontal="center"/>
    </xf>
    <xf numFmtId="0" fontId="5" fillId="6" borderId="20" xfId="5" applyFont="1" applyFill="1" applyBorder="1" applyAlignment="1">
      <alignment horizontal="center"/>
    </xf>
    <xf numFmtId="0" fontId="5" fillId="6" borderId="4" xfId="5" applyFont="1" applyFill="1" applyBorder="1" applyAlignment="1">
      <alignment horizontal="center"/>
    </xf>
    <xf numFmtId="165" fontId="4" fillId="0" borderId="20" xfId="5" applyNumberFormat="1" applyFont="1" applyFill="1" applyBorder="1" applyAlignment="1">
      <alignment horizontal="center"/>
    </xf>
    <xf numFmtId="165" fontId="4" fillId="0" borderId="4" xfId="5" applyNumberFormat="1" applyFont="1" applyFill="1" applyBorder="1" applyAlignment="1">
      <alignment horizontal="center"/>
    </xf>
    <xf numFmtId="165" fontId="4" fillId="0" borderId="20" xfId="6" quotePrefix="1" applyNumberFormat="1" applyFont="1" applyBorder="1" applyAlignment="1">
      <alignment horizontal="center" vertical="center"/>
    </xf>
    <xf numFmtId="165" fontId="4" fillId="0" borderId="4" xfId="6" quotePrefix="1" applyNumberFormat="1" applyFont="1" applyBorder="1" applyAlignment="1">
      <alignment horizontal="center" vertical="center"/>
    </xf>
    <xf numFmtId="173" fontId="4" fillId="0" borderId="20" xfId="6" applyNumberFormat="1" applyFont="1" applyBorder="1" applyAlignment="1">
      <alignment horizontal="center" vertical="center"/>
    </xf>
    <xf numFmtId="173" fontId="4" fillId="0" borderId="4" xfId="6" applyNumberFormat="1" applyFont="1" applyBorder="1" applyAlignment="1">
      <alignment horizontal="center" vertical="center"/>
    </xf>
    <xf numFmtId="168" fontId="4" fillId="0" borderId="20" xfId="6" applyNumberFormat="1" applyFont="1" applyBorder="1" applyAlignment="1">
      <alignment horizontal="center" vertical="center"/>
    </xf>
    <xf numFmtId="168" fontId="4" fillId="0" borderId="4" xfId="6" applyNumberFormat="1" applyFont="1" applyBorder="1" applyAlignment="1">
      <alignment horizontal="center" vertical="center"/>
    </xf>
    <xf numFmtId="165" fontId="5" fillId="0" borderId="20" xfId="6" applyNumberFormat="1" applyFont="1" applyBorder="1" applyAlignment="1">
      <alignment horizontal="center" vertical="center"/>
    </xf>
    <xf numFmtId="165" fontId="5" fillId="0" borderId="4" xfId="6" applyNumberFormat="1" applyFont="1" applyBorder="1" applyAlignment="1">
      <alignment horizontal="center" vertical="center"/>
    </xf>
    <xf numFmtId="165" fontId="5" fillId="0" borderId="20" xfId="5" applyNumberFormat="1" applyFont="1" applyBorder="1" applyAlignment="1">
      <alignment horizontal="center"/>
    </xf>
    <xf numFmtId="0" fontId="4" fillId="6" borderId="0" xfId="5" applyFont="1" applyFill="1" applyBorder="1" applyAlignment="1">
      <alignment horizontal="center"/>
    </xf>
    <xf numFmtId="164" fontId="4" fillId="0" borderId="5" xfId="6" applyFont="1" applyFill="1" applyBorder="1" applyAlignment="1">
      <alignment horizontal="center"/>
    </xf>
    <xf numFmtId="164" fontId="4" fillId="0" borderId="2" xfId="6" applyFont="1" applyFill="1" applyBorder="1" applyAlignment="1">
      <alignment horizontal="center"/>
    </xf>
    <xf numFmtId="164" fontId="4" fillId="0" borderId="33" xfId="6" applyFont="1" applyFill="1" applyBorder="1" applyAlignment="1">
      <alignment horizontal="center"/>
    </xf>
    <xf numFmtId="164" fontId="4" fillId="0" borderId="7" xfId="6" applyFont="1" applyFill="1" applyBorder="1" applyAlignment="1">
      <alignment horizontal="center"/>
    </xf>
    <xf numFmtId="0" fontId="4" fillId="2" borderId="43" xfId="5" applyFont="1" applyFill="1" applyBorder="1" applyAlignment="1">
      <alignment horizontal="center" vertical="center" wrapText="1"/>
    </xf>
    <xf numFmtId="0" fontId="4" fillId="2" borderId="14" xfId="5" applyFont="1" applyFill="1" applyBorder="1" applyAlignment="1">
      <alignment horizontal="center" vertical="center" wrapText="1"/>
    </xf>
    <xf numFmtId="0" fontId="4" fillId="2" borderId="32" xfId="5" applyFont="1" applyFill="1" applyBorder="1" applyAlignment="1">
      <alignment horizontal="center" vertical="center" wrapText="1"/>
    </xf>
    <xf numFmtId="0" fontId="4" fillId="2" borderId="30" xfId="5" applyFont="1" applyFill="1" applyBorder="1" applyAlignment="1">
      <alignment horizontal="center" vertical="center" wrapText="1"/>
    </xf>
    <xf numFmtId="0" fontId="4" fillId="2" borderId="1" xfId="5" applyFont="1" applyFill="1" applyBorder="1" applyAlignment="1">
      <alignment horizontal="center" vertical="center" wrapText="1"/>
    </xf>
    <xf numFmtId="0" fontId="4" fillId="2" borderId="16" xfId="5" applyFont="1" applyFill="1" applyBorder="1" applyAlignment="1">
      <alignment horizontal="center" vertical="center" wrapText="1"/>
    </xf>
    <xf numFmtId="10" fontId="4" fillId="0" borderId="24" xfId="5" applyNumberFormat="1" applyFont="1" applyBorder="1" applyAlignment="1">
      <alignment horizontal="center" vertical="center"/>
    </xf>
    <xf numFmtId="164" fontId="5" fillId="0" borderId="46" xfId="6" applyFont="1" applyFill="1" applyBorder="1" applyAlignment="1">
      <alignment horizontal="center"/>
    </xf>
    <xf numFmtId="164" fontId="5" fillId="0" borderId="47" xfId="6" applyFont="1" applyFill="1" applyBorder="1" applyAlignment="1">
      <alignment horizontal="center"/>
    </xf>
    <xf numFmtId="164" fontId="5" fillId="0" borderId="8" xfId="6" applyFont="1" applyFill="1" applyBorder="1" applyAlignment="1">
      <alignment horizontal="center"/>
    </xf>
    <xf numFmtId="164" fontId="5" fillId="0" borderId="32" xfId="6" applyFont="1" applyFill="1" applyBorder="1" applyAlignment="1">
      <alignment horizontal="center"/>
    </xf>
    <xf numFmtId="164" fontId="5" fillId="0" borderId="20" xfId="6" applyFont="1" applyFill="1" applyBorder="1" applyAlignment="1">
      <alignment horizontal="center"/>
    </xf>
    <xf numFmtId="0" fontId="19" fillId="6" borderId="0" xfId="5" applyFont="1" applyFill="1" applyAlignment="1">
      <alignment horizontal="center"/>
    </xf>
    <xf numFmtId="173" fontId="4" fillId="6" borderId="20" xfId="6" applyNumberFormat="1" applyFont="1" applyFill="1" applyBorder="1" applyAlignment="1">
      <alignment horizontal="center" vertical="center"/>
    </xf>
    <xf numFmtId="173" fontId="4" fillId="6" borderId="4" xfId="6" applyNumberFormat="1" applyFont="1" applyFill="1" applyBorder="1" applyAlignment="1">
      <alignment horizontal="center" vertical="center"/>
    </xf>
    <xf numFmtId="164" fontId="4" fillId="6" borderId="20" xfId="6" applyFont="1" applyFill="1" applyBorder="1" applyAlignment="1">
      <alignment horizontal="center" vertical="center"/>
    </xf>
    <xf numFmtId="164" fontId="4" fillId="6" borderId="4" xfId="6" applyFont="1" applyFill="1" applyBorder="1" applyAlignment="1">
      <alignment horizontal="center" vertical="center"/>
    </xf>
    <xf numFmtId="164" fontId="4" fillId="0" borderId="17" xfId="6" applyFont="1" applyFill="1" applyBorder="1" applyAlignment="1">
      <alignment horizontal="center"/>
    </xf>
    <xf numFmtId="164" fontId="4" fillId="0" borderId="4" xfId="6" applyFont="1" applyFill="1" applyBorder="1" applyAlignment="1">
      <alignment horizontal="center"/>
    </xf>
    <xf numFmtId="0" fontId="4" fillId="2" borderId="35" xfId="5" applyFont="1" applyFill="1" applyBorder="1" applyAlignment="1">
      <alignment horizontal="center" vertical="center" wrapText="1"/>
    </xf>
    <xf numFmtId="0" fontId="4" fillId="2" borderId="46" xfId="5" applyFont="1" applyFill="1" applyBorder="1" applyAlignment="1">
      <alignment horizontal="center" vertical="center" wrapText="1"/>
    </xf>
    <xf numFmtId="0" fontId="4" fillId="2" borderId="24" xfId="5" applyFont="1" applyFill="1" applyBorder="1" applyAlignment="1">
      <alignment horizontal="center" vertical="center" wrapText="1"/>
    </xf>
    <xf numFmtId="165" fontId="16" fillId="0" borderId="20" xfId="6" applyNumberFormat="1" applyFont="1" applyBorder="1" applyAlignment="1">
      <alignment horizontal="center" vertical="center"/>
    </xf>
    <xf numFmtId="165" fontId="16" fillId="0" borderId="4" xfId="6" applyNumberFormat="1" applyFont="1" applyBorder="1" applyAlignment="1">
      <alignment horizontal="center" vertical="center"/>
    </xf>
    <xf numFmtId="164" fontId="4" fillId="0" borderId="20" xfId="5" applyNumberFormat="1" applyFont="1" applyFill="1" applyBorder="1" applyAlignment="1">
      <alignment horizontal="center"/>
    </xf>
    <xf numFmtId="164" fontId="4" fillId="0" borderId="4" xfId="5" applyNumberFormat="1" applyFont="1" applyFill="1" applyBorder="1" applyAlignment="1">
      <alignment horizontal="center"/>
    </xf>
    <xf numFmtId="168" fontId="5" fillId="0" borderId="20" xfId="5" applyNumberFormat="1" applyFont="1" applyBorder="1" applyAlignment="1">
      <alignment horizontal="center"/>
    </xf>
    <xf numFmtId="168" fontId="5" fillId="0" borderId="4" xfId="5" applyNumberFormat="1" applyFont="1" applyBorder="1" applyAlignment="1">
      <alignment horizontal="center"/>
    </xf>
    <xf numFmtId="170" fontId="5" fillId="0" borderId="20" xfId="5" applyNumberFormat="1" applyFont="1" applyBorder="1" applyAlignment="1">
      <alignment horizontal="center"/>
    </xf>
    <xf numFmtId="170" fontId="5" fillId="0" borderId="4" xfId="5" applyNumberFormat="1" applyFont="1" applyBorder="1" applyAlignment="1">
      <alignment horizontal="center"/>
    </xf>
    <xf numFmtId="165" fontId="5" fillId="0" borderId="4" xfId="5" applyNumberFormat="1" applyFont="1" applyBorder="1" applyAlignment="1">
      <alignment horizontal="center"/>
    </xf>
    <xf numFmtId="164" fontId="5" fillId="0" borderId="94" xfId="6" applyFont="1" applyFill="1" applyBorder="1" applyAlignment="1">
      <alignment horizontal="center"/>
    </xf>
    <xf numFmtId="164" fontId="5" fillId="0" borderId="107" xfId="6" applyFont="1" applyFill="1" applyBorder="1" applyAlignment="1">
      <alignment horizontal="center"/>
    </xf>
    <xf numFmtId="164" fontId="5" fillId="0" borderId="108" xfId="6" applyFont="1" applyFill="1" applyBorder="1" applyAlignment="1">
      <alignment horizontal="center"/>
    </xf>
    <xf numFmtId="164" fontId="5" fillId="0" borderId="109" xfId="6" applyFont="1" applyFill="1" applyBorder="1" applyAlignment="1">
      <alignment horizontal="center"/>
    </xf>
    <xf numFmtId="164" fontId="4" fillId="0" borderId="20" xfId="1" applyNumberFormat="1" applyFont="1" applyBorder="1" applyAlignment="1">
      <alignment horizontal="center"/>
    </xf>
    <xf numFmtId="164" fontId="4" fillId="0" borderId="4" xfId="1" applyNumberFormat="1" applyFont="1" applyBorder="1" applyAlignment="1">
      <alignment horizontal="center"/>
    </xf>
    <xf numFmtId="165" fontId="4" fillId="0" borderId="20" xfId="2" applyNumberFormat="1" applyFont="1" applyBorder="1" applyAlignment="1">
      <alignment horizontal="center" vertical="center"/>
    </xf>
    <xf numFmtId="165" fontId="4" fillId="0" borderId="4" xfId="2" applyNumberFormat="1" applyFont="1" applyBorder="1" applyAlignment="1">
      <alignment horizontal="center" vertical="center"/>
    </xf>
    <xf numFmtId="164" fontId="5" fillId="4" borderId="20" xfId="2" applyFont="1" applyFill="1" applyBorder="1" applyAlignment="1">
      <alignment horizontal="center" vertical="center"/>
    </xf>
    <xf numFmtId="164" fontId="5" fillId="4" borderId="4" xfId="2" applyFont="1" applyFill="1" applyBorder="1" applyAlignment="1">
      <alignment horizontal="center" vertical="center"/>
    </xf>
    <xf numFmtId="164" fontId="4" fillId="0" borderId="20" xfId="2" applyFont="1" applyBorder="1" applyAlignment="1">
      <alignment horizontal="center" vertical="center"/>
    </xf>
    <xf numFmtId="164" fontId="4" fillId="0" borderId="4" xfId="2" applyFont="1" applyBorder="1" applyAlignment="1">
      <alignment horizontal="center" vertical="center"/>
    </xf>
    <xf numFmtId="164" fontId="4" fillId="0" borderId="20" xfId="2" applyFont="1" applyBorder="1" applyAlignment="1">
      <alignment horizontal="center"/>
    </xf>
    <xf numFmtId="164" fontId="4" fillId="0" borderId="4" xfId="2" applyFont="1" applyBorder="1" applyAlignment="1">
      <alignment horizontal="center"/>
    </xf>
    <xf numFmtId="164" fontId="5" fillId="0" borderId="20" xfId="2" applyFont="1" applyBorder="1" applyAlignment="1">
      <alignment horizontal="center"/>
    </xf>
    <xf numFmtId="164" fontId="5" fillId="0" borderId="4" xfId="2" applyFont="1" applyBorder="1" applyAlignment="1">
      <alignment horizontal="center"/>
    </xf>
    <xf numFmtId="0" fontId="5" fillId="0" borderId="20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164" fontId="4" fillId="0" borderId="20" xfId="2" applyFont="1" applyFill="1" applyBorder="1" applyAlignment="1">
      <alignment horizontal="center" vertical="center"/>
    </xf>
    <xf numFmtId="164" fontId="4" fillId="0" borderId="4" xfId="2" applyFont="1" applyFill="1" applyBorder="1" applyAlignment="1">
      <alignment horizontal="center" vertical="center"/>
    </xf>
    <xf numFmtId="0" fontId="4" fillId="4" borderId="20" xfId="1" applyFont="1" applyFill="1" applyBorder="1" applyAlignment="1">
      <alignment horizontal="center"/>
    </xf>
    <xf numFmtId="0" fontId="4" fillId="4" borderId="4" xfId="1" applyFont="1" applyFill="1" applyBorder="1" applyAlignment="1">
      <alignment horizontal="center"/>
    </xf>
    <xf numFmtId="165" fontId="5" fillId="0" borderId="20" xfId="2" applyNumberFormat="1" applyFont="1" applyBorder="1" applyAlignment="1">
      <alignment horizontal="center" vertical="center"/>
    </xf>
    <xf numFmtId="165" fontId="5" fillId="0" borderId="4" xfId="2" applyNumberFormat="1" applyFont="1" applyBorder="1" applyAlignment="1">
      <alignment horizontal="center" vertical="center"/>
    </xf>
    <xf numFmtId="0" fontId="19" fillId="0" borderId="0" xfId="1" applyFont="1" applyAlignment="1">
      <alignment horizontal="center"/>
    </xf>
    <xf numFmtId="0" fontId="4" fillId="2" borderId="37" xfId="1" applyFont="1" applyFill="1" applyBorder="1" applyAlignment="1">
      <alignment horizontal="center" vertical="center" wrapText="1"/>
    </xf>
    <xf numFmtId="0" fontId="4" fillId="2" borderId="33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4" fillId="2" borderId="25" xfId="1" applyFont="1" applyFill="1" applyBorder="1" applyAlignment="1">
      <alignment horizontal="center" vertical="center" wrapText="1"/>
    </xf>
    <xf numFmtId="0" fontId="4" fillId="2" borderId="21" xfId="1" applyFont="1" applyFill="1" applyBorder="1" applyAlignment="1">
      <alignment horizontal="center" vertical="center" wrapText="1"/>
    </xf>
    <xf numFmtId="0" fontId="5" fillId="2" borderId="35" xfId="1" applyFont="1" applyFill="1" applyBorder="1" applyAlignment="1">
      <alignment horizontal="center" vertical="center" wrapText="1"/>
    </xf>
    <xf numFmtId="0" fontId="5" fillId="2" borderId="36" xfId="1" applyFont="1" applyFill="1" applyBorder="1" applyAlignment="1">
      <alignment horizontal="center" vertical="center" wrapText="1"/>
    </xf>
    <xf numFmtId="0" fontId="5" fillId="2" borderId="34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0" borderId="20" xfId="1" applyFont="1" applyFill="1" applyBorder="1" applyAlignment="1">
      <alignment horizontal="center"/>
    </xf>
    <xf numFmtId="0" fontId="4" fillId="0" borderId="4" xfId="1" applyFont="1" applyFill="1" applyBorder="1" applyAlignment="1">
      <alignment horizont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30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/>
    </xf>
    <xf numFmtId="0" fontId="5" fillId="2" borderId="110" xfId="1" applyFont="1" applyFill="1" applyBorder="1" applyAlignment="1">
      <alignment horizontal="center"/>
    </xf>
    <xf numFmtId="0" fontId="5" fillId="2" borderId="98" xfId="1" applyFont="1" applyFill="1" applyBorder="1" applyAlignment="1">
      <alignment horizontal="center"/>
    </xf>
    <xf numFmtId="0" fontId="4" fillId="2" borderId="29" xfId="1" applyFont="1" applyFill="1" applyBorder="1" applyAlignment="1">
      <alignment horizontal="center" vertical="center"/>
    </xf>
    <xf numFmtId="0" fontId="4" fillId="2" borderId="2" xfId="1" applyFont="1" applyFill="1" applyBorder="1" applyAlignment="1">
      <alignment horizontal="center" vertical="center"/>
    </xf>
    <xf numFmtId="0" fontId="5" fillId="3" borderId="8" xfId="1" applyFont="1" applyFill="1" applyBorder="1" applyAlignment="1">
      <alignment horizontal="center"/>
    </xf>
    <xf numFmtId="0" fontId="5" fillId="3" borderId="0" xfId="1" applyFont="1" applyFill="1" applyBorder="1" applyAlignment="1">
      <alignment horizontal="center"/>
    </xf>
    <xf numFmtId="0" fontId="5" fillId="3" borderId="32" xfId="1" applyFont="1" applyFill="1" applyBorder="1" applyAlignment="1">
      <alignment horizontal="center"/>
    </xf>
    <xf numFmtId="0" fontId="4" fillId="0" borderId="17" xfId="1" applyFont="1" applyFill="1" applyBorder="1" applyAlignment="1">
      <alignment horizontal="center"/>
    </xf>
    <xf numFmtId="0" fontId="4" fillId="2" borderId="13" xfId="1" applyFont="1" applyFill="1" applyBorder="1" applyAlignment="1">
      <alignment horizontal="center" vertical="center" wrapText="1"/>
    </xf>
    <xf numFmtId="0" fontId="4" fillId="2" borderId="5" xfId="1" applyFont="1" applyFill="1" applyBorder="1" applyAlignment="1">
      <alignment horizontal="center" vertical="center" wrapText="1"/>
    </xf>
    <xf numFmtId="0" fontId="4" fillId="2" borderId="26" xfId="1" applyFont="1" applyFill="1" applyBorder="1" applyAlignment="1">
      <alignment horizontal="center" vertical="center" wrapText="1"/>
    </xf>
    <xf numFmtId="0" fontId="4" fillId="2" borderId="19" xfId="1" applyFont="1" applyFill="1" applyBorder="1" applyAlignment="1">
      <alignment horizontal="center" vertical="center" wrapText="1"/>
    </xf>
    <xf numFmtId="0" fontId="4" fillId="0" borderId="104" xfId="1" applyFont="1" applyFill="1" applyBorder="1" applyAlignment="1">
      <alignment horizontal="center"/>
    </xf>
    <xf numFmtId="0" fontId="4" fillId="0" borderId="99" xfId="1" applyFont="1" applyFill="1" applyBorder="1" applyAlignment="1">
      <alignment horizontal="center"/>
    </xf>
    <xf numFmtId="0" fontId="4" fillId="0" borderId="27" xfId="1" applyFont="1" applyFill="1" applyBorder="1" applyAlignment="1">
      <alignment horizontal="center"/>
    </xf>
    <xf numFmtId="0" fontId="4" fillId="0" borderId="95" xfId="1" applyFont="1" applyFill="1" applyBorder="1" applyAlignment="1">
      <alignment horizontal="center"/>
    </xf>
    <xf numFmtId="0" fontId="5" fillId="2" borderId="12" xfId="1" applyFont="1" applyFill="1" applyBorder="1" applyAlignment="1">
      <alignment horizontal="center"/>
    </xf>
    <xf numFmtId="0" fontId="4" fillId="2" borderId="98" xfId="1" applyFont="1" applyFill="1" applyBorder="1" applyAlignment="1">
      <alignment horizontal="center" vertical="center" wrapText="1"/>
    </xf>
    <xf numFmtId="0" fontId="4" fillId="2" borderId="38" xfId="1" applyFont="1" applyFill="1" applyBorder="1" applyAlignment="1">
      <alignment horizontal="center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4" fillId="2" borderId="10" xfId="1" applyFont="1" applyFill="1" applyBorder="1" applyAlignment="1">
      <alignment horizontal="center" vertical="center" wrapText="1"/>
    </xf>
    <xf numFmtId="0" fontId="4" fillId="2" borderId="9" xfId="1" applyFont="1" applyFill="1" applyBorder="1" applyAlignment="1">
      <alignment horizontal="center" vertical="center" wrapText="1"/>
    </xf>
    <xf numFmtId="0" fontId="5" fillId="2" borderId="37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33" xfId="1" applyFont="1" applyFill="1" applyBorder="1" applyAlignment="1">
      <alignment horizontal="center" vertical="center" wrapText="1"/>
    </xf>
    <xf numFmtId="0" fontId="5" fillId="2" borderId="7" xfId="1" applyFont="1" applyFill="1" applyBorder="1" applyAlignment="1">
      <alignment horizontal="center" vertical="center" wrapText="1"/>
    </xf>
    <xf numFmtId="0" fontId="4" fillId="2" borderId="29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5" fillId="2" borderId="25" xfId="1" applyFont="1" applyFill="1" applyBorder="1" applyAlignment="1">
      <alignment horizontal="center" vertical="center" wrapText="1"/>
    </xf>
    <xf numFmtId="0" fontId="5" fillId="2" borderId="24" xfId="1" applyFont="1" applyFill="1" applyBorder="1" applyAlignment="1">
      <alignment horizontal="center" vertical="center" wrapText="1"/>
    </xf>
    <xf numFmtId="0" fontId="5" fillId="2" borderId="21" xfId="1" applyFont="1" applyFill="1" applyBorder="1" applyAlignment="1">
      <alignment horizontal="center" vertical="center" wrapText="1"/>
    </xf>
    <xf numFmtId="0" fontId="5" fillId="2" borderId="110" xfId="1" applyFont="1" applyFill="1" applyBorder="1" applyAlignment="1">
      <alignment horizontal="center" vertical="center" wrapText="1"/>
    </xf>
    <xf numFmtId="0" fontId="5" fillId="2" borderId="39" xfId="1" applyFont="1" applyFill="1" applyBorder="1" applyAlignment="1">
      <alignment horizontal="center" vertical="center" wrapText="1"/>
    </xf>
    <xf numFmtId="0" fontId="5" fillId="3" borderId="16" xfId="1" applyFont="1" applyFill="1" applyBorder="1" applyAlignment="1">
      <alignment horizontal="center"/>
    </xf>
    <xf numFmtId="0" fontId="5" fillId="3" borderId="15" xfId="1" applyFont="1" applyFill="1" applyBorder="1" applyAlignment="1">
      <alignment horizontal="center"/>
    </xf>
    <xf numFmtId="0" fontId="5" fillId="3" borderId="14" xfId="1" applyFont="1" applyFill="1" applyBorder="1" applyAlignment="1">
      <alignment horizontal="center"/>
    </xf>
    <xf numFmtId="164" fontId="5" fillId="0" borderId="5" xfId="2" applyFont="1" applyFill="1" applyBorder="1" applyAlignment="1">
      <alignment horizontal="center"/>
    </xf>
    <xf numFmtId="164" fontId="5" fillId="0" borderId="19" xfId="2" applyFont="1" applyFill="1" applyBorder="1" applyAlignment="1">
      <alignment horizontal="center"/>
    </xf>
    <xf numFmtId="164" fontId="5" fillId="0" borderId="2" xfId="2" applyFont="1" applyFill="1" applyBorder="1" applyAlignment="1">
      <alignment horizontal="center"/>
    </xf>
    <xf numFmtId="164" fontId="5" fillId="0" borderId="16" xfId="2" applyFont="1" applyFill="1" applyBorder="1" applyAlignment="1">
      <alignment horizontal="center"/>
    </xf>
    <xf numFmtId="164" fontId="5" fillId="0" borderId="14" xfId="2" applyFont="1" applyFill="1" applyBorder="1" applyAlignment="1">
      <alignment horizontal="center"/>
    </xf>
    <xf numFmtId="164" fontId="5" fillId="0" borderId="17" xfId="2" applyFont="1" applyBorder="1" applyAlignment="1">
      <alignment horizontal="center"/>
    </xf>
    <xf numFmtId="164" fontId="4" fillId="0" borderId="17" xfId="2" applyFont="1" applyBorder="1" applyAlignment="1">
      <alignment horizontal="center"/>
    </xf>
    <xf numFmtId="0" fontId="5" fillId="3" borderId="28" xfId="1" applyFont="1" applyFill="1" applyBorder="1" applyAlignment="1">
      <alignment horizontal="center"/>
    </xf>
    <xf numFmtId="0" fontId="5" fillId="3" borderId="27" xfId="1" applyFont="1" applyFill="1" applyBorder="1" applyAlignment="1">
      <alignment horizontal="center"/>
    </xf>
    <xf numFmtId="0" fontId="4" fillId="0" borderId="3" xfId="1" applyFont="1" applyFill="1" applyBorder="1" applyAlignment="1">
      <alignment horizontal="center"/>
    </xf>
    <xf numFmtId="0" fontId="4" fillId="0" borderId="2" xfId="1" applyFont="1" applyFill="1" applyBorder="1" applyAlignment="1">
      <alignment horizontal="center"/>
    </xf>
    <xf numFmtId="0" fontId="4" fillId="2" borderId="31" xfId="1" applyFont="1" applyFill="1" applyBorder="1" applyAlignment="1">
      <alignment horizontal="center" vertical="center" wrapText="1"/>
    </xf>
    <xf numFmtId="0" fontId="4" fillId="2" borderId="18" xfId="1" applyFont="1" applyFill="1" applyBorder="1" applyAlignment="1">
      <alignment horizontal="center" vertical="center" wrapText="1"/>
    </xf>
    <xf numFmtId="165" fontId="5" fillId="0" borderId="20" xfId="1" applyNumberFormat="1" applyFont="1" applyBorder="1" applyAlignment="1">
      <alignment horizontal="center"/>
    </xf>
    <xf numFmtId="165" fontId="5" fillId="0" borderId="4" xfId="1" applyNumberFormat="1" applyFont="1" applyBorder="1" applyAlignment="1">
      <alignment horizontal="center"/>
    </xf>
    <xf numFmtId="0" fontId="4" fillId="2" borderId="6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2" borderId="22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 wrapText="1"/>
    </xf>
    <xf numFmtId="0" fontId="5" fillId="2" borderId="23" xfId="1" applyFont="1" applyFill="1" applyBorder="1" applyAlignment="1">
      <alignment horizontal="center" vertical="center" wrapText="1"/>
    </xf>
    <xf numFmtId="164" fontId="5" fillId="0" borderId="17" xfId="2" applyFont="1" applyFill="1" applyBorder="1" applyAlignment="1">
      <alignment horizontal="center"/>
    </xf>
    <xf numFmtId="164" fontId="5" fillId="0" borderId="20" xfId="2" applyFont="1" applyFill="1" applyBorder="1" applyAlignment="1">
      <alignment horizontal="center"/>
    </xf>
    <xf numFmtId="164" fontId="5" fillId="0" borderId="4" xfId="2" applyFont="1" applyFill="1" applyBorder="1" applyAlignment="1">
      <alignment horizontal="center"/>
    </xf>
    <xf numFmtId="164" fontId="4" fillId="0" borderId="5" xfId="2" applyFont="1" applyFill="1" applyBorder="1" applyAlignment="1">
      <alignment horizontal="center"/>
    </xf>
    <xf numFmtId="164" fontId="4" fillId="0" borderId="2" xfId="2" applyFont="1" applyFill="1" applyBorder="1" applyAlignment="1">
      <alignment horizontal="center"/>
    </xf>
    <xf numFmtId="164" fontId="4" fillId="0" borderId="33" xfId="2" applyFont="1" applyFill="1" applyBorder="1" applyAlignment="1">
      <alignment horizontal="center"/>
    </xf>
    <xf numFmtId="164" fontId="4" fillId="0" borderId="7" xfId="2" applyFont="1" applyFill="1" applyBorder="1" applyAlignment="1">
      <alignment horizontal="center"/>
    </xf>
    <xf numFmtId="164" fontId="16" fillId="0" borderId="20" xfId="1" applyNumberFormat="1" applyFont="1" applyBorder="1" applyAlignment="1">
      <alignment horizontal="center"/>
    </xf>
    <xf numFmtId="164" fontId="16" fillId="0" borderId="4" xfId="1" applyNumberFormat="1" applyFont="1" applyBorder="1" applyAlignment="1">
      <alignment horizontal="center"/>
    </xf>
    <xf numFmtId="165" fontId="16" fillId="0" borderId="20" xfId="2" applyNumberFormat="1" applyFont="1" applyBorder="1" applyAlignment="1">
      <alignment horizontal="center" vertical="center"/>
    </xf>
    <xf numFmtId="165" fontId="16" fillId="0" borderId="4" xfId="2" applyNumberFormat="1" applyFont="1" applyBorder="1" applyAlignment="1">
      <alignment horizontal="center" vertical="center"/>
    </xf>
    <xf numFmtId="164" fontId="21" fillId="4" borderId="20" xfId="2" applyFont="1" applyFill="1" applyBorder="1" applyAlignment="1">
      <alignment horizontal="center" vertical="center"/>
    </xf>
    <xf numFmtId="164" fontId="21" fillId="4" borderId="4" xfId="2" applyFont="1" applyFill="1" applyBorder="1" applyAlignment="1">
      <alignment horizontal="center" vertical="center"/>
    </xf>
    <xf numFmtId="164" fontId="16" fillId="0" borderId="20" xfId="2" applyFont="1" applyBorder="1" applyAlignment="1">
      <alignment horizontal="center" vertical="center"/>
    </xf>
    <xf numFmtId="164" fontId="16" fillId="0" borderId="4" xfId="2" applyFont="1" applyBorder="1" applyAlignment="1">
      <alignment horizontal="center" vertical="center"/>
    </xf>
    <xf numFmtId="164" fontId="9" fillId="0" borderId="20" xfId="2" applyFont="1" applyBorder="1" applyAlignment="1">
      <alignment horizontal="center"/>
    </xf>
    <xf numFmtId="164" fontId="9" fillId="0" borderId="4" xfId="2" applyFont="1" applyBorder="1" applyAlignment="1">
      <alignment horizontal="center"/>
    </xf>
    <xf numFmtId="164" fontId="21" fillId="0" borderId="20" xfId="2" applyFont="1" applyBorder="1" applyAlignment="1">
      <alignment horizontal="center"/>
    </xf>
    <xf numFmtId="164" fontId="21" fillId="0" borderId="4" xfId="2" applyFont="1" applyBorder="1" applyAlignment="1">
      <alignment horizontal="center"/>
    </xf>
    <xf numFmtId="0" fontId="21" fillId="0" borderId="20" xfId="1" applyFont="1" applyBorder="1" applyAlignment="1">
      <alignment horizontal="center"/>
    </xf>
    <xf numFmtId="0" fontId="21" fillId="0" borderId="4" xfId="1" applyFont="1" applyBorder="1" applyAlignment="1">
      <alignment horizontal="center"/>
    </xf>
    <xf numFmtId="164" fontId="16" fillId="0" borderId="20" xfId="2" applyFont="1" applyFill="1" applyBorder="1" applyAlignment="1">
      <alignment horizontal="center" vertical="center"/>
    </xf>
    <xf numFmtId="164" fontId="16" fillId="0" borderId="4" xfId="2" applyFont="1" applyFill="1" applyBorder="1" applyAlignment="1">
      <alignment horizontal="center" vertical="center"/>
    </xf>
    <xf numFmtId="165" fontId="4" fillId="4" borderId="20" xfId="1" applyNumberFormat="1" applyFont="1" applyFill="1" applyBorder="1" applyAlignment="1">
      <alignment horizontal="center"/>
    </xf>
    <xf numFmtId="164" fontId="5" fillId="0" borderId="33" xfId="2" applyFont="1" applyFill="1" applyBorder="1" applyAlignment="1">
      <alignment horizontal="center"/>
    </xf>
    <xf numFmtId="164" fontId="5" fillId="0" borderId="7" xfId="2" applyFont="1" applyFill="1" applyBorder="1" applyAlignment="1">
      <alignment horizontal="center"/>
    </xf>
    <xf numFmtId="164" fontId="21" fillId="0" borderId="17" xfId="2" applyFont="1" applyBorder="1" applyAlignment="1">
      <alignment horizontal="center"/>
    </xf>
    <xf numFmtId="164" fontId="9" fillId="0" borderId="17" xfId="2" applyFont="1" applyBorder="1" applyAlignment="1">
      <alignment horizontal="center"/>
    </xf>
    <xf numFmtId="0" fontId="13" fillId="0" borderId="20" xfId="1" applyFont="1" applyBorder="1" applyAlignment="1">
      <alignment horizontal="center"/>
    </xf>
    <xf numFmtId="0" fontId="13" fillId="0" borderId="4" xfId="1" applyFont="1" applyBorder="1" applyAlignment="1">
      <alignment horizontal="center"/>
    </xf>
    <xf numFmtId="0" fontId="9" fillId="0" borderId="20" xfId="1" applyFont="1" applyFill="1" applyBorder="1" applyAlignment="1">
      <alignment horizontal="center"/>
    </xf>
    <xf numFmtId="0" fontId="9" fillId="0" borderId="4" xfId="1" applyFont="1" applyFill="1" applyBorder="1" applyAlignment="1">
      <alignment horizontal="center"/>
    </xf>
    <xf numFmtId="164" fontId="9" fillId="0" borderId="20" xfId="1" applyNumberFormat="1" applyFont="1" applyBorder="1" applyAlignment="1">
      <alignment horizontal="center"/>
    </xf>
    <xf numFmtId="164" fontId="9" fillId="0" borderId="4" xfId="1" applyNumberFormat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164" fontId="4" fillId="0" borderId="17" xfId="2" applyFont="1" applyFill="1" applyBorder="1" applyAlignment="1">
      <alignment horizontal="center"/>
    </xf>
    <xf numFmtId="164" fontId="4" fillId="0" borderId="4" xfId="2" applyFont="1" applyFill="1" applyBorder="1" applyAlignment="1">
      <alignment horizontal="center"/>
    </xf>
    <xf numFmtId="9" fontId="4" fillId="0" borderId="20" xfId="8" applyFont="1" applyBorder="1" applyAlignment="1">
      <alignment horizontal="center" vertical="center"/>
    </xf>
    <xf numFmtId="9" fontId="4" fillId="0" borderId="4" xfId="8" applyFont="1" applyBorder="1" applyAlignment="1">
      <alignment horizontal="center" vertical="center"/>
    </xf>
    <xf numFmtId="164" fontId="5" fillId="0" borderId="20" xfId="1" applyNumberFormat="1" applyFont="1" applyBorder="1" applyAlignment="1">
      <alignment horizontal="center"/>
    </xf>
    <xf numFmtId="164" fontId="5" fillId="0" borderId="4" xfId="1" applyNumberFormat="1" applyFont="1" applyBorder="1" applyAlignment="1">
      <alignment horizontal="center"/>
    </xf>
    <xf numFmtId="0" fontId="5" fillId="6" borderId="8" xfId="1" applyFont="1" applyFill="1" applyBorder="1" applyAlignment="1">
      <alignment horizontal="center"/>
    </xf>
    <xf numFmtId="0" fontId="5" fillId="6" borderId="0" xfId="1" applyFont="1" applyFill="1" applyBorder="1" applyAlignment="1">
      <alignment horizontal="center"/>
    </xf>
    <xf numFmtId="0" fontId="5" fillId="6" borderId="32" xfId="1" applyFont="1" applyFill="1" applyBorder="1" applyAlignment="1">
      <alignment horizontal="center"/>
    </xf>
    <xf numFmtId="173" fontId="4" fillId="0" borderId="20" xfId="1" applyNumberFormat="1" applyFont="1" applyBorder="1" applyAlignment="1">
      <alignment horizontal="center"/>
    </xf>
    <xf numFmtId="173" fontId="4" fillId="0" borderId="4" xfId="1" applyNumberFormat="1" applyFont="1" applyBorder="1" applyAlignment="1">
      <alignment horizontal="center"/>
    </xf>
    <xf numFmtId="0" fontId="4" fillId="2" borderId="42" xfId="5" applyFont="1" applyFill="1" applyBorder="1" applyAlignment="1">
      <alignment horizontal="center" vertical="center" wrapText="1"/>
    </xf>
    <xf numFmtId="0" fontId="4" fillId="0" borderId="20" xfId="1" applyFont="1" applyBorder="1" applyAlignment="1">
      <alignment horizontal="center"/>
    </xf>
    <xf numFmtId="0" fontId="4" fillId="0" borderId="4" xfId="1" applyFont="1" applyBorder="1" applyAlignment="1">
      <alignment horizontal="center"/>
    </xf>
    <xf numFmtId="0" fontId="9" fillId="0" borderId="20" xfId="1" applyFont="1" applyBorder="1" applyAlignment="1">
      <alignment horizontal="center"/>
    </xf>
    <xf numFmtId="0" fontId="9" fillId="0" borderId="4" xfId="1" applyFont="1" applyBorder="1" applyAlignment="1">
      <alignment horizontal="center"/>
    </xf>
    <xf numFmtId="0" fontId="9" fillId="0" borderId="17" xfId="1" applyFont="1" applyFill="1" applyBorder="1" applyAlignment="1">
      <alignment horizontal="center"/>
    </xf>
    <xf numFmtId="0" fontId="9" fillId="0" borderId="104" xfId="1" applyFont="1" applyFill="1" applyBorder="1" applyAlignment="1">
      <alignment horizontal="center"/>
    </xf>
    <xf numFmtId="0" fontId="9" fillId="0" borderId="99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95" xfId="1" applyFont="1" applyFill="1" applyBorder="1" applyAlignment="1">
      <alignment horizontal="center"/>
    </xf>
    <xf numFmtId="0" fontId="9" fillId="0" borderId="3" xfId="1" applyFont="1" applyFill="1" applyBorder="1" applyAlignment="1">
      <alignment horizontal="center"/>
    </xf>
    <xf numFmtId="0" fontId="9" fillId="0" borderId="2" xfId="1" applyFont="1" applyFill="1" applyBorder="1" applyAlignment="1">
      <alignment horizontal="center"/>
    </xf>
    <xf numFmtId="168" fontId="4" fillId="0" borderId="20" xfId="2" applyNumberFormat="1" applyFont="1" applyBorder="1" applyAlignment="1">
      <alignment horizontal="center" vertical="center"/>
    </xf>
    <xf numFmtId="168" fontId="4" fillId="0" borderId="4" xfId="2" applyNumberFormat="1" applyFont="1" applyBorder="1" applyAlignment="1">
      <alignment horizontal="center" vertical="center"/>
    </xf>
    <xf numFmtId="166" fontId="5" fillId="4" borderId="20" xfId="2" applyNumberFormat="1" applyFont="1" applyFill="1" applyBorder="1" applyAlignment="1">
      <alignment horizontal="center" vertical="center"/>
    </xf>
    <xf numFmtId="166" fontId="5" fillId="4" borderId="4" xfId="2" applyNumberFormat="1" applyFont="1" applyFill="1" applyBorder="1" applyAlignment="1">
      <alignment horizontal="center" vertical="center"/>
    </xf>
    <xf numFmtId="165" fontId="4" fillId="0" borderId="20" xfId="1" applyNumberFormat="1" applyFont="1" applyFill="1" applyBorder="1" applyAlignment="1">
      <alignment horizontal="center"/>
    </xf>
    <xf numFmtId="164" fontId="4" fillId="0" borderId="17" xfId="1" applyNumberFormat="1" applyFont="1" applyBorder="1" applyAlignment="1">
      <alignment horizontal="center"/>
    </xf>
    <xf numFmtId="0" fontId="17" fillId="2" borderId="53" xfId="0" applyFont="1" applyFill="1" applyBorder="1" applyAlignment="1">
      <alignment horizontal="center" vertical="center" wrapText="1"/>
    </xf>
    <xf numFmtId="0" fontId="17" fillId="2" borderId="58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7" fillId="9" borderId="53" xfId="0" applyFont="1" applyFill="1" applyBorder="1" applyAlignment="1">
      <alignment horizontal="center" vertical="center" wrapText="1"/>
    </xf>
    <xf numFmtId="0" fontId="17" fillId="9" borderId="58" xfId="0" applyFont="1" applyFill="1" applyBorder="1" applyAlignment="1">
      <alignment horizontal="center" vertical="center" wrapText="1"/>
    </xf>
    <xf numFmtId="0" fontId="17" fillId="2" borderId="112" xfId="0" applyFont="1" applyFill="1" applyBorder="1" applyAlignment="1">
      <alignment horizontal="center" vertical="center" wrapText="1"/>
    </xf>
    <xf numFmtId="0" fontId="17" fillId="2" borderId="77" xfId="0" applyFont="1" applyFill="1" applyBorder="1" applyAlignment="1">
      <alignment horizontal="center" vertical="center" wrapText="1"/>
    </xf>
    <xf numFmtId="0" fontId="17" fillId="0" borderId="52" xfId="0" applyFont="1" applyBorder="1" applyAlignment="1">
      <alignment horizontal="center"/>
    </xf>
    <xf numFmtId="0" fontId="17" fillId="7" borderId="53" xfId="0" applyFont="1" applyFill="1" applyBorder="1" applyAlignment="1">
      <alignment horizontal="center" vertical="center"/>
    </xf>
    <xf numFmtId="0" fontId="17" fillId="7" borderId="58" xfId="0" applyFont="1" applyFill="1" applyBorder="1" applyAlignment="1">
      <alignment horizontal="center" vertical="center"/>
    </xf>
    <xf numFmtId="0" fontId="17" fillId="3" borderId="53" xfId="0" applyFont="1" applyFill="1" applyBorder="1" applyAlignment="1">
      <alignment horizontal="center" vertical="center"/>
    </xf>
    <xf numFmtId="0" fontId="17" fillId="3" borderId="58" xfId="0" applyFont="1" applyFill="1" applyBorder="1" applyAlignment="1">
      <alignment horizontal="center" vertical="center"/>
    </xf>
    <xf numFmtId="0" fontId="17" fillId="8" borderId="53" xfId="0" applyFont="1" applyFill="1" applyBorder="1" applyAlignment="1">
      <alignment horizontal="center" vertical="center"/>
    </xf>
    <xf numFmtId="0" fontId="17" fillId="8" borderId="58" xfId="0" applyFont="1" applyFill="1" applyBorder="1" applyAlignment="1">
      <alignment horizontal="center" vertical="center"/>
    </xf>
    <xf numFmtId="0" fontId="17" fillId="10" borderId="53" xfId="0" applyFont="1" applyFill="1" applyBorder="1" applyAlignment="1">
      <alignment horizontal="center"/>
    </xf>
    <xf numFmtId="0" fontId="17" fillId="10" borderId="58" xfId="0" applyFont="1" applyFill="1" applyBorder="1" applyAlignment="1">
      <alignment horizontal="center"/>
    </xf>
    <xf numFmtId="0" fontId="17" fillId="0" borderId="51" xfId="0" applyFont="1" applyBorder="1" applyAlignment="1">
      <alignment horizontal="center" vertical="center"/>
    </xf>
    <xf numFmtId="0" fontId="17" fillId="0" borderId="52" xfId="0" applyFont="1" applyBorder="1" applyAlignment="1">
      <alignment horizontal="center" vertical="center"/>
    </xf>
    <xf numFmtId="0" fontId="17" fillId="0" borderId="106" xfId="0" applyFont="1" applyBorder="1" applyAlignment="1">
      <alignment horizontal="center" vertical="center"/>
    </xf>
    <xf numFmtId="0" fontId="36" fillId="10" borderId="11" xfId="0" applyFont="1" applyFill="1" applyBorder="1" applyAlignment="1">
      <alignment horizontal="center" wrapText="1"/>
    </xf>
    <xf numFmtId="0" fontId="36" fillId="10" borderId="10" xfId="0" applyFont="1" applyFill="1" applyBorder="1" applyAlignment="1">
      <alignment horizontal="center" wrapText="1"/>
    </xf>
    <xf numFmtId="0" fontId="36" fillId="10" borderId="9" xfId="0" applyFont="1" applyFill="1" applyBorder="1" applyAlignment="1">
      <alignment horizontal="center" wrapText="1"/>
    </xf>
    <xf numFmtId="0" fontId="36" fillId="10" borderId="28" xfId="0" applyFont="1" applyFill="1" applyBorder="1" applyAlignment="1">
      <alignment horizontal="center" wrapText="1"/>
    </xf>
    <xf numFmtId="0" fontId="36" fillId="10" borderId="27" xfId="0" applyFont="1" applyFill="1" applyBorder="1" applyAlignment="1">
      <alignment horizontal="center" wrapText="1"/>
    </xf>
    <xf numFmtId="0" fontId="36" fillId="10" borderId="95" xfId="0" applyFont="1" applyFill="1" applyBorder="1" applyAlignment="1">
      <alignment horizontal="center" wrapText="1"/>
    </xf>
    <xf numFmtId="0" fontId="0" fillId="0" borderId="86" xfId="0" applyBorder="1" applyAlignment="1">
      <alignment horizontal="center"/>
    </xf>
    <xf numFmtId="0" fontId="0" fillId="0" borderId="87" xfId="0" applyBorder="1" applyAlignment="1">
      <alignment horizontal="center"/>
    </xf>
    <xf numFmtId="0" fontId="0" fillId="0" borderId="88" xfId="0" applyBorder="1" applyAlignment="1">
      <alignment horizontal="center"/>
    </xf>
    <xf numFmtId="164" fontId="35" fillId="11" borderId="11" xfId="5" applyNumberFormat="1" applyFont="1" applyFill="1" applyBorder="1" applyAlignment="1">
      <alignment horizontal="center" vertical="center" wrapText="1"/>
    </xf>
    <xf numFmtId="164" fontId="35" fillId="11" borderId="9" xfId="5" applyNumberFormat="1" applyFont="1" applyFill="1" applyBorder="1" applyAlignment="1">
      <alignment horizontal="center" vertical="center" wrapText="1"/>
    </xf>
    <xf numFmtId="164" fontId="5" fillId="11" borderId="11" xfId="5" applyNumberFormat="1" applyFont="1" applyFill="1" applyBorder="1" applyAlignment="1">
      <alignment horizontal="center" vertical="center" wrapText="1"/>
    </xf>
    <xf numFmtId="164" fontId="5" fillId="11" borderId="9" xfId="5" applyNumberFormat="1" applyFont="1" applyFill="1" applyBorder="1" applyAlignment="1">
      <alignment horizontal="center" vertical="center" wrapText="1"/>
    </xf>
    <xf numFmtId="164" fontId="5" fillId="2" borderId="86" xfId="5" applyNumberFormat="1" applyFont="1" applyFill="1" applyBorder="1" applyAlignment="1">
      <alignment horizontal="center" vertical="center" wrapText="1"/>
    </xf>
    <xf numFmtId="164" fontId="5" fillId="2" borderId="87" xfId="5" applyNumberFormat="1" applyFont="1" applyFill="1" applyBorder="1" applyAlignment="1">
      <alignment horizontal="center" vertical="center" wrapText="1"/>
    </xf>
    <xf numFmtId="164" fontId="5" fillId="2" borderId="88" xfId="5" applyNumberFormat="1" applyFont="1" applyFill="1" applyBorder="1" applyAlignment="1">
      <alignment horizontal="center" vertical="center" wrapText="1"/>
    </xf>
    <xf numFmtId="164" fontId="35" fillId="11" borderId="10" xfId="5" applyNumberFormat="1" applyFont="1" applyFill="1" applyBorder="1" applyAlignment="1">
      <alignment horizontal="center" vertical="center" wrapText="1"/>
    </xf>
    <xf numFmtId="164" fontId="5" fillId="11" borderId="10" xfId="5" applyNumberFormat="1" applyFont="1" applyFill="1" applyBorder="1" applyAlignment="1">
      <alignment horizontal="center" vertical="center" wrapText="1"/>
    </xf>
    <xf numFmtId="164" fontId="35" fillId="2" borderId="87" xfId="5" applyNumberFormat="1" applyFont="1" applyFill="1" applyBorder="1" applyAlignment="1">
      <alignment horizontal="center" vertical="center" wrapText="1"/>
    </xf>
    <xf numFmtId="164" fontId="35" fillId="11" borderId="1" xfId="5" applyNumberFormat="1" applyFont="1" applyFill="1" applyBorder="1" applyAlignment="1">
      <alignment horizontal="center" vertical="center" wrapText="1"/>
    </xf>
    <xf numFmtId="164" fontId="5" fillId="11" borderId="1" xfId="5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164" fontId="35" fillId="2" borderId="88" xfId="5" applyNumberFormat="1" applyFont="1" applyFill="1" applyBorder="1" applyAlignment="1">
      <alignment horizontal="center" vertical="center" wrapText="1"/>
    </xf>
  </cellXfs>
  <cellStyles count="15">
    <cellStyle name="Обычный" xfId="0" builtinId="0"/>
    <cellStyle name="Обычный 2" xfId="1" xr:uid="{00000000-0005-0000-0000-000001000000}"/>
    <cellStyle name="Обычный 2 2" xfId="5" xr:uid="{00000000-0005-0000-0000-000002000000}"/>
    <cellStyle name="Обычный 2 3" xfId="11" xr:uid="{00000000-0005-0000-0000-000003000000}"/>
    <cellStyle name="Обычный 3" xfId="12" xr:uid="{00000000-0005-0000-0000-000004000000}"/>
    <cellStyle name="Обычный 4" xfId="14" xr:uid="{00000000-0005-0000-0000-000005000000}"/>
    <cellStyle name="Обычный 5" xfId="10" xr:uid="{00000000-0005-0000-0000-000006000000}"/>
    <cellStyle name="Процентный" xfId="8" builtinId="5"/>
    <cellStyle name="Процентный 2" xfId="3" xr:uid="{00000000-0005-0000-0000-000008000000}"/>
    <cellStyle name="Процентный 2 2" xfId="7" xr:uid="{00000000-0005-0000-0000-000009000000}"/>
    <cellStyle name="Стиль 1" xfId="4" xr:uid="{00000000-0005-0000-0000-00000A000000}"/>
    <cellStyle name="Финансовый" xfId="9" builtinId="3"/>
    <cellStyle name="Финансовый 2" xfId="2" xr:uid="{00000000-0005-0000-0000-00000C000000}"/>
    <cellStyle name="Финансовый 2 2" xfId="6" xr:uid="{00000000-0005-0000-0000-00000D000000}"/>
    <cellStyle name="Финансовый 2 3" xfId="13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Клинкер</a:t>
            </a:r>
          </a:p>
        </c:rich>
      </c:tx>
      <c:layout>
        <c:manualLayout>
          <c:xMode val="edge"/>
          <c:yMode val="edge"/>
          <c:x val="0.464989286807468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42.5Н'!$C$4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 I 42.5Н'!$B$5:$B$35</c:f>
              <c:numCache>
                <c:formatCode>dd/mm</c:formatCode>
                <c:ptCount val="2"/>
                <c:pt idx="0">
                  <c:v>45661</c:v>
                </c:pt>
                <c:pt idx="1">
                  <c:v>45662</c:v>
                </c:pt>
              </c:numCache>
            </c:numRef>
          </c:cat>
          <c:val>
            <c:numRef>
              <c:f>'ЦЕМ I 42.5Н'!$C$5:$C$35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A7-46F6-A121-F05C2E15A602}"/>
            </c:ext>
          </c:extLst>
        </c:ser>
        <c:ser>
          <c:idx val="1"/>
          <c:order val="1"/>
          <c:tx>
            <c:strRef>
              <c:f>'ЦЕМ I 42.5Н'!$D$4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 I 42.5Н'!$B$5:$B$35</c:f>
              <c:numCache>
                <c:formatCode>dd/mm</c:formatCode>
                <c:ptCount val="2"/>
                <c:pt idx="0">
                  <c:v>45661</c:v>
                </c:pt>
                <c:pt idx="1">
                  <c:v>45662</c:v>
                </c:pt>
              </c:numCache>
            </c:numRef>
          </c:cat>
          <c:val>
            <c:numRef>
              <c:f>'ЦЕМ I 42.5Н'!$D$5:$D$35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A7-46F6-A121-F05C2E15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05472"/>
        <c:axId val="875089272"/>
      </c:lineChart>
      <c:dateAx>
        <c:axId val="8751054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89272"/>
        <c:crosses val="autoZero"/>
        <c:auto val="1"/>
        <c:lblOffset val="100"/>
        <c:baseTimeUnit val="days"/>
      </c:dateAx>
      <c:valAx>
        <c:axId val="875089272"/>
        <c:scaling>
          <c:orientation val="minMax"/>
          <c:min val="0.8800000000000001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105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42.5Н'!$E$4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 I 42.5Н'!$B$5:$B$34</c:f>
              <c:numCache>
                <c:formatCode>dd/mm</c:formatCode>
                <c:ptCount val="2"/>
                <c:pt idx="0">
                  <c:v>45661</c:v>
                </c:pt>
                <c:pt idx="1">
                  <c:v>45662</c:v>
                </c:pt>
              </c:numCache>
            </c:numRef>
          </c:cat>
          <c:val>
            <c:numRef>
              <c:f>'ЦЕМ I 42.5Н'!$E$5:$E$34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BF-48E0-8D23-CD1C39EA4F87}"/>
            </c:ext>
          </c:extLst>
        </c:ser>
        <c:ser>
          <c:idx val="1"/>
          <c:order val="1"/>
          <c:tx>
            <c:strRef>
              <c:f>'ЦЕМ I 42.5Н'!$F$4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 I 42.5Н'!$B$5:$B$34</c:f>
              <c:numCache>
                <c:formatCode>dd/mm</c:formatCode>
                <c:ptCount val="2"/>
                <c:pt idx="0">
                  <c:v>45661</c:v>
                </c:pt>
                <c:pt idx="1">
                  <c:v>45662</c:v>
                </c:pt>
              </c:numCache>
            </c:numRef>
          </c:cat>
          <c:val>
            <c:numRef>
              <c:f>'ЦЕМ I 42.5Н'!$F$5:$F$34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BF-48E0-8D23-CD1C39EA4F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92872"/>
        <c:axId val="875096112"/>
      </c:lineChart>
      <c:dateAx>
        <c:axId val="875092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6112"/>
        <c:crosses val="autoZero"/>
        <c:auto val="1"/>
        <c:lblOffset val="100"/>
        <c:baseTimeUnit val="days"/>
      </c:dateAx>
      <c:valAx>
        <c:axId val="875096112"/>
        <c:scaling>
          <c:orientation val="minMax"/>
          <c:min val="4.0000000000000008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2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Золошлак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42.5Н'!$G$4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 I 42.5Н'!$B$5:$B$34</c:f>
              <c:numCache>
                <c:formatCode>dd/mm</c:formatCode>
                <c:ptCount val="2"/>
                <c:pt idx="0">
                  <c:v>45661</c:v>
                </c:pt>
                <c:pt idx="1">
                  <c:v>45662</c:v>
                </c:pt>
              </c:numCache>
            </c:numRef>
          </c:cat>
          <c:val>
            <c:numRef>
              <c:f>'ЦЕМ I 42.5Н'!$G$5:$G$34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66-406D-80A9-D39ACFC60DD0}"/>
            </c:ext>
          </c:extLst>
        </c:ser>
        <c:ser>
          <c:idx val="1"/>
          <c:order val="1"/>
          <c:tx>
            <c:strRef>
              <c:f>'ЦЕМ I 42.5Н'!$H$4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 I 42.5Н'!$B$5:$B$34</c:f>
              <c:numCache>
                <c:formatCode>dd/mm</c:formatCode>
                <c:ptCount val="2"/>
                <c:pt idx="0">
                  <c:v>45661</c:v>
                </c:pt>
                <c:pt idx="1">
                  <c:v>45662</c:v>
                </c:pt>
              </c:numCache>
            </c:numRef>
          </c:cat>
          <c:val>
            <c:numRef>
              <c:f>'ЦЕМ I 42.5Н'!$H$5:$H$34</c:f>
              <c:numCache>
                <c:formatCode>0.0%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66-406D-80A9-D39ACFC60D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  <c:majorUnit val="5.000000000000001E-3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Клинкер</a:t>
            </a:r>
          </a:p>
        </c:rich>
      </c:tx>
      <c:layout>
        <c:manualLayout>
          <c:xMode val="edge"/>
          <c:yMode val="edge"/>
          <c:x val="0.464989286807468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52.5Н'!$C$4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52.5Н'!$C$5:$C$35</c:f>
              <c:numCache>
                <c:formatCode>0.0%</c:formatCode>
                <c:ptCount val="4"/>
                <c:pt idx="0">
                  <c:v>0.95218178144148524</c:v>
                </c:pt>
                <c:pt idx="1">
                  <c:v>0.95218178144148524</c:v>
                </c:pt>
                <c:pt idx="2">
                  <c:v>0.95218178144148524</c:v>
                </c:pt>
                <c:pt idx="3">
                  <c:v>0.95218178144148524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67-42F9-9995-AAB3F5B280E0}"/>
            </c:ext>
          </c:extLst>
        </c:ser>
        <c:ser>
          <c:idx val="1"/>
          <c:order val="1"/>
          <c:tx>
            <c:strRef>
              <c:f>'ЦЕМ I 52.5Н'!$D$4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52.5Н'!$D$5:$D$35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67-42F9-9995-AAB3F5B28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05472"/>
        <c:axId val="875089272"/>
      </c:lineChart>
      <c:dateAx>
        <c:axId val="8751054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89272"/>
        <c:crosses val="autoZero"/>
        <c:auto val="1"/>
        <c:lblOffset val="100"/>
        <c:baseTimeUnit val="days"/>
      </c:dateAx>
      <c:valAx>
        <c:axId val="875089272"/>
        <c:scaling>
          <c:orientation val="minMax"/>
          <c:min val="0.8800000000000001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105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ln>
                  <a:noFill/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52.5Н'!$E$4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52.5Н'!$E$5:$E$35</c:f>
              <c:numCache>
                <c:formatCode>0.0%</c:formatCode>
                <c:ptCount val="4"/>
                <c:pt idx="0">
                  <c:v>5.8694078701034727E-2</c:v>
                </c:pt>
                <c:pt idx="1">
                  <c:v>5.8694078701034727E-2</c:v>
                </c:pt>
                <c:pt idx="2">
                  <c:v>5.8694078701034727E-2</c:v>
                </c:pt>
                <c:pt idx="3">
                  <c:v>5.8694078701034727E-2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CB-49B7-8E3F-2B1034A84AD5}"/>
            </c:ext>
          </c:extLst>
        </c:ser>
        <c:ser>
          <c:idx val="1"/>
          <c:order val="1"/>
          <c:tx>
            <c:strRef>
              <c:f>'ЦЕМ I 52.5Н'!$F$4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52.5Н'!$F$5:$F$35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CB-49B7-8E3F-2B1034A84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92872"/>
        <c:axId val="875096112"/>
      </c:lineChart>
      <c:dateAx>
        <c:axId val="875092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6112"/>
        <c:crosses val="autoZero"/>
        <c:auto val="1"/>
        <c:lblOffset val="100"/>
        <c:baseTimeUnit val="days"/>
      </c:dateAx>
      <c:valAx>
        <c:axId val="875096112"/>
        <c:scaling>
          <c:orientation val="minMax"/>
          <c:min val="3.0000000000000006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2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52.5Н'!$G$4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52.5Н'!$G$5:$G$35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68-4338-B588-F341A0AB1700}"/>
            </c:ext>
          </c:extLst>
        </c:ser>
        <c:ser>
          <c:idx val="1"/>
          <c:order val="1"/>
          <c:tx>
            <c:strRef>
              <c:f>'ЦЕМ I 52.5Н'!$H$4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52.5Н'!$H$5:$H$35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968-4338-B588-F341A0AB1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in val="3.0000000000000006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52.5Н'!$G$4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52.5Н'!$G$5:$G$35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2B-4A83-A9BF-2DC02EBF19D2}"/>
            </c:ext>
          </c:extLst>
        </c:ser>
        <c:ser>
          <c:idx val="1"/>
          <c:order val="1"/>
          <c:tx>
            <c:strRef>
              <c:f>'ЦЕМ I 52.5Н'!$H$4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52.5Н'!$H$5:$H$35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2B-4A83-A9BF-2DC02EBF1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 II А-К 42,5Н'!$G$4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42,5Н'!$G$5:$G$35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3E-43BD-8FFC-A0FAED8E4FFB}"/>
            </c:ext>
          </c:extLst>
        </c:ser>
        <c:ser>
          <c:idx val="1"/>
          <c:order val="1"/>
          <c:tx>
            <c:strRef>
              <c:f>'ЦЕМ II А-К 42,5Н'!$H$4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42,5Н'!$H$5:$H$35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3E-43BD-8FFC-A0FAED8E4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Клинкер</a:t>
            </a:r>
          </a:p>
        </c:rich>
      </c:tx>
      <c:layout>
        <c:manualLayout>
          <c:xMode val="edge"/>
          <c:yMode val="edge"/>
          <c:x val="0.464989286807468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'ЦEМ II B-K(З-И) 32,5H'!$C$4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32,5H'!$C$5:$C$35</c:f>
              <c:numCache>
                <c:formatCode>0.0%</c:formatCode>
                <c:ptCount val="3"/>
                <c:pt idx="0">
                  <c:v>0.71633525321383362</c:v>
                </c:pt>
                <c:pt idx="1">
                  <c:v>0.71633525321383362</c:v>
                </c:pt>
                <c:pt idx="2">
                  <c:v>0.71633525321383362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75D-40F3-8261-AF362851603F}"/>
            </c:ext>
          </c:extLst>
        </c:ser>
        <c:ser>
          <c:idx val="1"/>
          <c:order val="1"/>
          <c:tx>
            <c:strRef>
              <c:f>'ЦEМ II B-K(З-И) 32,5H'!$D$4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32,5H'!$D$5:$D$35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75D-40F3-8261-AF3628516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05472"/>
        <c:axId val="875089272"/>
      </c:lineChart>
      <c:dateAx>
        <c:axId val="8751054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89272"/>
        <c:crosses val="autoZero"/>
        <c:auto val="1"/>
        <c:lblOffset val="100"/>
        <c:baseTimeUnit val="days"/>
      </c:dateAx>
      <c:valAx>
        <c:axId val="875089272"/>
        <c:scaling>
          <c:orientation val="minMax"/>
          <c:max val="0.9"/>
          <c:min val="0.4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105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'ЦEМ II B-K(З-И) 32,5H'!$E$4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32,5H'!$E$5:$E$35</c:f>
              <c:numCache>
                <c:formatCode>0.0%</c:formatCode>
                <c:ptCount val="3"/>
                <c:pt idx="0">
                  <c:v>6.229433156421426E-2</c:v>
                </c:pt>
                <c:pt idx="1">
                  <c:v>6.229433156421426E-2</c:v>
                </c:pt>
                <c:pt idx="2">
                  <c:v>6.229433156421426E-2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2E-4824-BF6B-FB7012AB3D29}"/>
            </c:ext>
          </c:extLst>
        </c:ser>
        <c:ser>
          <c:idx val="1"/>
          <c:order val="1"/>
          <c:tx>
            <c:strRef>
              <c:f>'ЦEМ II B-K(З-И) 32,5H'!$F$4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32,5H'!$F$5:$F$35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37-49EA-B0FC-DB921997A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92872"/>
        <c:axId val="875096112"/>
      </c:lineChart>
      <c:dateAx>
        <c:axId val="875092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6112"/>
        <c:crosses val="autoZero"/>
        <c:auto val="1"/>
        <c:lblOffset val="100"/>
        <c:baseTimeUnit val="days"/>
      </c:dateAx>
      <c:valAx>
        <c:axId val="875096112"/>
        <c:scaling>
          <c:orientation val="minMax"/>
          <c:min val="4.0000000000000008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2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Золошлак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'ЦEМ II B-K(З-И) 32,5H'!$G$4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32,5H'!$G$5:$G$35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8-4692-9746-080D411D1858}"/>
            </c:ext>
          </c:extLst>
        </c:ser>
        <c:ser>
          <c:idx val="1"/>
          <c:order val="1"/>
          <c:tx>
            <c:strRef>
              <c:f>'ЦEМ II B-K(З-И) 32,5H'!$H$4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32,5H'!$H$5:$H$35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9D-4D7E-B49B-AB30FE015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ax val="0.24000000000000002"/>
          <c:min val="0.14000000000000001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  <c:majorUnit val="1.0000000000000002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'ЦEМ II B-K(З-И) 32,5H'!$I$4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32,5H'!$I$5:$I$35</c:f>
              <c:numCache>
                <c:formatCode>0.0%</c:formatCode>
                <c:ptCount val="3"/>
                <c:pt idx="0">
                  <c:v>0.242121</c:v>
                </c:pt>
                <c:pt idx="1">
                  <c:v>0.242121</c:v>
                </c:pt>
                <c:pt idx="2">
                  <c:v>0.242121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56-400C-9473-3E72841308FC}"/>
            </c:ext>
          </c:extLst>
        </c:ser>
        <c:ser>
          <c:idx val="1"/>
          <c:order val="1"/>
          <c:tx>
            <c:strRef>
              <c:f>'ЦEМ II B-K(З-И) 32,5H'!$J$4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'ЦEМ II B-K(З-И) 32,5H'!$B$5:$B$35</c:f>
              <c:numCache>
                <c:formatCode>dd/mm</c:formatCode>
                <c:ptCount val="3"/>
                <c:pt idx="0">
                  <c:v>45661</c:v>
                </c:pt>
                <c:pt idx="1">
                  <c:v>45667</c:v>
                </c:pt>
                <c:pt idx="2">
                  <c:v>45673</c:v>
                </c:pt>
              </c:numCache>
            </c:numRef>
          </c:cat>
          <c:val>
            <c:numRef>
              <c:f>'ЦEМ II B-K(З-И) 32,5H'!$J$5:$J$35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56-400C-9473-3E7284130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ax val="0.15000000000000002"/>
          <c:min val="5.000000000000001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 I 52.5Н'!$G$4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52.5Н'!$G$5:$G$35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6C-4A9A-9D03-AEE051BD50C0}"/>
            </c:ext>
          </c:extLst>
        </c:ser>
        <c:ser>
          <c:idx val="1"/>
          <c:order val="1"/>
          <c:tx>
            <c:strRef>
              <c:f>'ЦЕМ I 52.5Н'!$H$4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 I 52.5Н'!$B$5:$B$35</c:f>
              <c:numCache>
                <c:formatCode>dd/mm</c:formatCode>
                <c:ptCount val="4"/>
                <c:pt idx="0">
                  <c:v>45665</c:v>
                </c:pt>
                <c:pt idx="1">
                  <c:v>45668</c:v>
                </c:pt>
                <c:pt idx="2">
                  <c:v>45669</c:v>
                </c:pt>
                <c:pt idx="3">
                  <c:v>45671</c:v>
                </c:pt>
              </c:numCache>
            </c:numRef>
          </c:cat>
          <c:val>
            <c:numRef>
              <c:f>'ЦЕМ I 52.5Н'!$H$5:$H$35</c:f>
              <c:numCache>
                <c:formatCode>0.0%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6C-4A9A-9D03-AEE051BD50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 II А-К 42,5Н'!$G$4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42,5Н'!$G$5:$G$35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D8-4FCD-BB73-82F894F154E3}"/>
            </c:ext>
          </c:extLst>
        </c:ser>
        <c:ser>
          <c:idx val="1"/>
          <c:order val="1"/>
          <c:tx>
            <c:strRef>
              <c:f>'ЦЕМ II А-К 42,5Н'!$H$4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42,5Н'!$H$5:$H$35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D8-4FCD-BB73-82F894F15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Клинкер</a:t>
            </a:r>
          </a:p>
        </c:rich>
      </c:tx>
      <c:layout>
        <c:manualLayout>
          <c:xMode val="edge"/>
          <c:yMode val="edge"/>
          <c:x val="0.4649892868074685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 II А-К 42,5Н'!$C$4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42,5Н'!$C$5:$C$35</c:f>
              <c:numCache>
                <c:formatCode>0.0%</c:formatCode>
                <c:ptCount val="9"/>
                <c:pt idx="0">
                  <c:v>0.75712759112548067</c:v>
                </c:pt>
                <c:pt idx="1">
                  <c:v>0.75712759112548067</c:v>
                </c:pt>
                <c:pt idx="2">
                  <c:v>0.75712759112548067</c:v>
                </c:pt>
                <c:pt idx="3">
                  <c:v>0.75712759112548067</c:v>
                </c:pt>
                <c:pt idx="4">
                  <c:v>0.75712759112548067</c:v>
                </c:pt>
                <c:pt idx="5">
                  <c:v>0.75712759112548067</c:v>
                </c:pt>
                <c:pt idx="6">
                  <c:v>0.75712759112548067</c:v>
                </c:pt>
                <c:pt idx="7">
                  <c:v>0.75712759112548067</c:v>
                </c:pt>
                <c:pt idx="8">
                  <c:v>0.75712759112548067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BB-4490-9E50-024283F87AC0}"/>
            </c:ext>
          </c:extLst>
        </c:ser>
        <c:ser>
          <c:idx val="1"/>
          <c:order val="1"/>
          <c:tx>
            <c:strRef>
              <c:f>'ЦЕМ II А-К 42,5Н'!$D$4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42,5Н'!$D$5:$D$35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BB-4490-9E50-024283F87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105472"/>
        <c:axId val="875089272"/>
      </c:lineChart>
      <c:dateAx>
        <c:axId val="8751054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89272"/>
        <c:crosses val="autoZero"/>
        <c:auto val="1"/>
        <c:lblOffset val="100"/>
        <c:baseTimeUnit val="days"/>
      </c:dateAx>
      <c:valAx>
        <c:axId val="875089272"/>
        <c:scaling>
          <c:orientation val="minMax"/>
          <c:max val="0.9"/>
          <c:min val="0.70000000000000007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1054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 II А-К 42,5Н'!$E$4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42,5Н'!$E$5:$E$35</c:f>
              <c:numCache>
                <c:formatCode>0.0%</c:formatCode>
                <c:ptCount val="9"/>
                <c:pt idx="0">
                  <c:v>6.1896050315885812E-2</c:v>
                </c:pt>
                <c:pt idx="1">
                  <c:v>6.1896050315885812E-2</c:v>
                </c:pt>
                <c:pt idx="2">
                  <c:v>6.1896050315885812E-2</c:v>
                </c:pt>
                <c:pt idx="3">
                  <c:v>6.1896050315885812E-2</c:v>
                </c:pt>
                <c:pt idx="4">
                  <c:v>6.1896050315885812E-2</c:v>
                </c:pt>
                <c:pt idx="5">
                  <c:v>6.1896050315885812E-2</c:v>
                </c:pt>
                <c:pt idx="6">
                  <c:v>6.1896050315885812E-2</c:v>
                </c:pt>
                <c:pt idx="7">
                  <c:v>6.1896050315885812E-2</c:v>
                </c:pt>
                <c:pt idx="8">
                  <c:v>6.1896050315885812E-2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3E-4FE1-A28F-09643B168387}"/>
            </c:ext>
          </c:extLst>
        </c:ser>
        <c:ser>
          <c:idx val="1"/>
          <c:order val="1"/>
          <c:tx>
            <c:strRef>
              <c:f>'ЦЕМ II А-К 42,5Н'!$F$4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42,5Н'!$F$5:$F$35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73E-4FE1-A28F-09643B168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5092872"/>
        <c:axId val="875096112"/>
      </c:lineChart>
      <c:dateAx>
        <c:axId val="875092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6112"/>
        <c:crosses val="autoZero"/>
        <c:auto val="1"/>
        <c:lblOffset val="100"/>
        <c:baseTimeUnit val="days"/>
      </c:dateAx>
      <c:valAx>
        <c:axId val="875096112"/>
        <c:scaling>
          <c:orientation val="minMax"/>
          <c:min val="4.0000000000000008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75092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Золошлак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 II А-К 42,5Н'!$G$4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42,5Н'!$G$5:$G$35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59-4D32-A44A-D95B5C406F4B}"/>
            </c:ext>
          </c:extLst>
        </c:ser>
        <c:ser>
          <c:idx val="1"/>
          <c:order val="1"/>
          <c:tx>
            <c:strRef>
              <c:f>'ЦЕМ II А-К 42,5Н'!$H$4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42,5Н'!$H$5:$H$35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59-4D32-A44A-D95B5C406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ax val="0.13"/>
          <c:min val="7.0000000000000007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  <c:majorUnit val="1.0000000000000002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'ЦЕМ II А-К 42,5Н'!$I$4</c:f>
              <c:strCache>
                <c:ptCount val="1"/>
                <c:pt idx="0">
                  <c:v> План  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42,5Н'!$I$5:$I$35</c:f>
              <c:numCache>
                <c:formatCode>0.0%</c:formatCode>
                <c:ptCount val="9"/>
                <c:pt idx="0">
                  <c:v>0.200013</c:v>
                </c:pt>
                <c:pt idx="1">
                  <c:v>0.200013</c:v>
                </c:pt>
                <c:pt idx="2">
                  <c:v>0.200013</c:v>
                </c:pt>
                <c:pt idx="3">
                  <c:v>0.200013</c:v>
                </c:pt>
                <c:pt idx="4">
                  <c:v>0.200013</c:v>
                </c:pt>
                <c:pt idx="5">
                  <c:v>0.200013</c:v>
                </c:pt>
                <c:pt idx="6">
                  <c:v>0.200013</c:v>
                </c:pt>
                <c:pt idx="7">
                  <c:v>0.200013</c:v>
                </c:pt>
                <c:pt idx="8">
                  <c:v>0.200013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43-4FDF-B85B-EB9E867732E1}"/>
            </c:ext>
          </c:extLst>
        </c:ser>
        <c:ser>
          <c:idx val="1"/>
          <c:order val="1"/>
          <c:tx>
            <c:strRef>
              <c:f>'ЦЕМ II А-К 42,5Н'!$J$4</c:f>
              <c:strCache>
                <c:ptCount val="1"/>
                <c:pt idx="0">
                  <c:v> Факт </c:v>
                </c:pt>
              </c:strCache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numRef>
              <c:f>'ЦЕМ II А-К 42,5Н'!$B$5:$B$35</c:f>
              <c:numCache>
                <c:formatCode>dd/mm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'ЦЕМ II А-К 42,5Н'!$J$5:$J$35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43-4FDF-B85B-EB9E867732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8734872"/>
        <c:axId val="778733792"/>
      </c:lineChart>
      <c:dateAx>
        <c:axId val="778734872"/>
        <c:scaling>
          <c:orientation val="minMax"/>
        </c:scaling>
        <c:delete val="0"/>
        <c:axPos val="b"/>
        <c:numFmt formatCode="dd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3792"/>
        <c:crosses val="autoZero"/>
        <c:auto val="1"/>
        <c:lblOffset val="100"/>
        <c:baseTimeUnit val="days"/>
      </c:dateAx>
      <c:valAx>
        <c:axId val="778733792"/>
        <c:scaling>
          <c:orientation val="minMax"/>
          <c:max val="0.12000000000000001"/>
          <c:min val="2.0000000000000004E-2"/>
        </c:scaling>
        <c:delete val="0"/>
        <c:axPos val="l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8734872"/>
        <c:crosses val="autoZero"/>
        <c:crossBetween val="between"/>
        <c:majorUnit val="2.0000000000000004E-2"/>
        <c:minorUnit val="1.0000000000000002E-2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tx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</c:dTable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Клинкер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добавок'!$C$38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добавок'!$C$38:$C$48</c15:sqref>
                  </c15:fullRef>
                </c:ext>
              </c:extLst>
              <c:f>('ввод добавок'!$C$39:$C$43,'ввод добавок'!$C$45:$C$46)</c:f>
              <c:numCache>
                <c:formatCode>0%</c:formatCode>
                <c:ptCount val="7"/>
                <c:pt idx="0">
                  <c:v>0.71633525321383362</c:v>
                </c:pt>
                <c:pt idx="1">
                  <c:v>0.71633525321383362</c:v>
                </c:pt>
                <c:pt idx="2">
                  <c:v>0.75712759112548067</c:v>
                </c:pt>
                <c:pt idx="3">
                  <c:v>0</c:v>
                </c:pt>
                <c:pt idx="4">
                  <c:v>0.95218178144148524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добавок'!$D$38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добавок'!$D$38:$D$48</c15:sqref>
                  </c15:fullRef>
                </c:ext>
              </c:extLst>
              <c:f>('ввод добавок'!$D$39:$D$43,'ввод добавок'!$D$45:$D$46)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0.75080135243897117</c:v>
                </c:pt>
                <c:pt idx="3">
                  <c:v>0.93617828212811016</c:v>
                </c:pt>
                <c:pt idx="4">
                  <c:v>0</c:v>
                </c:pt>
                <c:pt idx="5">
                  <c:v>0.93620046982794358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022382032"/>
        <c:axId val="1022382576"/>
      </c:barChart>
      <c:catAx>
        <c:axId val="102238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382576"/>
        <c:crosses val="autoZero"/>
        <c:auto val="1"/>
        <c:lblAlgn val="ctr"/>
        <c:lblOffset val="100"/>
        <c:noMultiLvlLbl val="0"/>
      </c:catAx>
      <c:valAx>
        <c:axId val="102238257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382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добавок'!$C$38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добавок'!$H$38:$H$48</c15:sqref>
                  </c15:fullRef>
                </c:ext>
              </c:extLst>
              <c:f>('ввод добавок'!$H$39:$H$43,'ввод добавок'!$H$45:$H$46)</c:f>
              <c:numCache>
                <c:formatCode>0%</c:formatCode>
                <c:ptCount val="7"/>
                <c:pt idx="0">
                  <c:v>6.229433156421426E-2</c:v>
                </c:pt>
                <c:pt idx="1">
                  <c:v>6.229433156421426E-2</c:v>
                </c:pt>
                <c:pt idx="2">
                  <c:v>6.1896050315885812E-2</c:v>
                </c:pt>
                <c:pt idx="3">
                  <c:v>0</c:v>
                </c:pt>
                <c:pt idx="4">
                  <c:v>5.8694078701034727E-2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добавок'!$D$38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добавок'!$I$38:$I$48</c15:sqref>
                  </c15:fullRef>
                </c:ext>
              </c:extLst>
              <c:f>('ввод добавок'!$I$39:$I$43,'ввод добавок'!$I$45:$I$46)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5.1931696926911013E-2</c:v>
                </c:pt>
                <c:pt idx="3">
                  <c:v>7.4821717871889779E-2</c:v>
                </c:pt>
                <c:pt idx="4">
                  <c:v>0</c:v>
                </c:pt>
                <c:pt idx="5">
                  <c:v>7.47995301720564E-2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022383120"/>
        <c:axId val="1022384752"/>
      </c:barChart>
      <c:catAx>
        <c:axId val="102238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384752"/>
        <c:crosses val="autoZero"/>
        <c:auto val="1"/>
        <c:lblAlgn val="ctr"/>
        <c:lblOffset val="100"/>
        <c:noMultiLvlLbl val="0"/>
      </c:catAx>
      <c:valAx>
        <c:axId val="1022384752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2238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добавок'!$C$38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добавок'!$M$38:$M$48</c15:sqref>
                  </c15:fullRef>
                </c:ext>
              </c:extLst>
              <c:f>('ввод добавок'!$M$39:$M$43,'ввод добавок'!$M$45:$M$46)</c:f>
              <c:numCache>
                <c:formatCode>0%</c:formatCode>
                <c:ptCount val="7"/>
                <c:pt idx="0">
                  <c:v>0.242121</c:v>
                </c:pt>
                <c:pt idx="1">
                  <c:v>0.242121</c:v>
                </c:pt>
                <c:pt idx="2">
                  <c:v>0.200013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добавок'!$D$38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добавок'!$N$38:$N$48</c15:sqref>
                  </c15:fullRef>
                </c:ext>
              </c:extLst>
              <c:f>('ввод добавок'!$N$39:$N$43,'ввод добавок'!$N$45:$N$46)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0.21626695063411777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1.0529999999999999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1663440"/>
        <c:axId val="1101665072"/>
      </c:barChart>
      <c:catAx>
        <c:axId val="1101663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5072"/>
        <c:crosses val="autoZero"/>
        <c:auto val="1"/>
        <c:lblAlgn val="ctr"/>
        <c:lblOffset val="100"/>
        <c:noMultiLvlLbl val="0"/>
      </c:catAx>
      <c:valAx>
        <c:axId val="1101665072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34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Золошлак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добавок'!$C$38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добавок'!$V$38:$V$48</c15:sqref>
                  </c15:fullRef>
                </c:ext>
              </c:extLst>
              <c:f>('ввод добавок'!$V$39:$V$43,'ввод добавок'!$V$45:$V$46)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добавок'!$D$38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'ввод добавок'!$B$38:$B$48</c15:sqref>
                  </c15:fullRef>
                </c:ext>
              </c:extLst>
              <c:f>('ввод добавок'!$B$39:$B$43,'ввод добавок'!$B$45:$B$46)</c:f>
              <c:strCache>
                <c:ptCount val="7"/>
                <c:pt idx="0">
                  <c:v>ЦEМ II/B-K(З-И) 32,5H</c:v>
                </c:pt>
                <c:pt idx="1">
                  <c:v>ЦEМ II/B-K(З-И) 32,5H</c:v>
                </c:pt>
                <c:pt idx="2">
                  <c:v>ЦEМ II/А-K 42,5H</c:v>
                </c:pt>
                <c:pt idx="3">
                  <c:v>ЦЕМ I 42,5Н</c:v>
                </c:pt>
                <c:pt idx="4">
                  <c:v>ЦЕМ I 52,5Н</c:v>
                </c:pt>
                <c:pt idx="5">
                  <c:v>ЦЕМ I 42,5Н</c:v>
                </c:pt>
                <c:pt idx="6">
                  <c:v>AMD-6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'ввод добавок'!$W$38:$W$48</c15:sqref>
                  </c15:fullRef>
                </c:ext>
              </c:extLst>
              <c:f>('ввод добавок'!$W$39:$W$43,'ввод добавок'!$W$45:$W$46)</c:f>
              <c:numCache>
                <c:formatCode>0%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1659088"/>
        <c:axId val="1101658544"/>
      </c:barChart>
      <c:catAx>
        <c:axId val="1101659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58544"/>
        <c:crosses val="autoZero"/>
        <c:auto val="1"/>
        <c:lblAlgn val="ctr"/>
        <c:lblOffset val="100"/>
        <c:noMultiLvlLbl val="0"/>
      </c:catAx>
      <c:valAx>
        <c:axId val="1101658544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59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Клинкер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добавок'!$C$75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добавок'!$B$76:$B$78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добавок'!$C$76:$C$78</c:f>
              <c:numCache>
                <c:formatCode>0%</c:formatCode>
                <c:ptCount val="3"/>
                <c:pt idx="0">
                  <c:v>0.64500000000000002</c:v>
                </c:pt>
                <c:pt idx="1">
                  <c:v>0.79700000000000004</c:v>
                </c:pt>
                <c:pt idx="2">
                  <c:v>0.90600000000000003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добавок'!$D$75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добавок'!$B$76:$B$78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добавок'!$D$76:$D$78</c:f>
              <c:numCache>
                <c:formatCode>0%</c:formatCode>
                <c:ptCount val="3"/>
                <c:pt idx="0">
                  <c:v>0.72472129132620611</c:v>
                </c:pt>
                <c:pt idx="1">
                  <c:v>0</c:v>
                </c:pt>
                <c:pt idx="2">
                  <c:v>0.87893248391017176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1659632"/>
        <c:axId val="1101660176"/>
      </c:barChart>
      <c:catAx>
        <c:axId val="11016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0176"/>
        <c:crosses val="autoZero"/>
        <c:auto val="1"/>
        <c:lblAlgn val="ctr"/>
        <c:lblOffset val="100"/>
        <c:noMultiLvlLbl val="0"/>
      </c:catAx>
      <c:valAx>
        <c:axId val="1101660176"/>
        <c:scaling>
          <c:orientation val="minMax"/>
          <c:max val="1"/>
          <c:min val="0.55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59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Гипс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добавок'!$H$75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добавок'!$G$76:$G$78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добавок'!$H$76:$H$78</c:f>
              <c:numCache>
                <c:formatCode>0%</c:formatCode>
                <c:ptCount val="3"/>
                <c:pt idx="0">
                  <c:v>6.4000000000000001E-2</c:v>
                </c:pt>
                <c:pt idx="1">
                  <c:v>6.3E-2</c:v>
                </c:pt>
                <c:pt idx="2">
                  <c:v>6.5000000000000002E-2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добавок'!$I$75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добавок'!$G$76:$G$78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добавок'!$I$76:$I$78</c:f>
              <c:numCache>
                <c:formatCode>0%</c:formatCode>
                <c:ptCount val="3"/>
                <c:pt idx="0">
                  <c:v>6.1092111701602954E-2</c:v>
                </c:pt>
                <c:pt idx="1">
                  <c:v>0</c:v>
                </c:pt>
                <c:pt idx="2">
                  <c:v>6.7746869366424295E-2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1663984"/>
        <c:axId val="1101660720"/>
      </c:barChart>
      <c:catAx>
        <c:axId val="110166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0720"/>
        <c:crosses val="autoZero"/>
        <c:auto val="1"/>
        <c:lblAlgn val="ctr"/>
        <c:lblOffset val="100"/>
        <c:noMultiLvlLbl val="0"/>
      </c:catAx>
      <c:valAx>
        <c:axId val="1101660720"/>
        <c:scaling>
          <c:orientation val="minMax"/>
          <c:max val="0.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Известняк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добавок'!$M$75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добавок'!$L$76:$L$78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добавок'!$M$76:$M$78</c:f>
              <c:numCache>
                <c:formatCode>0%</c:formatCode>
                <c:ptCount val="3"/>
                <c:pt idx="0">
                  <c:v>0.126</c:v>
                </c:pt>
                <c:pt idx="1">
                  <c:v>5.2999999999999999E-2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добавок'!$N$75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добавок'!$L$76:$L$78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добавок'!$N$76:$N$78</c:f>
              <c:numCache>
                <c:formatCode>0%</c:formatCode>
                <c:ptCount val="3"/>
                <c:pt idx="0">
                  <c:v>0.23454152978409182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1664528"/>
        <c:axId val="1101658000"/>
      </c:barChart>
      <c:catAx>
        <c:axId val="1101664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58000"/>
        <c:crosses val="autoZero"/>
        <c:auto val="1"/>
        <c:lblAlgn val="ctr"/>
        <c:lblOffset val="100"/>
        <c:noMultiLvlLbl val="0"/>
      </c:catAx>
      <c:valAx>
        <c:axId val="1101658000"/>
        <c:scaling>
          <c:orientation val="minMax"/>
          <c:max val="0.15000000000000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Золошлак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'ввод добавок'!$R$75</c:f>
              <c:strCache>
                <c:ptCount val="1"/>
                <c:pt idx="0">
                  <c:v>План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добавок'!$Q$76:$Q$78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добавок'!$R$76:$R$78</c:f>
              <c:numCache>
                <c:formatCode>0%</c:formatCode>
                <c:ptCount val="3"/>
                <c:pt idx="0">
                  <c:v>0.21299999999999999</c:v>
                </c:pt>
                <c:pt idx="1">
                  <c:v>0.11799999999999999</c:v>
                </c:pt>
                <c:pt idx="2">
                  <c:v>4.7E-2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BA-47EA-8C67-3526AAC914D3}"/>
            </c:ext>
          </c:extLst>
        </c:ser>
        <c:ser>
          <c:idx val="1"/>
          <c:order val="1"/>
          <c:tx>
            <c:strRef>
              <c:f>'ввод добавок'!$S$75</c:f>
              <c:strCache>
                <c:ptCount val="1"/>
                <c:pt idx="0">
                  <c:v>Факт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'ввод добавок'!$Q$76:$Q$78</c:f>
              <c:strCache>
                <c:ptCount val="3"/>
                <c:pt idx="0">
                  <c:v>ЦEМ II/B-K(З-И) 32,5H</c:v>
                </c:pt>
                <c:pt idx="1">
                  <c:v>ЦEМ II/А-K 42,5H</c:v>
                </c:pt>
                <c:pt idx="2">
                  <c:v>ЦЕМ I 42,5Н</c:v>
                </c:pt>
              </c:strCache>
            </c:strRef>
          </c:cat>
          <c:val>
            <c:numRef>
              <c:f>'ввод добавок'!$S$76:$S$78</c:f>
              <c:numCache>
                <c:formatCode>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BA-47EA-8C67-3526AAC914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0"/>
        <c:overlap val="-27"/>
        <c:axId val="1101661264"/>
        <c:axId val="1101661808"/>
      </c:barChart>
      <c:catAx>
        <c:axId val="110166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1808"/>
        <c:crosses val="autoZero"/>
        <c:auto val="1"/>
        <c:lblAlgn val="ctr"/>
        <c:lblOffset val="100"/>
        <c:noMultiLvlLbl val="0"/>
      </c:catAx>
      <c:valAx>
        <c:axId val="1101661808"/>
        <c:scaling>
          <c:orientation val="minMax"/>
          <c:max val="0.30000000000000004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'ввод добавок'!$C$117:$C$142</c:f>
              <c:numCache>
                <c:formatCode>m/d/yyyy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'ввод добавок'!$D$117:$D$142</c:f>
              <c:numCache>
                <c:formatCode>0.0%</c:formatCode>
                <c:ptCount val="9"/>
                <c:pt idx="0">
                  <c:v>0.79700000000000004</c:v>
                </c:pt>
                <c:pt idx="1">
                  <c:v>0.79700000000000004</c:v>
                </c:pt>
                <c:pt idx="2">
                  <c:v>0.79700000000000004</c:v>
                </c:pt>
                <c:pt idx="3">
                  <c:v>0.79700000000000004</c:v>
                </c:pt>
                <c:pt idx="4">
                  <c:v>0.79700000000000004</c:v>
                </c:pt>
                <c:pt idx="5">
                  <c:v>0.79700000000000004</c:v>
                </c:pt>
                <c:pt idx="6">
                  <c:v>0.79700000000000004</c:v>
                </c:pt>
                <c:pt idx="7">
                  <c:v>0.79700000000000004</c:v>
                </c:pt>
                <c:pt idx="8">
                  <c:v>0.79700000000000004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AA-42BE-9B77-30822008DA2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'ввод добавок'!$C$117:$C$142</c:f>
              <c:numCache>
                <c:formatCode>m/d/yyyy</c:formatCode>
                <c:ptCount val="9"/>
                <c:pt idx="0">
                  <c:v>45658</c:v>
                </c:pt>
                <c:pt idx="1">
                  <c:v>45659</c:v>
                </c:pt>
                <c:pt idx="2">
                  <c:v>45661</c:v>
                </c:pt>
                <c:pt idx="3">
                  <c:v>45662</c:v>
                </c:pt>
                <c:pt idx="4">
                  <c:v>45664</c:v>
                </c:pt>
                <c:pt idx="5">
                  <c:v>45666</c:v>
                </c:pt>
                <c:pt idx="6">
                  <c:v>45667</c:v>
                </c:pt>
                <c:pt idx="7">
                  <c:v>45670</c:v>
                </c:pt>
                <c:pt idx="8">
                  <c:v>45672</c:v>
                </c:pt>
              </c:numCache>
            </c:numRef>
          </c:cat>
          <c:val>
            <c:numRef>
              <c:f>'ввод добавок'!$E$117:$E$142</c:f>
              <c:numCache>
                <c:formatCode>0.0%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AA-42BE-9B77-30822008D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1662352"/>
        <c:axId val="1101662896"/>
      </c:lineChart>
      <c:dateAx>
        <c:axId val="110166235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2896"/>
        <c:crosses val="autoZero"/>
        <c:auto val="1"/>
        <c:lblOffset val="100"/>
        <c:baseTimeUnit val="days"/>
      </c:dateAx>
      <c:valAx>
        <c:axId val="1101662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10166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gradFill>
        <a:gsLst>
          <a:gs pos="10000">
            <a:schemeClr val="accent1">
              <a:lumMod val="45000"/>
              <a:lumOff val="55000"/>
            </a:schemeClr>
          </a:gs>
          <a:gs pos="50000">
            <a:schemeClr val="accent1">
              <a:lumMod val="75000"/>
            </a:schemeClr>
          </a:gs>
          <a:gs pos="100000">
            <a:schemeClr val="accent6">
              <a:lumMod val="60000"/>
              <a:lumOff val="4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6.xml"/><Relationship Id="rId3" Type="http://schemas.openxmlformats.org/officeDocument/2006/relationships/chart" Target="../charts/chart21.xml"/><Relationship Id="rId7" Type="http://schemas.openxmlformats.org/officeDocument/2006/relationships/chart" Target="../charts/chart25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Relationship Id="rId9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14286</xdr:rowOff>
    </xdr:from>
    <xdr:to>
      <xdr:col>12</xdr:col>
      <xdr:colOff>0</xdr:colOff>
      <xdr:row>17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60CBC3C2-E42A-FBBD-26FD-EF42778C6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157161</xdr:rowOff>
    </xdr:from>
    <xdr:to>
      <xdr:col>12</xdr:col>
      <xdr:colOff>0</xdr:colOff>
      <xdr:row>32</xdr:row>
      <xdr:rowOff>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171E1E3-810E-A44B-6EF7-5026596CA3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4762</xdr:colOff>
      <xdr:row>32</xdr:row>
      <xdr:rowOff>4762</xdr:rowOff>
    </xdr:from>
    <xdr:to>
      <xdr:col>12</xdr:col>
      <xdr:colOff>1</xdr:colOff>
      <xdr:row>46</xdr:row>
      <xdr:rowOff>80962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6AB460AE-8E54-967C-DCCB-D719C8045E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4</xdr:row>
      <xdr:rowOff>14286</xdr:rowOff>
    </xdr:from>
    <xdr:to>
      <xdr:col>25</xdr:col>
      <xdr:colOff>0</xdr:colOff>
      <xdr:row>17</xdr:row>
      <xdr:rowOff>152400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A54CF272-F7E3-4289-8231-7269D42A5C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17</xdr:row>
      <xdr:rowOff>157161</xdr:rowOff>
    </xdr:from>
    <xdr:to>
      <xdr:col>25</xdr:col>
      <xdr:colOff>0</xdr:colOff>
      <xdr:row>32</xdr:row>
      <xdr:rowOff>0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C724DAAB-37F0-48E0-BC25-93A6F9ACA9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4762</xdr:colOff>
      <xdr:row>32</xdr:row>
      <xdr:rowOff>4762</xdr:rowOff>
    </xdr:from>
    <xdr:to>
      <xdr:col>25</xdr:col>
      <xdr:colOff>1</xdr:colOff>
      <xdr:row>46</xdr:row>
      <xdr:rowOff>80962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AD3BD504-BDBA-4C8B-869A-DBD4C20967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26</xdr:col>
      <xdr:colOff>0</xdr:colOff>
      <xdr:row>32</xdr:row>
      <xdr:rowOff>4762</xdr:rowOff>
    </xdr:from>
    <xdr:to>
      <xdr:col>26</xdr:col>
      <xdr:colOff>1</xdr:colOff>
      <xdr:row>46</xdr:row>
      <xdr:rowOff>80962</xdr:rowOff>
    </xdr:to>
    <xdr:graphicFrame macro="">
      <xdr:nvGraphicFramePr>
        <xdr:cNvPr id="13" name="Диаграмма 12">
          <a:extLst>
            <a:ext uri="{FF2B5EF4-FFF2-40B4-BE49-F238E27FC236}">
              <a16:creationId xmlns:a16="http://schemas.microsoft.com/office/drawing/2014/main" id="{B7FD2642-503D-42B0-8F23-DA552FDC5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26</xdr:col>
      <xdr:colOff>0</xdr:colOff>
      <xdr:row>32</xdr:row>
      <xdr:rowOff>4762</xdr:rowOff>
    </xdr:from>
    <xdr:to>
      <xdr:col>26</xdr:col>
      <xdr:colOff>1</xdr:colOff>
      <xdr:row>46</xdr:row>
      <xdr:rowOff>80962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0AE868F3-8B6C-4251-B872-24198989BD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4</xdr:row>
      <xdr:rowOff>14286</xdr:rowOff>
    </xdr:from>
    <xdr:to>
      <xdr:col>38</xdr:col>
      <xdr:colOff>0</xdr:colOff>
      <xdr:row>17</xdr:row>
      <xdr:rowOff>152400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576965CE-7450-4BB5-89DB-3BFE0D7BA8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26</xdr:col>
      <xdr:colOff>0</xdr:colOff>
      <xdr:row>17</xdr:row>
      <xdr:rowOff>157161</xdr:rowOff>
    </xdr:from>
    <xdr:to>
      <xdr:col>38</xdr:col>
      <xdr:colOff>0</xdr:colOff>
      <xdr:row>32</xdr:row>
      <xdr:rowOff>0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9BEB0E01-1535-430F-BF10-197D470DB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4762</xdr:colOff>
      <xdr:row>32</xdr:row>
      <xdr:rowOff>4762</xdr:rowOff>
    </xdr:from>
    <xdr:to>
      <xdr:col>38</xdr:col>
      <xdr:colOff>1</xdr:colOff>
      <xdr:row>46</xdr:row>
      <xdr:rowOff>80962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F2CF9871-9379-40B6-A28B-8C317D2F0A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26</xdr:col>
      <xdr:colOff>1</xdr:colOff>
      <xdr:row>46</xdr:row>
      <xdr:rowOff>67235</xdr:rowOff>
    </xdr:from>
    <xdr:to>
      <xdr:col>37</xdr:col>
      <xdr:colOff>1014976</xdr:colOff>
      <xdr:row>60</xdr:row>
      <xdr:rowOff>143435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D7E85178-5910-4CC8-901F-3DEC31274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39</xdr:col>
      <xdr:colOff>0</xdr:colOff>
      <xdr:row>32</xdr:row>
      <xdr:rowOff>4762</xdr:rowOff>
    </xdr:from>
    <xdr:to>
      <xdr:col>39</xdr:col>
      <xdr:colOff>1</xdr:colOff>
      <xdr:row>46</xdr:row>
      <xdr:rowOff>80962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8C04E80-8381-4ED9-95CF-14919B024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39</xdr:col>
      <xdr:colOff>0</xdr:colOff>
      <xdr:row>32</xdr:row>
      <xdr:rowOff>4762</xdr:rowOff>
    </xdr:from>
    <xdr:to>
      <xdr:col>39</xdr:col>
      <xdr:colOff>1</xdr:colOff>
      <xdr:row>46</xdr:row>
      <xdr:rowOff>80962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9EAEBC12-0862-4EBF-9AE0-CC364492EF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0</xdr:colOff>
      <xdr:row>4</xdr:row>
      <xdr:rowOff>14286</xdr:rowOff>
    </xdr:from>
    <xdr:to>
      <xdr:col>51</xdr:col>
      <xdr:colOff>0</xdr:colOff>
      <xdr:row>17</xdr:row>
      <xdr:rowOff>152400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BEA8DFB3-E93E-40F9-99EC-9258DC9EEB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</xdr:col>
      <xdr:colOff>0</xdr:colOff>
      <xdr:row>17</xdr:row>
      <xdr:rowOff>157161</xdr:rowOff>
    </xdr:from>
    <xdr:to>
      <xdr:col>51</xdr:col>
      <xdr:colOff>0</xdr:colOff>
      <xdr:row>32</xdr:row>
      <xdr:rowOff>0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4053C342-BBBB-4755-A45A-3B681FF027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39</xdr:col>
      <xdr:colOff>4762</xdr:colOff>
      <xdr:row>32</xdr:row>
      <xdr:rowOff>4762</xdr:rowOff>
    </xdr:from>
    <xdr:to>
      <xdr:col>51</xdr:col>
      <xdr:colOff>1</xdr:colOff>
      <xdr:row>46</xdr:row>
      <xdr:rowOff>80962</xdr:rowOff>
    </xdr:to>
    <xdr:graphicFrame macro="">
      <xdr:nvGraphicFramePr>
        <xdr:cNvPr id="14" name="Диаграмма 13">
          <a:extLst>
            <a:ext uri="{FF2B5EF4-FFF2-40B4-BE49-F238E27FC236}">
              <a16:creationId xmlns:a16="http://schemas.microsoft.com/office/drawing/2014/main" id="{D94B9786-BDBC-4388-94BE-1A92F442A0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39</xdr:col>
      <xdr:colOff>1</xdr:colOff>
      <xdr:row>46</xdr:row>
      <xdr:rowOff>67235</xdr:rowOff>
    </xdr:from>
    <xdr:to>
      <xdr:col>50</xdr:col>
      <xdr:colOff>1014976</xdr:colOff>
      <xdr:row>60</xdr:row>
      <xdr:rowOff>143435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9E979937-AA79-4D18-B006-FF6CE882C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258535</xdr:colOff>
      <xdr:row>49</xdr:row>
      <xdr:rowOff>66221</xdr:rowOff>
    </xdr:from>
    <xdr:to>
      <xdr:col>24</xdr:col>
      <xdr:colOff>117928</xdr:colOff>
      <xdr:row>58</xdr:row>
      <xdr:rowOff>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258535</xdr:colOff>
      <xdr:row>58</xdr:row>
      <xdr:rowOff>123949</xdr:rowOff>
    </xdr:from>
    <xdr:to>
      <xdr:col>24</xdr:col>
      <xdr:colOff>117928</xdr:colOff>
      <xdr:row>71</xdr:row>
      <xdr:rowOff>127001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80735</xdr:colOff>
      <xdr:row>49</xdr:row>
      <xdr:rowOff>66221</xdr:rowOff>
    </xdr:from>
    <xdr:to>
      <xdr:col>38</xdr:col>
      <xdr:colOff>549728</xdr:colOff>
      <xdr:row>58</xdr:row>
      <xdr:rowOff>1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80735</xdr:colOff>
      <xdr:row>58</xdr:row>
      <xdr:rowOff>91621</xdr:rowOff>
    </xdr:from>
    <xdr:to>
      <xdr:col>38</xdr:col>
      <xdr:colOff>549728</xdr:colOff>
      <xdr:row>71</xdr:row>
      <xdr:rowOff>152401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593911</xdr:colOff>
      <xdr:row>80</xdr:row>
      <xdr:rowOff>0</xdr:rowOff>
    </xdr:from>
    <xdr:to>
      <xdr:col>23</xdr:col>
      <xdr:colOff>453305</xdr:colOff>
      <xdr:row>90</xdr:row>
      <xdr:rowOff>12221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0</xdr:colOff>
      <xdr:row>90</xdr:row>
      <xdr:rowOff>136169</xdr:rowOff>
    </xdr:from>
    <xdr:to>
      <xdr:col>23</xdr:col>
      <xdr:colOff>464511</xdr:colOff>
      <xdr:row>107</xdr:row>
      <xdr:rowOff>94397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427317</xdr:colOff>
      <xdr:row>80</xdr:row>
      <xdr:rowOff>0</xdr:rowOff>
    </xdr:from>
    <xdr:to>
      <xdr:col>38</xdr:col>
      <xdr:colOff>291193</xdr:colOff>
      <xdr:row>90</xdr:row>
      <xdr:rowOff>12221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427317</xdr:colOff>
      <xdr:row>90</xdr:row>
      <xdr:rowOff>103841</xdr:rowOff>
    </xdr:from>
    <xdr:to>
      <xdr:col>38</xdr:col>
      <xdr:colOff>291193</xdr:colOff>
      <xdr:row>107</xdr:row>
      <xdr:rowOff>119797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27</xdr:col>
      <xdr:colOff>650874</xdr:colOff>
      <xdr:row>111</xdr:row>
      <xdr:rowOff>57150</xdr:rowOff>
    </xdr:from>
    <xdr:to>
      <xdr:col>37</xdr:col>
      <xdr:colOff>476249</xdr:colOff>
      <xdr:row>127</xdr:row>
      <xdr:rowOff>53975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14999847407452621"/>
    <pageSetUpPr fitToPage="1"/>
  </sheetPr>
  <dimension ref="A1:Z163"/>
  <sheetViews>
    <sheetView view="pageBreakPreview" zoomScale="70" zoomScaleNormal="80" zoomScaleSheetLayoutView="70" workbookViewId="0">
      <pane xSplit="2" ySplit="4" topLeftCell="C5" activePane="bottomRight" state="frozen"/>
      <selection activeCell="O52" sqref="O52:P52"/>
      <selection pane="topRight" activeCell="O52" sqref="O52:P52"/>
      <selection pane="bottomLeft" activeCell="O52" sqref="O52:P52"/>
      <selection pane="bottomRight" activeCell="I38" sqref="I38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9.28515625" style="82" customWidth="1"/>
    <col min="4" max="4" width="21.85546875" style="82" customWidth="1"/>
    <col min="5" max="8" width="15.85546875" style="82" customWidth="1"/>
    <col min="9" max="9" width="13.7109375" style="82" customWidth="1"/>
    <col min="10" max="11" width="19.5703125" style="82" customWidth="1"/>
    <col min="12" max="12" width="17.140625" style="82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01 ",Q1)</f>
        <v>Ежедневный отчет производства и отгрузки за 01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0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6289.0515207078724</v>
      </c>
      <c r="G5" s="89">
        <f t="shared" si="0"/>
        <v>6700</v>
      </c>
      <c r="H5" s="89">
        <f t="shared" si="0"/>
        <v>6289.0515207078724</v>
      </c>
      <c r="I5" s="90">
        <f>IFERROR((H5/G5),0)</f>
        <v>0.93866440607580182</v>
      </c>
      <c r="J5" s="749">
        <f>J6+J9</f>
        <v>6404.3194316272957</v>
      </c>
      <c r="K5" s="91">
        <f>K6+K9+K8</f>
        <v>6404.3194316272957</v>
      </c>
      <c r="L5" s="87">
        <f>L6+L9+L8</f>
        <v>142909.94561602687</v>
      </c>
      <c r="M5" s="401"/>
      <c r="N5" s="92"/>
      <c r="O5" s="1131"/>
      <c r="P5" s="1132"/>
      <c r="Q5" s="591"/>
      <c r="R5" s="590"/>
      <c r="S5" s="618"/>
      <c r="T5" s="118"/>
    </row>
    <row r="6" spans="1:20">
      <c r="A6" s="103" t="s">
        <v>218</v>
      </c>
      <c r="B6" s="119" t="s">
        <v>9</v>
      </c>
      <c r="C6" s="149">
        <v>0</v>
      </c>
      <c r="D6" s="149">
        <v>15952.919765534218</v>
      </c>
      <c r="E6" s="134">
        <v>0</v>
      </c>
      <c r="F6" s="110"/>
      <c r="G6" s="110">
        <f>E6</f>
        <v>0</v>
      </c>
      <c r="H6" s="110">
        <f>F6</f>
        <v>0</v>
      </c>
      <c r="I6" s="138"/>
      <c r="J6" s="178"/>
      <c r="K6" s="124">
        <f>J6</f>
        <v>0</v>
      </c>
      <c r="L6" s="149">
        <f>D6+H6-K6-M6+N6</f>
        <v>15952.919765534218</v>
      </c>
      <c r="M6" s="101"/>
      <c r="N6" s="101">
        <v>0</v>
      </c>
      <c r="O6" s="1133"/>
      <c r="P6" s="1134"/>
      <c r="Q6" s="592"/>
      <c r="R6" s="590"/>
      <c r="S6" s="618"/>
      <c r="T6" s="118"/>
    </row>
    <row r="7" spans="1:20" hidden="1" outlineLevel="1">
      <c r="A7" s="103" t="s">
        <v>219</v>
      </c>
      <c r="B7" s="95" t="s">
        <v>9</v>
      </c>
      <c r="C7" s="96"/>
      <c r="D7" s="149">
        <v>0</v>
      </c>
      <c r="E7" s="97"/>
      <c r="F7" s="110">
        <v>0</v>
      </c>
      <c r="G7" s="98"/>
      <c r="H7" s="110">
        <f>F7</f>
        <v>0</v>
      </c>
      <c r="I7" s="99"/>
      <c r="J7" s="178"/>
      <c r="K7" s="124">
        <f>J7</f>
        <v>0</v>
      </c>
      <c r="L7" s="149">
        <f>D7+H7-K7-M7+N7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149"/>
      <c r="D8" s="149">
        <v>0</v>
      </c>
      <c r="E8" s="97"/>
      <c r="F8" s="98"/>
      <c r="G8" s="98"/>
      <c r="H8" s="98">
        <f>F8</f>
        <v>0</v>
      </c>
      <c r="I8" s="99"/>
      <c r="J8" s="177"/>
      <c r="K8" s="100">
        <f>J8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v>160800</v>
      </c>
      <c r="D9" s="96">
        <f>D10+D11+D12+D13</f>
        <v>127072.29376141207</v>
      </c>
      <c r="E9" s="97">
        <v>6700</v>
      </c>
      <c r="F9" s="98">
        <f>F10+F11+F12+F13</f>
        <v>6289.0515207078724</v>
      </c>
      <c r="G9" s="98">
        <f>E9</f>
        <v>6700</v>
      </c>
      <c r="H9" s="98">
        <f>H10+H11+H12+H13</f>
        <v>6289.0515207078724</v>
      </c>
      <c r="I9" s="99">
        <f>IFERROR((H9/G9),0)</f>
        <v>0.93866440607580182</v>
      </c>
      <c r="J9" s="177">
        <f>J10+J11+J12+J13</f>
        <v>6404.3194316272957</v>
      </c>
      <c r="K9" s="100">
        <f>K10+K11+K12+K13</f>
        <v>6404.3194316272957</v>
      </c>
      <c r="L9" s="96">
        <f>D9+H9-K9+M9-N9</f>
        <v>126957.02585049266</v>
      </c>
      <c r="M9" s="101"/>
      <c r="N9" s="101">
        <v>0</v>
      </c>
      <c r="O9" s="1133"/>
      <c r="P9" s="1134"/>
      <c r="Q9" s="592">
        <v>-23266.571785975502</v>
      </c>
      <c r="R9" s="590">
        <f>J9-Q9</f>
        <v>29670.891217602799</v>
      </c>
      <c r="S9" s="618"/>
      <c r="T9" s="118"/>
    </row>
    <row r="10" spans="1:20">
      <c r="A10" s="103" t="s">
        <v>64</v>
      </c>
      <c r="B10" s="95" t="s">
        <v>9</v>
      </c>
      <c r="C10" s="149"/>
      <c r="D10" s="149">
        <v>56300.273909357406</v>
      </c>
      <c r="E10" s="134"/>
      <c r="F10" s="110">
        <v>6289.0515207078724</v>
      </c>
      <c r="G10" s="98">
        <f>E10</f>
        <v>0</v>
      </c>
      <c r="H10" s="110">
        <f>F10</f>
        <v>6289.0515207078724</v>
      </c>
      <c r="I10" s="99"/>
      <c r="J10" s="178">
        <v>6404.3194316272957</v>
      </c>
      <c r="K10" s="124">
        <f>J10</f>
        <v>6404.3194316272957</v>
      </c>
      <c r="L10" s="149">
        <f>D10+H10-K10</f>
        <v>56185.005998437984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149"/>
      <c r="D11" s="149">
        <v>18224.01726010743</v>
      </c>
      <c r="E11" s="134"/>
      <c r="F11" s="110"/>
      <c r="G11" s="98">
        <f>E11</f>
        <v>0</v>
      </c>
      <c r="H11" s="98">
        <f>F11</f>
        <v>0</v>
      </c>
      <c r="I11" s="99"/>
      <c r="J11" s="178">
        <v>0</v>
      </c>
      <c r="K11" s="124">
        <f>J11</f>
        <v>0</v>
      </c>
      <c r="L11" s="149">
        <f>D11+H11-K11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03" t="s">
        <v>154</v>
      </c>
      <c r="B12" s="95" t="s">
        <v>9</v>
      </c>
      <c r="C12" s="149">
        <v>0</v>
      </c>
      <c r="D12" s="149">
        <v>52548.002591947239</v>
      </c>
      <c r="E12" s="134">
        <f>C12/31</f>
        <v>0</v>
      </c>
      <c r="F12" s="110"/>
      <c r="G12" s="110">
        <f>E12</f>
        <v>0</v>
      </c>
      <c r="H12" s="110">
        <f>F12</f>
        <v>0</v>
      </c>
      <c r="I12" s="138">
        <f>IFERROR((H12/G12),0)</f>
        <v>0</v>
      </c>
      <c r="J12" s="178"/>
      <c r="K12" s="124">
        <f>J12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v>0</v>
      </c>
      <c r="E13" s="97"/>
      <c r="F13" s="110"/>
      <c r="G13" s="98"/>
      <c r="H13" s="110">
        <f>F13</f>
        <v>0</v>
      </c>
      <c r="I13" s="99"/>
      <c r="J13" s="178"/>
      <c r="K13" s="124">
        <f>J13</f>
        <v>0</v>
      </c>
      <c r="L13" s="149">
        <f>D13+H13-K13</f>
        <v>0</v>
      </c>
      <c r="M13" s="101"/>
      <c r="N13" s="101"/>
      <c r="O13" s="1133"/>
      <c r="P13" s="1134"/>
      <c r="Q13" s="592"/>
      <c r="R13" s="590"/>
    </row>
    <row r="14" spans="1:20" ht="16.5" customHeight="1">
      <c r="A14" s="85" t="s">
        <v>39</v>
      </c>
      <c r="B14" s="86" t="s">
        <v>9</v>
      </c>
      <c r="C14" s="87">
        <f t="shared" ref="C14:H14" si="1">SUM(C15:C21)</f>
        <v>195040</v>
      </c>
      <c r="D14" s="87">
        <f>SUM(D15:D21)</f>
        <v>25904.61438418684</v>
      </c>
      <c r="E14" s="88">
        <f t="shared" si="1"/>
        <v>5043.9999999999991</v>
      </c>
      <c r="F14" s="89">
        <f t="shared" si="1"/>
        <v>6863.1287802922498</v>
      </c>
      <c r="G14" s="89">
        <f t="shared" si="1"/>
        <v>5043.9999999999991</v>
      </c>
      <c r="H14" s="89">
        <f t="shared" si="1"/>
        <v>6863.1287802922498</v>
      </c>
      <c r="I14" s="90">
        <f t="shared" ref="I14:I21" si="2">IFERROR((H14/G14),0)</f>
        <v>1.3606520182974329</v>
      </c>
      <c r="J14" s="749">
        <f>SUM(J15:J21)</f>
        <v>6788.7999999999956</v>
      </c>
      <c r="K14" s="91">
        <f>SUM(K15:K21)</f>
        <v>6788.7999999999956</v>
      </c>
      <c r="L14" s="87">
        <f>SUM(L15:L21)</f>
        <v>25978.943164479093</v>
      </c>
      <c r="M14" s="402"/>
      <c r="N14" s="104"/>
      <c r="O14" s="1115"/>
      <c r="P14" s="1116"/>
      <c r="Q14" s="593"/>
      <c r="R14" s="590"/>
      <c r="S14" s="703" t="s">
        <v>247</v>
      </c>
      <c r="T14" s="1042">
        <f>J5/F14</f>
        <v>0.9331486610039369</v>
      </c>
    </row>
    <row r="15" spans="1:20" hidden="1">
      <c r="A15" s="123" t="s">
        <v>60</v>
      </c>
      <c r="B15" s="119" t="s">
        <v>9</v>
      </c>
      <c r="C15" s="149">
        <v>0</v>
      </c>
      <c r="D15" s="203">
        <v>0</v>
      </c>
      <c r="E15" s="134">
        <v>0</v>
      </c>
      <c r="F15" s="110">
        <v>0</v>
      </c>
      <c r="G15" s="110">
        <f>E15</f>
        <v>0</v>
      </c>
      <c r="H15" s="110">
        <f>F15</f>
        <v>0</v>
      </c>
      <c r="I15" s="138">
        <f t="shared" si="2"/>
        <v>0</v>
      </c>
      <c r="J15" s="178">
        <v>0</v>
      </c>
      <c r="K15" s="100">
        <f t="shared" ref="K15:K37" si="3">J15</f>
        <v>0</v>
      </c>
      <c r="L15" s="149">
        <f t="shared" ref="L15:L20" si="4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>
      <c r="A16" s="123" t="s">
        <v>254</v>
      </c>
      <c r="B16" s="119" t="s">
        <v>9</v>
      </c>
      <c r="C16" s="107">
        <v>44352</v>
      </c>
      <c r="D16" s="107">
        <v>6069.3572595923979</v>
      </c>
      <c r="E16" s="134">
        <v>1147.0031173092698</v>
      </c>
      <c r="F16" s="110">
        <v>33.198513703470383</v>
      </c>
      <c r="G16" s="112">
        <f>E16</f>
        <v>1147.0031173092698</v>
      </c>
      <c r="H16" s="110">
        <f t="shared" ref="G16:H38" si="5">F16</f>
        <v>33.198513703470383</v>
      </c>
      <c r="I16" s="758">
        <f t="shared" si="2"/>
        <v>2.894369963121815E-2</v>
      </c>
      <c r="J16" s="751">
        <f>IFERROR(SUMIF(A101:A114,A16,E101:E114),0)+E111+E112+E113</f>
        <v>1345.25</v>
      </c>
      <c r="K16" s="111">
        <f t="shared" si="3"/>
        <v>1345.25</v>
      </c>
      <c r="L16" s="397">
        <f t="shared" si="4"/>
        <v>4757.3057732958687</v>
      </c>
      <c r="M16" s="101"/>
      <c r="N16" s="423"/>
      <c r="O16" s="1121"/>
      <c r="P16" s="1122"/>
      <c r="Q16" s="591"/>
      <c r="R16" s="590"/>
      <c r="S16" s="703"/>
      <c r="T16" s="703"/>
    </row>
    <row r="17" spans="1:20">
      <c r="A17" s="734" t="s">
        <v>262</v>
      </c>
      <c r="B17" s="119" t="s">
        <v>9</v>
      </c>
      <c r="C17" s="107">
        <v>0</v>
      </c>
      <c r="D17" s="397">
        <v>483.23739591927495</v>
      </c>
      <c r="E17" s="108">
        <v>0</v>
      </c>
      <c r="F17" s="109">
        <v>0</v>
      </c>
      <c r="G17" s="112">
        <f>E17</f>
        <v>0</v>
      </c>
      <c r="H17" s="110">
        <f t="shared" si="5"/>
        <v>0</v>
      </c>
      <c r="I17" s="758">
        <f t="shared" si="2"/>
        <v>0</v>
      </c>
      <c r="J17" s="751">
        <f>IFERROR(SUMIF(A102:A115,A17,E102:E115),0)+E116+E119+E121+E114</f>
        <v>0</v>
      </c>
      <c r="K17" s="111">
        <f t="shared" si="3"/>
        <v>0</v>
      </c>
      <c r="L17" s="397">
        <f t="shared" si="4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>
        <f>O51/F5</f>
        <v>1.644746024245854</v>
      </c>
    </row>
    <row r="18" spans="1:20" ht="15" customHeight="1">
      <c r="A18" s="123" t="s">
        <v>85</v>
      </c>
      <c r="B18" s="119" t="s">
        <v>9</v>
      </c>
      <c r="C18" s="149">
        <v>1360</v>
      </c>
      <c r="D18" s="127">
        <v>3183.2380657083054</v>
      </c>
      <c r="E18" s="134"/>
      <c r="F18" s="110"/>
      <c r="G18" s="110">
        <f>E18</f>
        <v>0</v>
      </c>
      <c r="H18" s="110">
        <f t="shared" si="5"/>
        <v>0</v>
      </c>
      <c r="I18" s="138">
        <f t="shared" si="2"/>
        <v>0</v>
      </c>
      <c r="J18" s="751">
        <f>IFERROR(SUMIF(A102:A115,A18,E102:E115),0)+E118+E120</f>
        <v>0</v>
      </c>
      <c r="K18" s="124">
        <f t="shared" si="3"/>
        <v>0</v>
      </c>
      <c r="L18" s="127">
        <f t="shared" si="4"/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">
        <v>159</v>
      </c>
      <c r="B19" s="126" t="s">
        <v>9</v>
      </c>
      <c r="C19" s="149">
        <v>145770</v>
      </c>
      <c r="D19" s="127">
        <v>12764.733711905967</v>
      </c>
      <c r="E19" s="250">
        <v>3769.8107054963084</v>
      </c>
      <c r="F19" s="131">
        <v>6829.930266588779</v>
      </c>
      <c r="G19" s="110">
        <f t="shared" si="5"/>
        <v>3769.8107054963084</v>
      </c>
      <c r="H19" s="110">
        <f t="shared" si="5"/>
        <v>6829.930266588779</v>
      </c>
      <c r="I19" s="759">
        <f t="shared" si="2"/>
        <v>1.8117435595985967</v>
      </c>
      <c r="J19" s="751">
        <f>IFERROR(SUMIF(A102:A115,A19,E102:E115),0)+E117+E115+E122</f>
        <v>5443.5499999999956</v>
      </c>
      <c r="K19" s="124">
        <f t="shared" si="3"/>
        <v>5443.5499999999956</v>
      </c>
      <c r="L19" s="127">
        <f t="shared" si="4"/>
        <v>14151.113978494752</v>
      </c>
      <c r="M19" s="424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v>3558</v>
      </c>
      <c r="D20" s="127">
        <v>3404.0479510608047</v>
      </c>
      <c r="E20" s="134">
        <v>92.014725184577514</v>
      </c>
      <c r="F20" s="110">
        <v>0</v>
      </c>
      <c r="G20" s="110">
        <f t="shared" si="5"/>
        <v>92.014725184577514</v>
      </c>
      <c r="H20" s="110">
        <f t="shared" si="5"/>
        <v>0</v>
      </c>
      <c r="I20" s="138">
        <f t="shared" si="2"/>
        <v>0</v>
      </c>
      <c r="J20" s="751">
        <f>IFERROR(SUMIF(A102:A115,A20,E102:E115),0)</f>
        <v>0</v>
      </c>
      <c r="K20" s="124">
        <f t="shared" si="3"/>
        <v>0</v>
      </c>
      <c r="L20" s="127">
        <f t="shared" si="4"/>
        <v>3404.0479510608047</v>
      </c>
      <c r="M20" s="423"/>
      <c r="N20" s="423"/>
      <c r="O20" s="1121"/>
      <c r="P20" s="1122"/>
      <c r="Q20" s="590"/>
      <c r="R20" s="590"/>
      <c r="S20" s="115"/>
    </row>
    <row r="21" spans="1:20">
      <c r="A21" s="123" t="s">
        <v>50</v>
      </c>
      <c r="B21" s="119" t="s">
        <v>9</v>
      </c>
      <c r="C21" s="149">
        <v>0</v>
      </c>
      <c r="D21" s="127">
        <v>8.7766238721087575E-11</v>
      </c>
      <c r="E21" s="134">
        <v>35.171452009844131</v>
      </c>
      <c r="F21" s="110">
        <v>0</v>
      </c>
      <c r="G21" s="110">
        <f t="shared" si="5"/>
        <v>35.171452009844131</v>
      </c>
      <c r="H21" s="110">
        <f t="shared" si="5"/>
        <v>0</v>
      </c>
      <c r="I21" s="138">
        <f t="shared" si="2"/>
        <v>0</v>
      </c>
      <c r="J21" s="751">
        <f>IFERROR(SUMIF(A102:A115,A21,E102:E115),0)</f>
        <v>0</v>
      </c>
      <c r="K21" s="124">
        <f t="shared" si="3"/>
        <v>0</v>
      </c>
      <c r="L21" s="127">
        <f>D21+H21-K21-M21</f>
        <v>8.7766238721087575E-11</v>
      </c>
      <c r="M21" s="425"/>
      <c r="N21" s="425"/>
      <c r="O21" s="1160"/>
      <c r="P21" s="1130"/>
      <c r="Q21" s="590"/>
      <c r="R21" s="590"/>
    </row>
    <row r="22" spans="1:20">
      <c r="A22" s="734" t="s">
        <v>191</v>
      </c>
      <c r="B22" s="119"/>
      <c r="C22" s="149">
        <v>1100</v>
      </c>
      <c r="D22" s="127">
        <v>2833.750634882178</v>
      </c>
      <c r="E22" s="134">
        <v>0</v>
      </c>
      <c r="F22" s="110">
        <v>0</v>
      </c>
      <c r="G22" s="110">
        <f t="shared" si="5"/>
        <v>0</v>
      </c>
      <c r="H22" s="110">
        <f t="shared" si="5"/>
        <v>0</v>
      </c>
      <c r="I22" s="99"/>
      <c r="J22" s="751">
        <f>IFERROR(SUMIF(A103:A123,A22,E103:E123),0)+E109</f>
        <v>449.6</v>
      </c>
      <c r="K22" s="124">
        <f t="shared" si="3"/>
        <v>449.6</v>
      </c>
      <c r="L22" s="127">
        <f>D22+H22-K22-M22</f>
        <v>2384.1506348821781</v>
      </c>
      <c r="M22" s="425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v>0</v>
      </c>
      <c r="D23" s="98">
        <f>SUM(D24:D27)</f>
        <v>52</v>
      </c>
      <c r="E23" s="97">
        <v>0</v>
      </c>
      <c r="F23" s="98">
        <f>SUM(F24:F29)</f>
        <v>0</v>
      </c>
      <c r="G23" s="859">
        <f t="shared" si="5"/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860">
        <f t="shared" si="3"/>
        <v>0</v>
      </c>
      <c r="L23" s="583">
        <f>D23+H23-K23+M23</f>
        <v>52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200</v>
      </c>
      <c r="B24" s="119" t="s">
        <v>9</v>
      </c>
      <c r="C24" s="96"/>
      <c r="D24" s="127">
        <v>0</v>
      </c>
      <c r="E24" s="97"/>
      <c r="F24" s="110">
        <v>0</v>
      </c>
      <c r="G24" s="112">
        <f t="shared" si="5"/>
        <v>0</v>
      </c>
      <c r="H24" s="110">
        <f t="shared" si="5"/>
        <v>0</v>
      </c>
      <c r="I24" s="99"/>
      <c r="J24" s="752">
        <v>0</v>
      </c>
      <c r="K24" s="111">
        <f t="shared" si="3"/>
        <v>0</v>
      </c>
      <c r="L24" s="127">
        <f t="shared" ref="L24:L37" si="6">D24+H24-K24-M24</f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257</v>
      </c>
      <c r="B25" s="119" t="s">
        <v>9</v>
      </c>
      <c r="C25" s="96"/>
      <c r="D25" s="127">
        <v>16</v>
      </c>
      <c r="E25" s="97"/>
      <c r="F25" s="110">
        <v>0</v>
      </c>
      <c r="G25" s="112">
        <f t="shared" si="5"/>
        <v>0</v>
      </c>
      <c r="H25" s="110">
        <f t="shared" si="5"/>
        <v>0</v>
      </c>
      <c r="I25" s="99"/>
      <c r="J25" s="751">
        <v>0</v>
      </c>
      <c r="K25" s="111">
        <f t="shared" si="3"/>
        <v>0</v>
      </c>
      <c r="L25" s="127">
        <f t="shared" si="6"/>
        <v>16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">
        <v>201</v>
      </c>
      <c r="B26" s="119" t="s">
        <v>9</v>
      </c>
      <c r="C26" s="96"/>
      <c r="D26" s="127">
        <v>36</v>
      </c>
      <c r="E26" s="97"/>
      <c r="F26" s="110">
        <v>0</v>
      </c>
      <c r="G26" s="112">
        <f t="shared" si="5"/>
        <v>0</v>
      </c>
      <c r="H26" s="110">
        <f t="shared" si="5"/>
        <v>0</v>
      </c>
      <c r="I26" s="99"/>
      <c r="J26" s="752">
        <v>0</v>
      </c>
      <c r="K26" s="111">
        <f t="shared" si="3"/>
        <v>0</v>
      </c>
      <c r="L26" s="127">
        <f t="shared" si="6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">
        <v>50</v>
      </c>
      <c r="B27" s="119" t="s">
        <v>9</v>
      </c>
      <c r="C27" s="96"/>
      <c r="D27" s="127">
        <v>0</v>
      </c>
      <c r="E27" s="97"/>
      <c r="F27" s="98">
        <v>0</v>
      </c>
      <c r="G27" s="112">
        <f t="shared" si="5"/>
        <v>0</v>
      </c>
      <c r="H27" s="110">
        <f t="shared" si="5"/>
        <v>0</v>
      </c>
      <c r="I27" s="99"/>
      <c r="J27" s="752"/>
      <c r="K27" s="111">
        <f t="shared" si="3"/>
        <v>0</v>
      </c>
      <c r="L27" s="127">
        <f t="shared" si="6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632"/>
      <c r="E28" s="97"/>
      <c r="F28" s="98">
        <f>J28</f>
        <v>0</v>
      </c>
      <c r="G28" s="112">
        <f t="shared" si="5"/>
        <v>0</v>
      </c>
      <c r="H28" s="110">
        <f t="shared" si="5"/>
        <v>0</v>
      </c>
      <c r="I28" s="99"/>
      <c r="J28" s="752"/>
      <c r="K28" s="111">
        <f t="shared" si="3"/>
        <v>0</v>
      </c>
      <c r="L28" s="127">
        <f t="shared" si="6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632"/>
      <c r="E29" s="97"/>
      <c r="F29" s="98">
        <f>J29</f>
        <v>0</v>
      </c>
      <c r="G29" s="112">
        <f t="shared" si="5"/>
        <v>0</v>
      </c>
      <c r="H29" s="110">
        <f t="shared" si="5"/>
        <v>0</v>
      </c>
      <c r="I29" s="99"/>
      <c r="J29" s="752"/>
      <c r="K29" s="111">
        <f t="shared" si="3"/>
        <v>0</v>
      </c>
      <c r="L29" s="127">
        <f t="shared" si="6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95" t="s">
        <v>9</v>
      </c>
      <c r="C30" s="96"/>
      <c r="D30" s="98">
        <f>SUM(D31:D34)</f>
        <v>1513.6</v>
      </c>
      <c r="E30" s="97"/>
      <c r="F30" s="98">
        <f>SUM(F31:F37)</f>
        <v>197.12</v>
      </c>
      <c r="G30" s="859">
        <f t="shared" si="5"/>
        <v>0</v>
      </c>
      <c r="H30" s="98">
        <f>SUM(H31:H37)</f>
        <v>197.12</v>
      </c>
      <c r="I30" s="99">
        <f>IFERROR((H30/G30),0)</f>
        <v>0</v>
      </c>
      <c r="J30" s="177">
        <f>SUM(J31:J37)</f>
        <v>519.19999999999993</v>
      </c>
      <c r="K30" s="860">
        <f t="shared" si="3"/>
        <v>519.19999999999993</v>
      </c>
      <c r="L30" s="583">
        <f>D30+H30-K30-M30</f>
        <v>1191.52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27">
        <v>0</v>
      </c>
      <c r="E31" s="97"/>
      <c r="F31" s="864">
        <v>0</v>
      </c>
      <c r="G31" s="112">
        <f t="shared" si="5"/>
        <v>0</v>
      </c>
      <c r="H31" s="110">
        <f t="shared" si="5"/>
        <v>0</v>
      </c>
      <c r="I31" s="99"/>
      <c r="J31" s="865">
        <v>0</v>
      </c>
      <c r="K31" s="111">
        <f t="shared" si="3"/>
        <v>0</v>
      </c>
      <c r="L31" s="127">
        <f t="shared" si="6"/>
        <v>0</v>
      </c>
      <c r="M31" s="421"/>
      <c r="N31" s="438"/>
      <c r="O31" s="906"/>
      <c r="P31" s="907"/>
      <c r="Q31" s="594"/>
      <c r="R31" s="594"/>
      <c r="S31" s="620"/>
      <c r="T31" s="161">
        <f>300+T30</f>
        <v>300</v>
      </c>
    </row>
    <row r="32" spans="1:20" s="120" customFormat="1" hidden="1" outlineLevel="1">
      <c r="A32" s="123" t="s">
        <v>254</v>
      </c>
      <c r="B32" s="119" t="s">
        <v>9</v>
      </c>
      <c r="C32" s="96"/>
      <c r="D32" s="127">
        <v>1508.32</v>
      </c>
      <c r="E32" s="97"/>
      <c r="F32" s="864">
        <v>197.12</v>
      </c>
      <c r="G32" s="112">
        <f t="shared" si="5"/>
        <v>0</v>
      </c>
      <c r="H32" s="110">
        <f t="shared" si="5"/>
        <v>197.12</v>
      </c>
      <c r="I32" s="99"/>
      <c r="J32" s="865">
        <v>519.19999999999993</v>
      </c>
      <c r="K32" s="111">
        <f t="shared" si="3"/>
        <v>519.19999999999993</v>
      </c>
      <c r="L32" s="127">
        <f t="shared" si="6"/>
        <v>1186.2400000000002</v>
      </c>
      <c r="M32" s="421"/>
      <c r="N32" s="438"/>
      <c r="O32" s="906"/>
      <c r="P32" s="907"/>
      <c r="Q32" s="594"/>
      <c r="R32" s="594"/>
      <c r="S32" s="620"/>
      <c r="T32" s="161"/>
    </row>
    <row r="33" spans="1:20" s="120" customFormat="1" hidden="1" outlineLevel="1">
      <c r="A33" s="123" t="s">
        <v>159</v>
      </c>
      <c r="B33" s="119" t="s">
        <v>9</v>
      </c>
      <c r="C33" s="96"/>
      <c r="D33" s="127">
        <v>5.28</v>
      </c>
      <c r="E33" s="97"/>
      <c r="F33" s="864">
        <v>0</v>
      </c>
      <c r="G33" s="112">
        <f t="shared" si="5"/>
        <v>0</v>
      </c>
      <c r="H33" s="110">
        <f t="shared" si="5"/>
        <v>0</v>
      </c>
      <c r="I33" s="99"/>
      <c r="J33" s="865">
        <v>0</v>
      </c>
      <c r="K33" s="111">
        <f t="shared" si="3"/>
        <v>0</v>
      </c>
      <c r="L33" s="127">
        <f t="shared" si="6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0" s="120" customFormat="1" hidden="1" outlineLevel="1">
      <c r="A34" s="123" t="s">
        <v>50</v>
      </c>
      <c r="B34" s="119" t="s">
        <v>9</v>
      </c>
      <c r="C34" s="96"/>
      <c r="D34" s="127">
        <v>0</v>
      </c>
      <c r="E34" s="97"/>
      <c r="F34" s="864">
        <v>0</v>
      </c>
      <c r="G34" s="112">
        <f t="shared" si="5"/>
        <v>0</v>
      </c>
      <c r="H34" s="110">
        <f t="shared" si="5"/>
        <v>0</v>
      </c>
      <c r="I34" s="99"/>
      <c r="J34" s="865"/>
      <c r="K34" s="111">
        <f t="shared" si="3"/>
        <v>0</v>
      </c>
      <c r="L34" s="127">
        <f t="shared" si="6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0" s="120" customFormat="1" hidden="1" outlineLevel="1">
      <c r="A35" s="251"/>
      <c r="B35" s="119" t="s">
        <v>9</v>
      </c>
      <c r="C35" s="96"/>
      <c r="D35" s="632"/>
      <c r="E35" s="97"/>
      <c r="F35" s="864">
        <f>J35</f>
        <v>0</v>
      </c>
      <c r="G35" s="112">
        <f t="shared" si="5"/>
        <v>0</v>
      </c>
      <c r="H35" s="110">
        <f t="shared" si="5"/>
        <v>0</v>
      </c>
      <c r="I35" s="99"/>
      <c r="J35" s="865"/>
      <c r="K35" s="111">
        <f t="shared" si="3"/>
        <v>0</v>
      </c>
      <c r="L35" s="127">
        <f t="shared" si="6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0" s="120" customFormat="1" hidden="1" outlineLevel="1">
      <c r="A36" s="123" t="s">
        <v>234</v>
      </c>
      <c r="B36" s="119" t="s">
        <v>9</v>
      </c>
      <c r="C36" s="149">
        <v>3500</v>
      </c>
      <c r="D36" s="127">
        <v>1673.24</v>
      </c>
      <c r="E36" s="97"/>
      <c r="F36" s="864">
        <f>J36</f>
        <v>0</v>
      </c>
      <c r="G36" s="112">
        <f t="shared" si="5"/>
        <v>0</v>
      </c>
      <c r="H36" s="98"/>
      <c r="I36" s="99"/>
      <c r="J36" s="110">
        <v>0</v>
      </c>
      <c r="K36" s="111">
        <f t="shared" si="3"/>
        <v>0</v>
      </c>
      <c r="L36" s="127">
        <f t="shared" si="6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0" s="120" customFormat="1" hidden="1" outlineLevel="1">
      <c r="A37" s="123" t="s">
        <v>235</v>
      </c>
      <c r="B37" s="119" t="s">
        <v>9</v>
      </c>
      <c r="C37" s="149">
        <v>0</v>
      </c>
      <c r="D37" s="127">
        <v>294.63999999999987</v>
      </c>
      <c r="E37" s="97"/>
      <c r="F37" s="864">
        <f>J37</f>
        <v>0</v>
      </c>
      <c r="G37" s="112">
        <f t="shared" si="5"/>
        <v>0</v>
      </c>
      <c r="H37" s="98"/>
      <c r="I37" s="99"/>
      <c r="J37" s="110">
        <v>0</v>
      </c>
      <c r="K37" s="111">
        <f t="shared" si="3"/>
        <v>0</v>
      </c>
      <c r="L37" s="127">
        <f t="shared" si="6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0" collapsed="1">
      <c r="A38" s="94" t="s">
        <v>66</v>
      </c>
      <c r="B38" s="95" t="s">
        <v>9</v>
      </c>
      <c r="C38" s="96">
        <v>153958.10705780028</v>
      </c>
      <c r="D38" s="96">
        <v>1756.9829593932955</v>
      </c>
      <c r="E38" s="97">
        <f>C38/31</f>
        <v>4966.3905502516218</v>
      </c>
      <c r="F38" s="24">
        <f>SUM(F39:F41)</f>
        <v>2448.1896024972048</v>
      </c>
      <c r="G38" s="98">
        <f t="shared" si="5"/>
        <v>4966.3905502516218</v>
      </c>
      <c r="H38" s="98">
        <f t="shared" si="5"/>
        <v>2448.1896024972048</v>
      </c>
      <c r="I38" s="99">
        <f>IFERROR((H38/G38),0)</f>
        <v>0.49295148613980178</v>
      </c>
      <c r="J38" s="946">
        <f>SUM(J39:J40)</f>
        <v>2448.1896024972048</v>
      </c>
      <c r="K38" s="47">
        <f>SUM(K39:K40)</f>
        <v>2448.1896024972048</v>
      </c>
      <c r="L38" s="96">
        <f>D38+H38-K38</f>
        <v>1756.9829593932955</v>
      </c>
      <c r="M38" s="198"/>
      <c r="N38" s="117"/>
      <c r="O38" s="1125"/>
      <c r="P38" s="1126"/>
      <c r="Q38" s="595"/>
      <c r="R38" s="590"/>
      <c r="S38" s="618"/>
      <c r="T38" s="118"/>
    </row>
    <row r="39" spans="1:20" ht="15.75" customHeight="1">
      <c r="A39" s="103" t="s">
        <v>91</v>
      </c>
      <c r="B39" s="119" t="s">
        <v>9</v>
      </c>
      <c r="C39" s="149"/>
      <c r="D39" s="96">
        <v>0</v>
      </c>
      <c r="E39" s="97"/>
      <c r="F39" s="110">
        <v>2448.1896024972048</v>
      </c>
      <c r="G39" s="110"/>
      <c r="H39" s="110">
        <f t="shared" ref="H39:H44" si="7">F39</f>
        <v>2448.1896024972048</v>
      </c>
      <c r="I39" s="138"/>
      <c r="J39" s="178">
        <f>F39</f>
        <v>2448.1896024972048</v>
      </c>
      <c r="K39" s="124">
        <f t="shared" ref="K39:K48" si="8">J39</f>
        <v>2448.1896024972048</v>
      </c>
      <c r="L39" s="149"/>
      <c r="M39" s="198"/>
      <c r="N39" s="117"/>
      <c r="O39" s="1125"/>
      <c r="P39" s="1126"/>
      <c r="Q39" s="595"/>
      <c r="R39" s="590"/>
      <c r="S39" s="618"/>
      <c r="T39" s="118"/>
    </row>
    <row r="40" spans="1:20" ht="15.75" customHeight="1">
      <c r="A40" s="103" t="s">
        <v>109</v>
      </c>
      <c r="B40" s="119" t="s">
        <v>9</v>
      </c>
      <c r="C40" s="149"/>
      <c r="D40" s="96"/>
      <c r="E40" s="97"/>
      <c r="F40" s="110">
        <v>0</v>
      </c>
      <c r="G40" s="110"/>
      <c r="H40" s="110">
        <f t="shared" si="7"/>
        <v>0</v>
      </c>
      <c r="I40" s="138"/>
      <c r="J40" s="178">
        <v>0</v>
      </c>
      <c r="K40" s="124">
        <f t="shared" si="8"/>
        <v>0</v>
      </c>
      <c r="L40" s="149"/>
      <c r="M40" s="198"/>
      <c r="N40" s="117"/>
      <c r="O40" s="1125"/>
      <c r="P40" s="1126"/>
      <c r="Q40" s="595"/>
      <c r="R40" s="590"/>
      <c r="S40" s="618"/>
      <c r="T40" s="118"/>
    </row>
    <row r="41" spans="1:20" ht="15.75" hidden="1" customHeight="1" outlineLevel="1">
      <c r="A41" s="103" t="s">
        <v>67</v>
      </c>
      <c r="B41" s="119" t="s">
        <v>9</v>
      </c>
      <c r="C41" s="149"/>
      <c r="D41" s="96"/>
      <c r="E41" s="97"/>
      <c r="F41" s="110"/>
      <c r="G41" s="110"/>
      <c r="H41" s="110">
        <f t="shared" si="7"/>
        <v>0</v>
      </c>
      <c r="I41" s="138"/>
      <c r="J41" s="178"/>
      <c r="K41" s="124">
        <f t="shared" si="8"/>
        <v>0</v>
      </c>
      <c r="L41" s="149"/>
      <c r="M41" s="198"/>
      <c r="N41" s="117"/>
      <c r="O41" s="1125"/>
      <c r="P41" s="1126"/>
      <c r="Q41" s="595"/>
      <c r="R41" s="590"/>
      <c r="S41" s="618"/>
      <c r="T41" s="118"/>
    </row>
    <row r="42" spans="1:20" ht="15.75" hidden="1" customHeight="1" outlineLevel="1">
      <c r="A42" s="103" t="s">
        <v>68</v>
      </c>
      <c r="B42" s="119" t="s">
        <v>9</v>
      </c>
      <c r="C42" s="149"/>
      <c r="D42" s="96"/>
      <c r="E42" s="97"/>
      <c r="F42" s="110"/>
      <c r="G42" s="110"/>
      <c r="H42" s="110">
        <f t="shared" si="7"/>
        <v>0</v>
      </c>
      <c r="I42" s="138"/>
      <c r="J42" s="178"/>
      <c r="K42" s="124">
        <f t="shared" si="8"/>
        <v>0</v>
      </c>
      <c r="L42" s="149"/>
      <c r="M42" s="198"/>
      <c r="N42" s="117"/>
      <c r="O42" s="1125"/>
      <c r="P42" s="1126"/>
      <c r="Q42" s="595"/>
      <c r="R42" s="590"/>
      <c r="S42" s="618"/>
      <c r="T42" s="118"/>
    </row>
    <row r="43" spans="1:20" ht="15.75" customHeight="1" collapsed="1">
      <c r="A43" s="74" t="s">
        <v>63</v>
      </c>
      <c r="B43" s="9" t="s">
        <v>9</v>
      </c>
      <c r="C43" s="149">
        <v>96601.878796744204</v>
      </c>
      <c r="D43" s="96"/>
      <c r="E43" s="134">
        <f>C43/30</f>
        <v>3220.06262655814</v>
      </c>
      <c r="F43" s="110">
        <v>3262.8</v>
      </c>
      <c r="G43" s="110">
        <f>E43</f>
        <v>3220.06262655814</v>
      </c>
      <c r="H43" s="110">
        <f t="shared" si="7"/>
        <v>3262.8</v>
      </c>
      <c r="I43" s="138">
        <f>IFERROR((H43/G43),0)</f>
        <v>1.0132722180896032</v>
      </c>
      <c r="J43" s="178">
        <f>F43</f>
        <v>3262.8</v>
      </c>
      <c r="K43" s="124">
        <f t="shared" si="8"/>
        <v>3262.8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118"/>
    </row>
    <row r="44" spans="1:20" s="120" customFormat="1">
      <c r="A44" s="103" t="s">
        <v>69</v>
      </c>
      <c r="B44" s="95" t="s">
        <v>9</v>
      </c>
      <c r="C44" s="149">
        <v>40846.933088751408</v>
      </c>
      <c r="D44" s="149">
        <v>3759.4565289122183</v>
      </c>
      <c r="E44" s="706">
        <f>C44/30</f>
        <v>1361.5644362917135</v>
      </c>
      <c r="F44" s="110">
        <v>2931</v>
      </c>
      <c r="G44" s="110">
        <f>E44</f>
        <v>1361.5644362917135</v>
      </c>
      <c r="H44" s="110">
        <f t="shared" si="7"/>
        <v>2931</v>
      </c>
      <c r="I44" s="138">
        <f>IFERROR((H44/G44),0)</f>
        <v>2.1526707968245118</v>
      </c>
      <c r="J44" s="178">
        <v>1846.4604258301586</v>
      </c>
      <c r="K44" s="124">
        <f t="shared" si="8"/>
        <v>1846.4604258301586</v>
      </c>
      <c r="L44" s="149">
        <f>D44+H44-K44</f>
        <v>4843.9961030820596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>
        <v>0</v>
      </c>
      <c r="E45" s="134"/>
      <c r="F45" s="110">
        <v>0</v>
      </c>
      <c r="G45" s="110"/>
      <c r="H45" s="110"/>
      <c r="I45" s="138"/>
      <c r="J45" s="178"/>
      <c r="K45" s="124">
        <f t="shared" si="8"/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>
        <v>0</v>
      </c>
      <c r="E46" s="134"/>
      <c r="F46" s="110"/>
      <c r="G46" s="110"/>
      <c r="H46" s="110">
        <f>F46</f>
        <v>0</v>
      </c>
      <c r="I46" s="138"/>
      <c r="J46" s="178"/>
      <c r="K46" s="124">
        <f t="shared" si="8"/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/>
      <c r="I47" s="138"/>
      <c r="J47" s="178"/>
      <c r="K47" s="124">
        <f t="shared" si="8"/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95" t="s">
        <v>9</v>
      </c>
      <c r="C48" s="203">
        <v>238663.46526254449</v>
      </c>
      <c r="D48" s="203">
        <v>14554.971764167974</v>
      </c>
      <c r="E48" s="134">
        <f>C48/30</f>
        <v>7955.4488420848165</v>
      </c>
      <c r="F48" s="171">
        <v>5710.9896024972049</v>
      </c>
      <c r="G48" s="110">
        <f>E48</f>
        <v>7955.4488420848165</v>
      </c>
      <c r="H48" s="110">
        <f>F48</f>
        <v>5710.9896024972049</v>
      </c>
      <c r="I48" s="138">
        <f>IFERROR((H48/G48),0)</f>
        <v>0.71787145085839987</v>
      </c>
      <c r="J48" s="750">
        <v>10123.152673329512</v>
      </c>
      <c r="K48" s="124">
        <f t="shared" si="8"/>
        <v>10123.152673329512</v>
      </c>
      <c r="L48" s="149">
        <f>D48+H48-K48</f>
        <v>10142.808693335666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95" t="s">
        <v>9</v>
      </c>
      <c r="C49" s="149">
        <f t="shared" ref="C49:H49" si="9">SUM(C50:C51)</f>
        <v>256898.95024371953</v>
      </c>
      <c r="D49" s="149">
        <f>D50+D51</f>
        <v>6890.3919969842718</v>
      </c>
      <c r="E49" s="134">
        <f t="shared" si="9"/>
        <v>11500</v>
      </c>
      <c r="F49" s="110">
        <f t="shared" si="9"/>
        <v>11803.018075457881</v>
      </c>
      <c r="G49" s="110">
        <f t="shared" si="9"/>
        <v>11500</v>
      </c>
      <c r="H49" s="110">
        <f t="shared" si="9"/>
        <v>11803.018075457881</v>
      </c>
      <c r="I49" s="138">
        <f>IFERROR((H49/G49),0)</f>
        <v>1.0263493978659026</v>
      </c>
      <c r="J49" s="178">
        <f>SUM(J50:J51)</f>
        <v>9774.9783982887275</v>
      </c>
      <c r="K49" s="124">
        <f>SUM(K50:K51)</f>
        <v>9774.9783982887275</v>
      </c>
      <c r="L49" s="149">
        <f>D49+H49-K49+M49</f>
        <v>8918.431674153424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v>0</v>
      </c>
      <c r="D50" s="149">
        <v>2323.23</v>
      </c>
      <c r="E50" s="134">
        <v>0</v>
      </c>
      <c r="F50" s="110"/>
      <c r="G50" s="110">
        <f>E50</f>
        <v>0</v>
      </c>
      <c r="H50" s="110">
        <f>F50</f>
        <v>0</v>
      </c>
      <c r="I50" s="138">
        <f>IFERROR((H50/G50),0)</f>
        <v>0</v>
      </c>
      <c r="J50" s="750"/>
      <c r="K50" s="124">
        <f>J50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v>256898.95024371953</v>
      </c>
      <c r="D51" s="149">
        <v>4567.1619969842723</v>
      </c>
      <c r="E51" s="134">
        <v>11500</v>
      </c>
      <c r="F51" s="110">
        <v>11803.018075457881</v>
      </c>
      <c r="G51" s="110">
        <f>E51</f>
        <v>11500</v>
      </c>
      <c r="H51" s="110">
        <f>F51</f>
        <v>11803.018075457881</v>
      </c>
      <c r="I51" s="138">
        <f>IFERROR((H51/G51),0)</f>
        <v>1.0263493978659026</v>
      </c>
      <c r="J51" s="178">
        <f>O51-P51</f>
        <v>9774.9783982887275</v>
      </c>
      <c r="K51" s="124">
        <f>J51</f>
        <v>9774.9783982887275</v>
      </c>
      <c r="L51" s="149">
        <f>D51+H51-K51+M51</f>
        <v>6595.2016741534262</v>
      </c>
      <c r="M51" s="405"/>
      <c r="N51" s="121"/>
      <c r="O51" s="178">
        <v>10343.892484961616</v>
      </c>
      <c r="P51" s="668">
        <f>O51*0.055</f>
        <v>568.91408667288886</v>
      </c>
      <c r="Q51" s="596"/>
      <c r="R51" s="590"/>
      <c r="S51" s="618"/>
      <c r="T51" s="93"/>
      <c r="Y51" s="1069" t="s">
        <v>110</v>
      </c>
      <c r="Z51" s="704">
        <f>L54</f>
        <v>13157.413050163326</v>
      </c>
    </row>
    <row r="52" spans="1:26" s="120" customFormat="1">
      <c r="A52" s="94" t="s">
        <v>41</v>
      </c>
      <c r="B52" s="95" t="s">
        <v>9</v>
      </c>
      <c r="C52" s="96"/>
      <c r="D52" s="96"/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621"/>
      <c r="Y52" s="1069" t="s">
        <v>258</v>
      </c>
      <c r="Z52" s="704">
        <f>L55</f>
        <v>3544.9795872757904</v>
      </c>
    </row>
    <row r="53" spans="1:26" s="114" customFormat="1" hidden="1">
      <c r="A53" s="125" t="s">
        <v>43</v>
      </c>
      <c r="B53" s="126" t="s">
        <v>9</v>
      </c>
      <c r="C53" s="203">
        <v>0</v>
      </c>
      <c r="D53" s="203">
        <v>0</v>
      </c>
      <c r="E53" s="250">
        <f t="shared" ref="E53:E58" si="10">C53/$Q$2</f>
        <v>0</v>
      </c>
      <c r="F53" s="131">
        <v>0</v>
      </c>
      <c r="G53" s="110">
        <f t="shared" ref="G53:H63" si="11">E53</f>
        <v>0</v>
      </c>
      <c r="H53" s="110">
        <f t="shared" si="11"/>
        <v>0</v>
      </c>
      <c r="I53" s="759">
        <f t="shared" ref="I53:I58" si="12">IFERROR((H53/G53),0)</f>
        <v>0</v>
      </c>
      <c r="J53" s="754"/>
      <c r="K53" s="124">
        <f t="shared" ref="K53:K63" si="13">J53</f>
        <v>0</v>
      </c>
      <c r="L53" s="127">
        <f t="shared" ref="L53:L60" si="14">D53+H53-K53</f>
        <v>0</v>
      </c>
      <c r="M53" s="185"/>
      <c r="N53" s="128"/>
      <c r="O53" s="1113"/>
      <c r="P53" s="1114"/>
      <c r="Q53" s="597"/>
      <c r="R53" s="154"/>
      <c r="S53" s="621"/>
      <c r="Y53" s="1070"/>
      <c r="Z53" s="1071"/>
    </row>
    <row r="54" spans="1:26" s="114" customFormat="1">
      <c r="A54" s="125" t="s">
        <v>42</v>
      </c>
      <c r="B54" s="126" t="s">
        <v>9</v>
      </c>
      <c r="C54" s="203">
        <v>10000</v>
      </c>
      <c r="D54" s="203">
        <v>13684.915881223626</v>
      </c>
      <c r="E54" s="250">
        <f t="shared" si="10"/>
        <v>322.58064516129031</v>
      </c>
      <c r="F54" s="131">
        <v>0</v>
      </c>
      <c r="G54" s="110">
        <f t="shared" si="11"/>
        <v>322.58064516129031</v>
      </c>
      <c r="H54" s="110">
        <f t="shared" si="11"/>
        <v>0</v>
      </c>
      <c r="I54" s="759">
        <f t="shared" si="12"/>
        <v>0</v>
      </c>
      <c r="J54" s="754">
        <v>527.50283106029951</v>
      </c>
      <c r="K54" s="124">
        <f t="shared" si="13"/>
        <v>527.50283106029951</v>
      </c>
      <c r="L54" s="127">
        <f t="shared" si="14"/>
        <v>13157.413050163326</v>
      </c>
      <c r="M54" s="185"/>
      <c r="N54" s="128"/>
      <c r="O54" s="1113"/>
      <c r="P54" s="1114"/>
      <c r="Q54" s="597"/>
      <c r="R54" s="154"/>
      <c r="S54" s="621"/>
      <c r="Y54" s="1070" t="s">
        <v>259</v>
      </c>
      <c r="Z54" s="305">
        <f>L63</f>
        <v>4400.5544373480825</v>
      </c>
    </row>
    <row r="55" spans="1:26" s="114" customFormat="1">
      <c r="A55" s="125" t="s">
        <v>149</v>
      </c>
      <c r="B55" s="126" t="s">
        <v>9</v>
      </c>
      <c r="C55" s="203">
        <v>17000</v>
      </c>
      <c r="D55" s="203">
        <v>3999.5665967852347</v>
      </c>
      <c r="E55" s="250">
        <f t="shared" si="10"/>
        <v>548.38709677419354</v>
      </c>
      <c r="F55" s="131">
        <v>0</v>
      </c>
      <c r="G55" s="110">
        <f t="shared" si="11"/>
        <v>548.38709677419354</v>
      </c>
      <c r="H55" s="110">
        <f t="shared" si="11"/>
        <v>0</v>
      </c>
      <c r="I55" s="759">
        <f t="shared" si="12"/>
        <v>0</v>
      </c>
      <c r="J55" s="754">
        <v>454.58700950944444</v>
      </c>
      <c r="K55" s="124">
        <f t="shared" si="13"/>
        <v>454.58700950944444</v>
      </c>
      <c r="L55" s="127">
        <f t="shared" si="14"/>
        <v>3544.9795872757904</v>
      </c>
      <c r="M55" s="185"/>
      <c r="N55" s="128"/>
      <c r="O55" s="1113"/>
      <c r="P55" s="1114"/>
      <c r="Q55" s="597"/>
      <c r="R55" s="598">
        <f>D55+H55-K55</f>
        <v>3544.9795872757904</v>
      </c>
      <c r="S55" s="621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203">
        <v>0</v>
      </c>
      <c r="D56" s="203">
        <v>0</v>
      </c>
      <c r="E56" s="250">
        <f t="shared" si="10"/>
        <v>0</v>
      </c>
      <c r="F56" s="131">
        <v>0</v>
      </c>
      <c r="G56" s="110">
        <f t="shared" si="11"/>
        <v>0</v>
      </c>
      <c r="H56" s="110">
        <f t="shared" si="11"/>
        <v>0</v>
      </c>
      <c r="I56" s="759">
        <f t="shared" si="12"/>
        <v>0</v>
      </c>
      <c r="J56" s="754"/>
      <c r="K56" s="124">
        <f t="shared" si="13"/>
        <v>0</v>
      </c>
      <c r="L56" s="127">
        <f t="shared" si="14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203">
        <v>0</v>
      </c>
      <c r="D57" s="203">
        <v>178.07499999999999</v>
      </c>
      <c r="E57" s="250">
        <f t="shared" si="10"/>
        <v>0</v>
      </c>
      <c r="F57" s="131">
        <v>0</v>
      </c>
      <c r="G57" s="110">
        <f t="shared" si="11"/>
        <v>0</v>
      </c>
      <c r="H57" s="110">
        <f t="shared" si="11"/>
        <v>0</v>
      </c>
      <c r="I57" s="759">
        <f t="shared" si="12"/>
        <v>0</v>
      </c>
      <c r="J57" s="754"/>
      <c r="K57" s="124">
        <f t="shared" si="13"/>
        <v>0</v>
      </c>
      <c r="L57" s="127">
        <f t="shared" si="14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203">
        <v>0</v>
      </c>
      <c r="D58" s="203">
        <v>3480.6937513418743</v>
      </c>
      <c r="E58" s="250">
        <f t="shared" si="10"/>
        <v>0</v>
      </c>
      <c r="F58" s="131">
        <v>0</v>
      </c>
      <c r="G58" s="110">
        <f t="shared" si="11"/>
        <v>0</v>
      </c>
      <c r="H58" s="110">
        <f t="shared" si="11"/>
        <v>0</v>
      </c>
      <c r="I58" s="759">
        <f t="shared" si="12"/>
        <v>0</v>
      </c>
      <c r="J58" s="754">
        <v>0</v>
      </c>
      <c r="K58" s="124">
        <f t="shared" si="13"/>
        <v>0</v>
      </c>
      <c r="L58" s="127">
        <f t="shared" si="14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203"/>
      <c r="D59" s="203">
        <v>4269.0880030013104</v>
      </c>
      <c r="E59" s="250"/>
      <c r="F59" s="131">
        <v>0</v>
      </c>
      <c r="G59" s="110"/>
      <c r="H59" s="110">
        <f t="shared" si="11"/>
        <v>0</v>
      </c>
      <c r="I59" s="759"/>
      <c r="J59" s="754">
        <v>0</v>
      </c>
      <c r="K59" s="124">
        <f t="shared" si="13"/>
        <v>0</v>
      </c>
      <c r="L59" s="127">
        <f t="shared" si="14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203"/>
      <c r="D60" s="60">
        <v>0</v>
      </c>
      <c r="E60" s="250"/>
      <c r="F60" s="131"/>
      <c r="G60" s="110"/>
      <c r="H60" s="110">
        <f t="shared" si="11"/>
        <v>0</v>
      </c>
      <c r="I60" s="759"/>
      <c r="J60" s="754"/>
      <c r="K60" s="124">
        <f t="shared" si="13"/>
        <v>0</v>
      </c>
      <c r="L60" s="127">
        <f t="shared" si="14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203"/>
      <c r="D61" s="203">
        <v>1063.653</v>
      </c>
      <c r="E61" s="250"/>
      <c r="F61" s="131"/>
      <c r="G61" s="110"/>
      <c r="H61" s="110">
        <f t="shared" si="11"/>
        <v>0</v>
      </c>
      <c r="I61" s="759"/>
      <c r="J61" s="754">
        <f>D139+D141</f>
        <v>0</v>
      </c>
      <c r="K61" s="124">
        <f t="shared" si="13"/>
        <v>0</v>
      </c>
      <c r="L61" s="127">
        <f t="shared" ref="L61:L66" si="15">D61+H61-K61</f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73">
        <v>0</v>
      </c>
      <c r="D62" s="203">
        <v>1531.7249999999999</v>
      </c>
      <c r="E62" s="519"/>
      <c r="F62" s="520">
        <v>0</v>
      </c>
      <c r="G62" s="521"/>
      <c r="H62" s="110">
        <f t="shared" si="11"/>
        <v>0</v>
      </c>
      <c r="I62" s="522"/>
      <c r="J62" s="754">
        <v>0</v>
      </c>
      <c r="K62" s="124">
        <f t="shared" si="13"/>
        <v>0</v>
      </c>
      <c r="L62" s="127">
        <f t="shared" si="1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518" t="s">
        <v>255</v>
      </c>
      <c r="B63" s="126" t="s">
        <v>9</v>
      </c>
      <c r="C63" s="203">
        <v>30000</v>
      </c>
      <c r="D63" s="203">
        <f>SUM(D64:D71)</f>
        <v>4405.6171920305842</v>
      </c>
      <c r="E63" s="1058"/>
      <c r="F63" s="131">
        <v>696.7</v>
      </c>
      <c r="G63" s="110"/>
      <c r="H63" s="171">
        <f t="shared" si="11"/>
        <v>696.7</v>
      </c>
      <c r="I63" s="1059"/>
      <c r="J63" s="754">
        <v>701.76275468250117</v>
      </c>
      <c r="K63" s="1060">
        <f t="shared" si="13"/>
        <v>701.76275468250117</v>
      </c>
      <c r="L63" s="203">
        <f t="shared" si="15"/>
        <v>4400.5544373480825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73"/>
      <c r="D64" s="203">
        <v>452.58776173652768</v>
      </c>
      <c r="E64" s="519"/>
      <c r="F64" s="520"/>
      <c r="G64" s="521"/>
      <c r="H64" s="110">
        <f>F64</f>
        <v>0</v>
      </c>
      <c r="I64" s="522"/>
      <c r="J64" s="754"/>
      <c r="K64" s="124">
        <f>J64</f>
        <v>0</v>
      </c>
      <c r="L64" s="127">
        <f t="shared" si="15"/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203"/>
      <c r="D65" s="203">
        <v>0</v>
      </c>
      <c r="E65" s="250"/>
      <c r="F65" s="131"/>
      <c r="G65" s="110"/>
      <c r="H65" s="110">
        <f>F65</f>
        <v>0</v>
      </c>
      <c r="I65" s="759"/>
      <c r="J65" s="754"/>
      <c r="K65" s="124">
        <f>J65</f>
        <v>0</v>
      </c>
      <c r="L65" s="127">
        <f t="shared" si="15"/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203"/>
      <c r="D66" s="203">
        <v>0</v>
      </c>
      <c r="E66" s="250"/>
      <c r="F66" s="131"/>
      <c r="G66" s="110"/>
      <c r="H66" s="110">
        <f>F66</f>
        <v>0</v>
      </c>
      <c r="I66" s="759"/>
      <c r="J66" s="754"/>
      <c r="K66" s="124">
        <f t="shared" ref="K66:K73" si="16">J66</f>
        <v>0</v>
      </c>
      <c r="L66" s="127">
        <f t="shared" si="15"/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203"/>
      <c r="D67" s="203">
        <v>243.8</v>
      </c>
      <c r="E67" s="250"/>
      <c r="F67" s="131"/>
      <c r="G67" s="110"/>
      <c r="H67" s="110">
        <f t="shared" ref="H67:H73" si="17">F67</f>
        <v>0</v>
      </c>
      <c r="I67" s="759"/>
      <c r="J67" s="754"/>
      <c r="K67" s="124">
        <f t="shared" si="16"/>
        <v>0</v>
      </c>
      <c r="L67" s="127">
        <f t="shared" ref="L67:L73" si="18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203"/>
      <c r="D68" s="203">
        <v>0</v>
      </c>
      <c r="E68" s="250"/>
      <c r="F68" s="131"/>
      <c r="G68" s="110"/>
      <c r="H68" s="110">
        <f t="shared" si="17"/>
        <v>0</v>
      </c>
      <c r="I68" s="759"/>
      <c r="J68" s="754"/>
      <c r="K68" s="124">
        <f t="shared" si="16"/>
        <v>0</v>
      </c>
      <c r="L68" s="127">
        <f t="shared" si="18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idden="1">
      <c r="A69" s="890" t="s">
        <v>242</v>
      </c>
      <c r="B69" s="126" t="s">
        <v>9</v>
      </c>
      <c r="C69" s="203"/>
      <c r="D69" s="203">
        <v>-14212.944176010715</v>
      </c>
      <c r="E69" s="250"/>
      <c r="F69" s="131"/>
      <c r="G69" s="110"/>
      <c r="H69" s="110">
        <f t="shared" si="17"/>
        <v>0</v>
      </c>
      <c r="I69" s="759"/>
      <c r="J69" s="754">
        <v>701.76275468250117</v>
      </c>
      <c r="K69" s="124">
        <f t="shared" si="16"/>
        <v>701.76275468250117</v>
      </c>
      <c r="L69" s="127">
        <f t="shared" si="18"/>
        <v>-14914.706930693215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203"/>
      <c r="D70" s="203">
        <v>17922.173606304772</v>
      </c>
      <c r="E70" s="250"/>
      <c r="F70" s="131">
        <v>696.7</v>
      </c>
      <c r="G70" s="110"/>
      <c r="H70" s="110">
        <f t="shared" si="17"/>
        <v>696.7</v>
      </c>
      <c r="I70" s="759"/>
      <c r="J70" s="754"/>
      <c r="K70" s="124">
        <f t="shared" si="16"/>
        <v>0</v>
      </c>
      <c r="L70" s="127">
        <f t="shared" si="18"/>
        <v>18618.873606304773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203"/>
      <c r="D71" s="203">
        <v>0</v>
      </c>
      <c r="E71" s="250"/>
      <c r="F71" s="131"/>
      <c r="G71" s="110"/>
      <c r="H71" s="110">
        <f t="shared" si="17"/>
        <v>0</v>
      </c>
      <c r="I71" s="759"/>
      <c r="J71" s="754"/>
      <c r="K71" s="124">
        <f t="shared" si="16"/>
        <v>0</v>
      </c>
      <c r="L71" s="127">
        <f t="shared" si="18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576">
        <v>19566.836321629464</v>
      </c>
      <c r="D72" s="576">
        <v>145.84215184813729</v>
      </c>
      <c r="E72" s="385"/>
      <c r="F72" s="386">
        <f>N82</f>
        <v>666.67461694837607</v>
      </c>
      <c r="G72" s="387"/>
      <c r="H72" s="387">
        <f t="shared" si="17"/>
        <v>666.67461694837607</v>
      </c>
      <c r="I72" s="388"/>
      <c r="J72" s="756">
        <f>K131</f>
        <v>685.68192469384894</v>
      </c>
      <c r="K72" s="395">
        <f t="shared" si="16"/>
        <v>685.68192469384894</v>
      </c>
      <c r="L72" s="552">
        <f t="shared" si="18"/>
        <v>126.83484410266442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30"/>
      <c r="D73" s="930"/>
      <c r="E73" s="931"/>
      <c r="F73" s="932"/>
      <c r="G73" s="933"/>
      <c r="H73" s="933">
        <f t="shared" si="17"/>
        <v>0</v>
      </c>
      <c r="I73" s="934"/>
      <c r="J73" s="931"/>
      <c r="K73" s="935">
        <f t="shared" si="16"/>
        <v>0</v>
      </c>
      <c r="L73" s="936">
        <f t="shared" si="18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640"/>
      <c r="D74" s="640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73"/>
      <c r="D75" s="573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576"/>
      <c r="D76" s="576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v>0</v>
      </c>
      <c r="D80" s="134" t="e">
        <v>#DIV/0!</v>
      </c>
      <c r="E80" s="138">
        <f t="shared" ref="E80:E94" si="19">IFERROR(D80/C80,0)</f>
        <v>0</v>
      </c>
      <c r="F80" s="136">
        <v>0</v>
      </c>
      <c r="G80" s="137">
        <f t="shared" ref="G80:G94" si="20">24-F80</f>
        <v>24</v>
      </c>
      <c r="H80" s="138">
        <f t="shared" ref="H80:H94" si="21">F80/24</f>
        <v>0</v>
      </c>
      <c r="I80" s="134" t="e">
        <v>#DIV/0!</v>
      </c>
      <c r="J80" s="138">
        <f t="shared" ref="J80:J94" si="22">IFERROR(I80/C80,0)</f>
        <v>0</v>
      </c>
      <c r="K80" s="136">
        <v>0</v>
      </c>
      <c r="L80" s="137">
        <f>24*1-K80</f>
        <v>24</v>
      </c>
      <c r="M80" s="139">
        <f t="shared" ref="M80:M94" si="23">K80/(24*1)</f>
        <v>0</v>
      </c>
      <c r="N80" s="964"/>
      <c r="O80" s="135"/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v>0</v>
      </c>
      <c r="D81" s="134" t="e">
        <v>#DIV/0!</v>
      </c>
      <c r="E81" s="138">
        <f t="shared" si="19"/>
        <v>0</v>
      </c>
      <c r="F81" s="136">
        <v>0</v>
      </c>
      <c r="G81" s="137">
        <f t="shared" si="20"/>
        <v>24</v>
      </c>
      <c r="H81" s="138">
        <f t="shared" si="21"/>
        <v>0</v>
      </c>
      <c r="I81" s="134" t="e">
        <v>#DIV/0!</v>
      </c>
      <c r="J81" s="138">
        <f t="shared" si="22"/>
        <v>0</v>
      </c>
      <c r="K81" s="136">
        <v>0</v>
      </c>
      <c r="L81" s="137">
        <f>24*1-K81</f>
        <v>24</v>
      </c>
      <c r="M81" s="139">
        <f t="shared" si="23"/>
        <v>0</v>
      </c>
      <c r="N81" s="964"/>
      <c r="O81" s="135"/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v>45</v>
      </c>
      <c r="D82" s="134">
        <f t="shared" ref="D82:D89" si="24">IFERROR(N82/F82,0)</f>
        <v>42.995084663731461</v>
      </c>
      <c r="E82" s="138">
        <f t="shared" si="19"/>
        <v>0.95544632586069911</v>
      </c>
      <c r="F82" s="134">
        <v>15.505833333333333</v>
      </c>
      <c r="G82" s="110">
        <f t="shared" si="20"/>
        <v>8.4941666666666666</v>
      </c>
      <c r="H82" s="138">
        <f t="shared" si="21"/>
        <v>0.64607638888888885</v>
      </c>
      <c r="I82" s="134">
        <f t="shared" ref="I82:I89" si="25">IFERROR(O82/K82,0)</f>
        <v>42.995084663731461</v>
      </c>
      <c r="J82" s="138">
        <f t="shared" si="22"/>
        <v>0.95544632586069911</v>
      </c>
      <c r="K82" s="134">
        <f>F82</f>
        <v>15.505833333333333</v>
      </c>
      <c r="L82" s="110">
        <f>24*1-K82</f>
        <v>8.4941666666666666</v>
      </c>
      <c r="M82" s="139">
        <f t="shared" si="23"/>
        <v>0.64607638888888885</v>
      </c>
      <c r="N82" s="716">
        <v>666.67461694837607</v>
      </c>
      <c r="O82" s="303">
        <f>N82</f>
        <v>666.67461694837607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203">
        <v>500</v>
      </c>
      <c r="D83" s="134">
        <f t="shared" si="24"/>
        <v>506.91176731503731</v>
      </c>
      <c r="E83" s="138">
        <f t="shared" si="19"/>
        <v>1.0138235346300746</v>
      </c>
      <c r="F83" s="134">
        <v>23.284166666666668</v>
      </c>
      <c r="G83" s="110">
        <f t="shared" si="20"/>
        <v>0.71583333333333243</v>
      </c>
      <c r="H83" s="138">
        <f t="shared" si="21"/>
        <v>0.97017361111111111</v>
      </c>
      <c r="I83" s="134">
        <f t="shared" si="25"/>
        <v>506.91176731503731</v>
      </c>
      <c r="J83" s="138">
        <f t="shared" si="22"/>
        <v>1.0138235346300746</v>
      </c>
      <c r="K83" s="134">
        <f>F83</f>
        <v>23.284166666666668</v>
      </c>
      <c r="L83" s="110">
        <f>G83</f>
        <v>0.71583333333333243</v>
      </c>
      <c r="M83" s="139">
        <f t="shared" si="23"/>
        <v>0.97017361111111111</v>
      </c>
      <c r="N83" s="716">
        <v>11803.018075457881</v>
      </c>
      <c r="O83" s="303">
        <f>N83</f>
        <v>11803.018075457881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203">
        <v>0</v>
      </c>
      <c r="D84" s="134">
        <f t="shared" si="24"/>
        <v>262.04381336282802</v>
      </c>
      <c r="E84" s="138">
        <f t="shared" si="19"/>
        <v>0</v>
      </c>
      <c r="F84" s="134">
        <v>24</v>
      </c>
      <c r="G84" s="110">
        <f t="shared" si="20"/>
        <v>0</v>
      </c>
      <c r="H84" s="138">
        <f t="shared" si="21"/>
        <v>1</v>
      </c>
      <c r="I84" s="134">
        <f t="shared" si="25"/>
        <v>262.04381336282802</v>
      </c>
      <c r="J84" s="138">
        <f t="shared" si="22"/>
        <v>0</v>
      </c>
      <c r="K84" s="134">
        <f>F84</f>
        <v>24</v>
      </c>
      <c r="L84" s="110">
        <f t="shared" ref="L84:L94" si="26">G84</f>
        <v>0</v>
      </c>
      <c r="M84" s="139">
        <f t="shared" si="23"/>
        <v>1</v>
      </c>
      <c r="N84" s="716">
        <v>6289.0515207078724</v>
      </c>
      <c r="O84" s="303">
        <f>N84</f>
        <v>6289.0515207078724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41">
        <v>0</v>
      </c>
      <c r="D85" s="134">
        <f t="shared" si="24"/>
        <v>0</v>
      </c>
      <c r="E85" s="138">
        <f t="shared" si="19"/>
        <v>0</v>
      </c>
      <c r="F85" s="134">
        <v>0</v>
      </c>
      <c r="G85" s="137">
        <f t="shared" si="20"/>
        <v>24</v>
      </c>
      <c r="H85" s="138">
        <f t="shared" si="21"/>
        <v>0</v>
      </c>
      <c r="I85" s="134">
        <f t="shared" si="25"/>
        <v>0</v>
      </c>
      <c r="J85" s="138">
        <f t="shared" si="22"/>
        <v>0</v>
      </c>
      <c r="K85" s="134">
        <f t="shared" ref="K85:K90" si="27">F85</f>
        <v>0</v>
      </c>
      <c r="L85" s="110">
        <f t="shared" si="26"/>
        <v>24</v>
      </c>
      <c r="M85" s="139">
        <f t="shared" si="23"/>
        <v>0</v>
      </c>
      <c r="N85" s="965">
        <v>0</v>
      </c>
      <c r="O85" s="302">
        <f t="shared" ref="O85:O91" si="28">N85</f>
        <v>0</v>
      </c>
      <c r="P85" s="719"/>
      <c r="Q85" s="140"/>
      <c r="R85" s="140"/>
      <c r="T85" s="93"/>
    </row>
    <row r="86" spans="1:20" hidden="1" outlineLevel="1">
      <c r="A86" s="132" t="s">
        <v>56</v>
      </c>
      <c r="B86" s="106" t="s">
        <v>17</v>
      </c>
      <c r="C86" s="141">
        <v>0</v>
      </c>
      <c r="D86" s="134">
        <f t="shared" si="24"/>
        <v>0</v>
      </c>
      <c r="E86" s="138">
        <f t="shared" si="19"/>
        <v>0</v>
      </c>
      <c r="F86" s="134">
        <v>0</v>
      </c>
      <c r="G86" s="137">
        <f t="shared" si="20"/>
        <v>24</v>
      </c>
      <c r="H86" s="138">
        <f t="shared" si="21"/>
        <v>0</v>
      </c>
      <c r="I86" s="134">
        <f t="shared" si="25"/>
        <v>0</v>
      </c>
      <c r="J86" s="138">
        <f t="shared" si="22"/>
        <v>0</v>
      </c>
      <c r="K86" s="134">
        <f t="shared" si="27"/>
        <v>0</v>
      </c>
      <c r="L86" s="110">
        <f t="shared" si="26"/>
        <v>24</v>
      </c>
      <c r="M86" s="139">
        <f t="shared" si="23"/>
        <v>0</v>
      </c>
      <c r="N86" s="965">
        <v>0</v>
      </c>
      <c r="O86" s="302">
        <f t="shared" si="28"/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41">
        <v>0</v>
      </c>
      <c r="D87" s="134">
        <f t="shared" si="24"/>
        <v>0</v>
      </c>
      <c r="E87" s="138">
        <f t="shared" si="19"/>
        <v>0</v>
      </c>
      <c r="F87" s="134">
        <v>0</v>
      </c>
      <c r="G87" s="137">
        <f t="shared" si="20"/>
        <v>24</v>
      </c>
      <c r="H87" s="138">
        <f t="shared" si="21"/>
        <v>0</v>
      </c>
      <c r="I87" s="134">
        <f t="shared" si="25"/>
        <v>0</v>
      </c>
      <c r="J87" s="138">
        <f t="shared" si="22"/>
        <v>0</v>
      </c>
      <c r="K87" s="134">
        <f t="shared" si="27"/>
        <v>0</v>
      </c>
      <c r="L87" s="110">
        <f t="shared" si="26"/>
        <v>24</v>
      </c>
      <c r="M87" s="139">
        <f t="shared" si="23"/>
        <v>0</v>
      </c>
      <c r="N87" s="965">
        <v>0</v>
      </c>
      <c r="O87" s="302">
        <f t="shared" si="28"/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41">
        <v>0</v>
      </c>
      <c r="D88" s="134">
        <f t="shared" si="24"/>
        <v>0</v>
      </c>
      <c r="E88" s="138">
        <f t="shared" si="19"/>
        <v>0</v>
      </c>
      <c r="F88" s="134">
        <v>0</v>
      </c>
      <c r="G88" s="110">
        <f t="shared" si="20"/>
        <v>24</v>
      </c>
      <c r="H88" s="138">
        <f t="shared" si="21"/>
        <v>0</v>
      </c>
      <c r="I88" s="134">
        <f t="shared" si="25"/>
        <v>0</v>
      </c>
      <c r="J88" s="138">
        <f t="shared" si="22"/>
        <v>0</v>
      </c>
      <c r="K88" s="134">
        <f t="shared" si="27"/>
        <v>0</v>
      </c>
      <c r="L88" s="110">
        <f t="shared" si="26"/>
        <v>24</v>
      </c>
      <c r="M88" s="139">
        <f t="shared" si="23"/>
        <v>0</v>
      </c>
      <c r="N88" s="716">
        <v>0</v>
      </c>
      <c r="O88" s="303">
        <f t="shared" si="28"/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41">
        <v>47</v>
      </c>
      <c r="D89" s="134">
        <f t="shared" si="24"/>
        <v>44.150221400994965</v>
      </c>
      <c r="E89" s="138">
        <f t="shared" si="19"/>
        <v>0.93936641278712696</v>
      </c>
      <c r="F89" s="134">
        <v>0.75194444444444453</v>
      </c>
      <c r="G89" s="110">
        <f t="shared" si="20"/>
        <v>23.248055555555556</v>
      </c>
      <c r="H89" s="138">
        <f t="shared" si="21"/>
        <v>3.1331018518518522E-2</v>
      </c>
      <c r="I89" s="134">
        <f t="shared" si="25"/>
        <v>44.150221400994965</v>
      </c>
      <c r="J89" s="138">
        <f t="shared" si="22"/>
        <v>0.93936641278712696</v>
      </c>
      <c r="K89" s="134">
        <f t="shared" si="27"/>
        <v>0.75194444444444453</v>
      </c>
      <c r="L89" s="110">
        <f t="shared" si="26"/>
        <v>23.248055555555556</v>
      </c>
      <c r="M89" s="139">
        <f t="shared" si="23"/>
        <v>3.1331018518518522E-2</v>
      </c>
      <c r="N89" s="1001">
        <v>33.198513703470383</v>
      </c>
      <c r="O89" s="303">
        <f t="shared" si="28"/>
        <v>33.198513703470383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41">
        <v>47</v>
      </c>
      <c r="D90" s="134">
        <f t="shared" ref="D90:D95" si="29">IFERROR(N90/F90,0)</f>
        <v>0</v>
      </c>
      <c r="E90" s="138">
        <f t="shared" si="19"/>
        <v>0</v>
      </c>
      <c r="F90" s="134">
        <v>0</v>
      </c>
      <c r="G90" s="110">
        <f t="shared" si="20"/>
        <v>24</v>
      </c>
      <c r="H90" s="138">
        <f t="shared" si="21"/>
        <v>0</v>
      </c>
      <c r="I90" s="134">
        <f t="shared" ref="I90:I95" si="30">IFERROR(O90/K90,0)</f>
        <v>0</v>
      </c>
      <c r="J90" s="138">
        <f t="shared" si="22"/>
        <v>0</v>
      </c>
      <c r="K90" s="134">
        <f t="shared" si="27"/>
        <v>0</v>
      </c>
      <c r="L90" s="110">
        <f t="shared" si="26"/>
        <v>24</v>
      </c>
      <c r="M90" s="139">
        <f t="shared" si="23"/>
        <v>0</v>
      </c>
      <c r="N90" s="1001">
        <v>0</v>
      </c>
      <c r="O90" s="303">
        <f t="shared" si="28"/>
        <v>0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41">
        <v>0</v>
      </c>
      <c r="D91" s="134">
        <f t="shared" si="29"/>
        <v>0</v>
      </c>
      <c r="E91" s="138">
        <f t="shared" si="19"/>
        <v>0</v>
      </c>
      <c r="F91" s="134">
        <v>0</v>
      </c>
      <c r="G91" s="110">
        <f t="shared" si="20"/>
        <v>24</v>
      </c>
      <c r="H91" s="138">
        <f t="shared" si="21"/>
        <v>0</v>
      </c>
      <c r="I91" s="134">
        <f t="shared" si="30"/>
        <v>0</v>
      </c>
      <c r="J91" s="138">
        <f t="shared" si="22"/>
        <v>0</v>
      </c>
      <c r="K91" s="134">
        <f>F91</f>
        <v>0</v>
      </c>
      <c r="L91" s="110">
        <f t="shared" si="26"/>
        <v>24</v>
      </c>
      <c r="M91" s="139">
        <f t="shared" si="23"/>
        <v>0</v>
      </c>
      <c r="N91" s="716">
        <v>0</v>
      </c>
      <c r="O91" s="303">
        <f t="shared" si="28"/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203">
        <v>156.40496545876454</v>
      </c>
      <c r="D92" s="134">
        <f t="shared" si="29"/>
        <v>141.14852624826784</v>
      </c>
      <c r="E92" s="138">
        <f t="shared" si="19"/>
        <v>0.90245553160191072</v>
      </c>
      <c r="F92" s="134">
        <v>24</v>
      </c>
      <c r="G92" s="110">
        <f t="shared" si="20"/>
        <v>0</v>
      </c>
      <c r="H92" s="138">
        <f t="shared" si="21"/>
        <v>1</v>
      </c>
      <c r="I92" s="134">
        <f t="shared" si="30"/>
        <v>141.14852624826784</v>
      </c>
      <c r="J92" s="138">
        <f t="shared" si="22"/>
        <v>0.90245553160191072</v>
      </c>
      <c r="K92" s="134">
        <f>F92</f>
        <v>24</v>
      </c>
      <c r="L92" s="110">
        <f t="shared" si="26"/>
        <v>0</v>
      </c>
      <c r="M92" s="139">
        <f t="shared" si="23"/>
        <v>1</v>
      </c>
      <c r="N92" s="716">
        <v>3387.5646299584282</v>
      </c>
      <c r="O92" s="303">
        <f>N92</f>
        <v>3387.5646299584282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203">
        <v>153.20426211760955</v>
      </c>
      <c r="D93" s="134">
        <f t="shared" si="29"/>
        <v>143.43190152626462</v>
      </c>
      <c r="E93" s="138">
        <f t="shared" si="19"/>
        <v>0.93621352006615177</v>
      </c>
      <c r="F93" s="134">
        <v>24</v>
      </c>
      <c r="G93" s="110">
        <f t="shared" si="20"/>
        <v>0</v>
      </c>
      <c r="H93" s="138">
        <f t="shared" si="21"/>
        <v>1</v>
      </c>
      <c r="I93" s="134">
        <f t="shared" si="30"/>
        <v>143.43190152626462</v>
      </c>
      <c r="J93" s="138">
        <f t="shared" si="22"/>
        <v>0.93621352006615177</v>
      </c>
      <c r="K93" s="134">
        <f>F93</f>
        <v>24</v>
      </c>
      <c r="L93" s="110">
        <f t="shared" si="26"/>
        <v>0</v>
      </c>
      <c r="M93" s="139">
        <f t="shared" si="23"/>
        <v>1</v>
      </c>
      <c r="N93" s="716">
        <v>3442.3656366303512</v>
      </c>
      <c r="O93" s="303">
        <f>N93</f>
        <v>3442.3656366303512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573">
        <v>60</v>
      </c>
      <c r="D94" s="765">
        <f t="shared" si="29"/>
        <v>0</v>
      </c>
      <c r="E94" s="746">
        <f t="shared" si="19"/>
        <v>0</v>
      </c>
      <c r="F94" s="765"/>
      <c r="G94" s="521">
        <f t="shared" si="20"/>
        <v>24</v>
      </c>
      <c r="H94" s="746">
        <f t="shared" si="21"/>
        <v>0</v>
      </c>
      <c r="I94" s="765">
        <f t="shared" si="30"/>
        <v>0</v>
      </c>
      <c r="J94" s="746">
        <f t="shared" si="22"/>
        <v>0</v>
      </c>
      <c r="K94" s="765">
        <f>F94</f>
        <v>0</v>
      </c>
      <c r="L94" s="521">
        <f t="shared" si="26"/>
        <v>24</v>
      </c>
      <c r="M94" s="880">
        <f t="shared" si="23"/>
        <v>0</v>
      </c>
      <c r="N94" s="966">
        <f>E111+E120+E121+E122</f>
        <v>1175.3</v>
      </c>
      <c r="O94" s="871">
        <f>N94</f>
        <v>1175.3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885"/>
      <c r="D95" s="443">
        <f t="shared" si="29"/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 t="shared" si="30"/>
        <v>0</v>
      </c>
      <c r="J95" s="444">
        <f>IFERROR(I95/C95,0)</f>
        <v>0</v>
      </c>
      <c r="K95" s="443">
        <f>F95</f>
        <v>0</v>
      </c>
      <c r="L95" s="387">
        <f>G95</f>
        <v>24</v>
      </c>
      <c r="M95" s="723">
        <f>K95/(24*1)</f>
        <v>0</v>
      </c>
      <c r="N95" s="967">
        <f>E112+E114+E115+E118+E119</f>
        <v>519.19999999999993</v>
      </c>
      <c r="O95" s="713">
        <f>N95</f>
        <v>519.19999999999993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2937</v>
      </c>
      <c r="E100" s="89">
        <f>E101+E110</f>
        <v>7238.399999999996</v>
      </c>
      <c r="F100" s="90">
        <f>IFERROR((E100/D100),0)</f>
        <v>2.4645556690500499</v>
      </c>
      <c r="G100" s="88">
        <f>G101+G110</f>
        <v>5044</v>
      </c>
      <c r="H100" s="89">
        <f>H101+H110</f>
        <v>7238.399999999996</v>
      </c>
      <c r="I100" s="90">
        <f>IFERROR((H100/G100),0)</f>
        <v>1.4350515463917517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2937</v>
      </c>
      <c r="E101" s="98">
        <f>SUM(E102:E109)</f>
        <v>5543.899999999996</v>
      </c>
      <c r="F101" s="99">
        <f>IFERROR((E101/D101),0)</f>
        <v>1.8876064010895457</v>
      </c>
      <c r="G101" s="169">
        <f>SUM(G102:G109)</f>
        <v>2937</v>
      </c>
      <c r="H101" s="98">
        <f>SUM(H102:H109)</f>
        <v>5543.899999999996</v>
      </c>
      <c r="I101" s="99">
        <f>IFERROR((H101/G101),0)</f>
        <v>1.8876064010895457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v>0</v>
      </c>
      <c r="D102" s="134">
        <v>0</v>
      </c>
      <c r="E102" s="110">
        <v>0</v>
      </c>
      <c r="F102" s="138">
        <f>IFERROR((E102/D102),0)</f>
        <v>0</v>
      </c>
      <c r="G102" s="134">
        <f t="shared" ref="G102:H104" si="31">D102</f>
        <v>0</v>
      </c>
      <c r="H102" s="171">
        <f t="shared" si="31"/>
        <v>0</v>
      </c>
      <c r="I102" s="138">
        <f>IFERROR((H102/G102),0)</f>
        <v>0</v>
      </c>
      <c r="J102" s="1148"/>
      <c r="K102" s="1150"/>
      <c r="L102" s="253"/>
      <c r="M102" s="253"/>
      <c r="N102" s="253"/>
      <c r="O102" s="253"/>
      <c r="P102" s="143"/>
      <c r="T102" s="93"/>
    </row>
    <row r="103" spans="1:20">
      <c r="A103" s="254" t="s">
        <v>262</v>
      </c>
      <c r="B103" s="119" t="s">
        <v>9</v>
      </c>
      <c r="C103" s="149">
        <v>11500</v>
      </c>
      <c r="D103" s="134">
        <v>190</v>
      </c>
      <c r="E103" s="110">
        <v>0</v>
      </c>
      <c r="F103" s="138">
        <f>IFERROR((E103/D103),0)</f>
        <v>0</v>
      </c>
      <c r="G103" s="445">
        <f t="shared" si="31"/>
        <v>190</v>
      </c>
      <c r="H103" s="147">
        <f t="shared" si="31"/>
        <v>0</v>
      </c>
      <c r="I103" s="138">
        <f>IFERROR((H103/G103),0)</f>
        <v>0</v>
      </c>
      <c r="J103" s="1146"/>
      <c r="K103" s="1147"/>
      <c r="L103" s="253"/>
      <c r="M103" s="253"/>
      <c r="N103" s="253"/>
      <c r="O103" s="253"/>
      <c r="P103" s="143"/>
      <c r="T103" s="93"/>
    </row>
    <row r="104" spans="1:20">
      <c r="A104" s="254" t="s">
        <v>159</v>
      </c>
      <c r="B104" s="119" t="s">
        <v>9</v>
      </c>
      <c r="C104" s="149">
        <v>127150</v>
      </c>
      <c r="D104" s="134">
        <v>2684</v>
      </c>
      <c r="E104" s="110">
        <v>4815.899999999996</v>
      </c>
      <c r="F104" s="138"/>
      <c r="G104" s="445">
        <f t="shared" si="31"/>
        <v>2684</v>
      </c>
      <c r="H104" s="171">
        <f t="shared" si="31"/>
        <v>4815.899999999996</v>
      </c>
      <c r="I104" s="138">
        <f>IFERROR((H104/G104),0)</f>
        <v>1.7942995529061088</v>
      </c>
      <c r="J104" s="797"/>
      <c r="K104" s="798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v>0</v>
      </c>
      <c r="D105" s="134">
        <v>0</v>
      </c>
      <c r="E105" s="110">
        <v>404.55</v>
      </c>
      <c r="F105" s="138">
        <f t="shared" ref="F105:F122" si="32">IFERROR((E105/D105),0)</f>
        <v>0</v>
      </c>
      <c r="G105" s="134">
        <f t="shared" ref="G105:H109" si="33">D105</f>
        <v>0</v>
      </c>
      <c r="H105" s="171">
        <f t="shared" si="33"/>
        <v>404.55</v>
      </c>
      <c r="I105" s="138">
        <f t="shared" ref="I105:I122" si="34">IFERROR((H105/G105),0)</f>
        <v>0</v>
      </c>
      <c r="J105" s="1148"/>
      <c r="K105" s="1150"/>
      <c r="L105" s="253"/>
      <c r="M105" s="253"/>
      <c r="N105" s="253"/>
      <c r="O105" s="253"/>
      <c r="P105" s="143"/>
      <c r="T105" s="93"/>
    </row>
    <row r="106" spans="1:20">
      <c r="A106" s="123" t="s">
        <v>254</v>
      </c>
      <c r="B106" s="119" t="s">
        <v>9</v>
      </c>
      <c r="C106" s="149">
        <v>0</v>
      </c>
      <c r="D106" s="134">
        <v>0</v>
      </c>
      <c r="E106" s="110">
        <v>278.39999999999998</v>
      </c>
      <c r="F106" s="138">
        <f t="shared" si="32"/>
        <v>0</v>
      </c>
      <c r="G106" s="134">
        <f t="shared" si="33"/>
        <v>0</v>
      </c>
      <c r="H106" s="171">
        <f t="shared" si="33"/>
        <v>278.39999999999998</v>
      </c>
      <c r="I106" s="138">
        <f t="shared" si="34"/>
        <v>0</v>
      </c>
      <c r="J106" s="743"/>
      <c r="K106" s="744"/>
      <c r="L106" s="253"/>
      <c r="M106" s="253"/>
      <c r="N106" s="148"/>
      <c r="O106" s="148"/>
      <c r="P106" s="143"/>
      <c r="T106" s="93"/>
    </row>
    <row r="107" spans="1:20" outlineLevel="1">
      <c r="A107" s="254" t="s">
        <v>50</v>
      </c>
      <c r="B107" s="119" t="s">
        <v>9</v>
      </c>
      <c r="C107" s="149">
        <v>0</v>
      </c>
      <c r="D107" s="134">
        <v>0</v>
      </c>
      <c r="E107" s="110">
        <v>0</v>
      </c>
      <c r="F107" s="138">
        <f t="shared" si="32"/>
        <v>0</v>
      </c>
      <c r="G107" s="134">
        <f t="shared" si="33"/>
        <v>0</v>
      </c>
      <c r="H107" s="171">
        <f t="shared" si="33"/>
        <v>0</v>
      </c>
      <c r="I107" s="138">
        <f t="shared" si="34"/>
        <v>0</v>
      </c>
      <c r="J107" s="1148"/>
      <c r="K107" s="1150"/>
      <c r="L107" s="143"/>
      <c r="M107" s="143"/>
      <c r="N107" s="253"/>
      <c r="O107" s="253"/>
      <c r="P107" s="143"/>
      <c r="T107" s="93"/>
    </row>
    <row r="108" spans="1:20" outlineLevel="1">
      <c r="A108" s="123" t="s">
        <v>245</v>
      </c>
      <c r="B108" s="119" t="s">
        <v>9</v>
      </c>
      <c r="C108" s="149">
        <v>3558</v>
      </c>
      <c r="D108" s="134">
        <v>63</v>
      </c>
      <c r="E108" s="110">
        <v>0</v>
      </c>
      <c r="F108" s="138">
        <f t="shared" si="32"/>
        <v>0</v>
      </c>
      <c r="G108" s="134">
        <f t="shared" si="33"/>
        <v>63</v>
      </c>
      <c r="H108" s="171">
        <f t="shared" si="33"/>
        <v>0</v>
      </c>
      <c r="I108" s="138">
        <f t="shared" si="34"/>
        <v>0</v>
      </c>
      <c r="J108" s="797"/>
      <c r="K108" s="798"/>
      <c r="L108" s="143"/>
      <c r="M108" s="143"/>
      <c r="N108" s="253"/>
      <c r="O108" s="253"/>
      <c r="P108" s="143"/>
      <c r="T108" s="93"/>
    </row>
    <row r="109" spans="1:20" outlineLevel="1">
      <c r="A109" s="254" t="s">
        <v>198</v>
      </c>
      <c r="B109" s="119" t="s">
        <v>9</v>
      </c>
      <c r="C109" s="149">
        <v>1100</v>
      </c>
      <c r="D109" s="134">
        <v>0</v>
      </c>
      <c r="E109" s="110">
        <v>45.05</v>
      </c>
      <c r="F109" s="138">
        <f t="shared" si="32"/>
        <v>0</v>
      </c>
      <c r="G109" s="134">
        <f t="shared" si="33"/>
        <v>0</v>
      </c>
      <c r="H109" s="171">
        <f t="shared" si="33"/>
        <v>45.05</v>
      </c>
      <c r="I109" s="138">
        <f t="shared" si="34"/>
        <v>0</v>
      </c>
      <c r="J109" s="797"/>
      <c r="K109" s="798"/>
      <c r="L109" s="143"/>
      <c r="M109" s="253"/>
      <c r="N109" s="253"/>
      <c r="O109" s="143"/>
      <c r="S109" s="93"/>
    </row>
    <row r="110" spans="1:20" outlineLevel="1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2107</v>
      </c>
      <c r="E110" s="98">
        <f>SUM(E111:E122)</f>
        <v>1694.5</v>
      </c>
      <c r="F110" s="1053">
        <f>IFERROR((E110/D110),0)</f>
        <v>0.80422401518747033</v>
      </c>
      <c r="G110" s="1051">
        <f>SUM(G111:G122)</f>
        <v>2107</v>
      </c>
      <c r="H110" s="98">
        <f>SUM(H111:H122)</f>
        <v>1694.5</v>
      </c>
      <c r="I110" s="1053">
        <f>IFERROR((H110/G110),0)</f>
        <v>0.80422401518747033</v>
      </c>
      <c r="J110" s="797"/>
      <c r="K110" s="798"/>
      <c r="L110" s="143"/>
      <c r="M110" s="143"/>
      <c r="N110" s="253"/>
      <c r="O110" s="253"/>
      <c r="P110" s="143"/>
      <c r="T110" s="93"/>
    </row>
    <row r="111" spans="1:20" outlineLevel="1">
      <c r="A111" s="254" t="s">
        <v>251</v>
      </c>
      <c r="B111" s="119" t="s">
        <v>9</v>
      </c>
      <c r="C111" s="149">
        <v>0</v>
      </c>
      <c r="D111" s="134">
        <v>0</v>
      </c>
      <c r="E111" s="110">
        <v>547.65</v>
      </c>
      <c r="F111" s="138">
        <f>IFERROR((E111/D111),0)</f>
        <v>0</v>
      </c>
      <c r="G111" s="134">
        <f>D111</f>
        <v>0</v>
      </c>
      <c r="H111" s="110">
        <f>E111</f>
        <v>547.65</v>
      </c>
      <c r="I111" s="138">
        <f>IFERROR((H111/G111),0)</f>
        <v>0</v>
      </c>
      <c r="J111" s="1148"/>
      <c r="K111" s="1150"/>
      <c r="L111" s="253"/>
      <c r="M111" s="253"/>
      <c r="N111" s="253"/>
      <c r="O111" s="253"/>
      <c r="P111" s="143"/>
      <c r="Q111" s="83"/>
      <c r="T111" s="93"/>
    </row>
    <row r="112" spans="1:20" outlineLevel="1">
      <c r="A112" s="254" t="s">
        <v>252</v>
      </c>
      <c r="B112" s="119" t="s">
        <v>9</v>
      </c>
      <c r="C112" s="164">
        <v>0</v>
      </c>
      <c r="D112" s="134">
        <v>0</v>
      </c>
      <c r="E112" s="110">
        <v>519.19999999999993</v>
      </c>
      <c r="F112" s="138">
        <f>IFERROR((E112/D112),0)</f>
        <v>0</v>
      </c>
      <c r="G112" s="134">
        <f>D112</f>
        <v>0</v>
      </c>
      <c r="H112" s="110">
        <f>E112</f>
        <v>519.19999999999993</v>
      </c>
      <c r="I112" s="138">
        <f>IFERROR((H112/G112),0)</f>
        <v>0</v>
      </c>
      <c r="J112" s="1148"/>
      <c r="K112" s="1150"/>
      <c r="L112" s="253"/>
      <c r="M112" s="253"/>
      <c r="N112" s="253"/>
      <c r="O112" s="253"/>
      <c r="P112" s="143"/>
      <c r="Q112" s="83"/>
      <c r="T112" s="93"/>
    </row>
    <row r="113" spans="1:20" outlineLevel="1">
      <c r="A113" s="254" t="s">
        <v>253</v>
      </c>
      <c r="B113" s="119" t="s">
        <v>9</v>
      </c>
      <c r="C113" s="164">
        <v>0</v>
      </c>
      <c r="D113" s="134">
        <v>0</v>
      </c>
      <c r="E113" s="110">
        <v>0</v>
      </c>
      <c r="F113" s="138">
        <f t="shared" si="32"/>
        <v>0</v>
      </c>
      <c r="G113" s="134">
        <f>D113</f>
        <v>0</v>
      </c>
      <c r="H113" s="110">
        <f t="shared" ref="G113:H122" si="35">E113</f>
        <v>0</v>
      </c>
      <c r="I113" s="138">
        <f t="shared" si="34"/>
        <v>0</v>
      </c>
      <c r="J113" s="797"/>
      <c r="K113" s="798"/>
      <c r="L113" s="253"/>
      <c r="M113" s="253"/>
      <c r="N113" s="253"/>
      <c r="O113" s="253"/>
      <c r="P113" s="143"/>
      <c r="Q113" s="83"/>
      <c r="T113" s="93"/>
    </row>
    <row r="114" spans="1:20">
      <c r="A114" s="254" t="s">
        <v>225</v>
      </c>
      <c r="B114" s="825" t="s">
        <v>9</v>
      </c>
      <c r="C114" s="164">
        <v>500</v>
      </c>
      <c r="D114" s="134">
        <v>16</v>
      </c>
      <c r="E114" s="110">
        <v>0</v>
      </c>
      <c r="F114" s="167">
        <f t="shared" si="32"/>
        <v>0</v>
      </c>
      <c r="G114" s="165">
        <f t="shared" si="35"/>
        <v>16</v>
      </c>
      <c r="H114" s="110">
        <f t="shared" si="35"/>
        <v>0</v>
      </c>
      <c r="I114" s="167">
        <f t="shared" si="34"/>
        <v>0</v>
      </c>
      <c r="J114" s="1151"/>
      <c r="K114" s="1152"/>
      <c r="L114" s="253"/>
      <c r="M114" s="253"/>
      <c r="N114" s="253"/>
      <c r="O114" s="253"/>
      <c r="P114" s="143"/>
      <c r="T114" s="93"/>
    </row>
    <row r="115" spans="1:20">
      <c r="A115" s="254" t="s">
        <v>221</v>
      </c>
      <c r="B115" s="119" t="s">
        <v>9</v>
      </c>
      <c r="C115" s="149">
        <v>0</v>
      </c>
      <c r="D115" s="134">
        <v>0</v>
      </c>
      <c r="E115" s="864">
        <v>0</v>
      </c>
      <c r="F115" s="138">
        <f t="shared" si="32"/>
        <v>0</v>
      </c>
      <c r="G115" s="134">
        <f t="shared" si="35"/>
        <v>0</v>
      </c>
      <c r="H115" s="110">
        <f t="shared" si="35"/>
        <v>0</v>
      </c>
      <c r="I115" s="138">
        <f t="shared" si="34"/>
        <v>0</v>
      </c>
      <c r="J115" s="1146"/>
      <c r="K115" s="1147"/>
      <c r="L115" s="143"/>
      <c r="M115" s="152"/>
      <c r="N115" s="253"/>
      <c r="O115" s="253"/>
      <c r="P115" s="143"/>
      <c r="T115" s="93"/>
    </row>
    <row r="116" spans="1:20">
      <c r="A116" s="254" t="s">
        <v>196</v>
      </c>
      <c r="B116" s="119" t="s">
        <v>9</v>
      </c>
      <c r="C116" s="149">
        <v>0</v>
      </c>
      <c r="D116" s="134">
        <v>0</v>
      </c>
      <c r="E116" s="110">
        <v>0</v>
      </c>
      <c r="F116" s="138">
        <f t="shared" si="32"/>
        <v>0</v>
      </c>
      <c r="G116" s="134">
        <f t="shared" si="35"/>
        <v>0</v>
      </c>
      <c r="H116" s="110">
        <f t="shared" si="35"/>
        <v>0</v>
      </c>
      <c r="I116" s="138">
        <f t="shared" si="34"/>
        <v>0</v>
      </c>
      <c r="J116" s="797"/>
      <c r="K116" s="798"/>
      <c r="L116" s="143"/>
      <c r="M116" s="152"/>
      <c r="N116" s="253"/>
      <c r="O116" s="253"/>
      <c r="P116" s="143"/>
      <c r="T116" s="93"/>
    </row>
    <row r="117" spans="1:20">
      <c r="A117" s="254" t="s">
        <v>197</v>
      </c>
      <c r="B117" s="119" t="s">
        <v>9</v>
      </c>
      <c r="C117" s="149">
        <v>0</v>
      </c>
      <c r="D117" s="134">
        <v>0</v>
      </c>
      <c r="E117" s="110">
        <v>0</v>
      </c>
      <c r="F117" s="138">
        <f t="shared" si="32"/>
        <v>0</v>
      </c>
      <c r="G117" s="134">
        <f t="shared" si="35"/>
        <v>0</v>
      </c>
      <c r="H117" s="110">
        <f t="shared" si="35"/>
        <v>0</v>
      </c>
      <c r="I117" s="138">
        <f t="shared" si="34"/>
        <v>0</v>
      </c>
      <c r="J117" s="797"/>
      <c r="K117" s="798"/>
      <c r="L117" s="143"/>
      <c r="M117" s="152"/>
      <c r="N117" s="253"/>
      <c r="O117" s="253"/>
      <c r="P117" s="143"/>
      <c r="T117" s="93"/>
    </row>
    <row r="118" spans="1:20">
      <c r="A118" s="254" t="s">
        <v>222</v>
      </c>
      <c r="B118" s="119" t="s">
        <v>9</v>
      </c>
      <c r="C118" s="149">
        <v>10700</v>
      </c>
      <c r="D118" s="134">
        <v>365</v>
      </c>
      <c r="E118" s="110">
        <v>0</v>
      </c>
      <c r="F118" s="138">
        <f t="shared" si="32"/>
        <v>0</v>
      </c>
      <c r="G118" s="134">
        <f t="shared" si="35"/>
        <v>365</v>
      </c>
      <c r="H118" s="110">
        <f t="shared" si="35"/>
        <v>0</v>
      </c>
      <c r="I118" s="138">
        <f t="shared" si="34"/>
        <v>0</v>
      </c>
      <c r="J118" s="797"/>
      <c r="K118" s="798"/>
      <c r="L118" s="143"/>
      <c r="M118" s="152"/>
      <c r="N118" s="253"/>
      <c r="O118" s="253"/>
      <c r="P118" s="143"/>
      <c r="T118" s="93"/>
    </row>
    <row r="119" spans="1:20">
      <c r="A119" s="858" t="s">
        <v>223</v>
      </c>
      <c r="B119" s="119" t="s">
        <v>9</v>
      </c>
      <c r="C119" s="149">
        <v>0</v>
      </c>
      <c r="D119" s="134">
        <v>0</v>
      </c>
      <c r="E119" s="110">
        <v>0</v>
      </c>
      <c r="F119" s="138">
        <f t="shared" si="32"/>
        <v>0</v>
      </c>
      <c r="G119" s="134">
        <f t="shared" si="35"/>
        <v>0</v>
      </c>
      <c r="H119" s="110">
        <f t="shared" si="35"/>
        <v>0</v>
      </c>
      <c r="I119" s="138">
        <f t="shared" si="34"/>
        <v>0</v>
      </c>
      <c r="J119" s="856"/>
      <c r="K119" s="857"/>
      <c r="L119" s="143"/>
      <c r="M119" s="152"/>
      <c r="N119" s="253"/>
      <c r="O119" s="253"/>
      <c r="P119" s="143"/>
      <c r="T119" s="93"/>
    </row>
    <row r="120" spans="1:20">
      <c r="A120" s="254" t="s">
        <v>256</v>
      </c>
      <c r="B120" s="119" t="s">
        <v>9</v>
      </c>
      <c r="C120" s="149">
        <v>22152</v>
      </c>
      <c r="D120" s="134">
        <v>442</v>
      </c>
      <c r="E120" s="110">
        <v>0</v>
      </c>
      <c r="F120" s="138">
        <f t="shared" si="32"/>
        <v>0</v>
      </c>
      <c r="G120" s="134">
        <f t="shared" si="35"/>
        <v>442</v>
      </c>
      <c r="H120" s="110">
        <f t="shared" si="35"/>
        <v>0</v>
      </c>
      <c r="I120" s="138">
        <f t="shared" si="34"/>
        <v>0</v>
      </c>
      <c r="J120" s="856"/>
      <c r="K120" s="857"/>
      <c r="L120" s="143"/>
      <c r="M120" s="152"/>
      <c r="N120" s="253"/>
      <c r="O120" s="253"/>
      <c r="P120" s="143"/>
      <c r="T120" s="93"/>
    </row>
    <row r="121" spans="1:20">
      <c r="A121" s="254" t="s">
        <v>199</v>
      </c>
      <c r="B121" s="119" t="s">
        <v>9</v>
      </c>
      <c r="C121" s="149">
        <v>1360</v>
      </c>
      <c r="D121" s="134">
        <v>0</v>
      </c>
      <c r="E121" s="110">
        <v>0</v>
      </c>
      <c r="F121" s="138">
        <f t="shared" si="32"/>
        <v>0</v>
      </c>
      <c r="G121" s="134">
        <f t="shared" si="35"/>
        <v>0</v>
      </c>
      <c r="H121" s="110">
        <f t="shared" si="35"/>
        <v>0</v>
      </c>
      <c r="I121" s="138">
        <f t="shared" si="34"/>
        <v>0</v>
      </c>
      <c r="J121" s="856"/>
      <c r="K121" s="857"/>
      <c r="L121" s="143"/>
      <c r="M121" s="152"/>
      <c r="N121" s="253"/>
      <c r="O121" s="253"/>
      <c r="P121" s="143"/>
      <c r="T121" s="93"/>
    </row>
    <row r="122" spans="1:20">
      <c r="A122" s="246" t="s">
        <v>206</v>
      </c>
      <c r="B122" s="119" t="s">
        <v>9</v>
      </c>
      <c r="C122" s="149">
        <v>18120</v>
      </c>
      <c r="D122" s="134">
        <v>1284</v>
      </c>
      <c r="E122" s="110">
        <v>627.65</v>
      </c>
      <c r="F122" s="138">
        <f t="shared" si="32"/>
        <v>0.4888239875389408</v>
      </c>
      <c r="G122" s="134">
        <f t="shared" si="35"/>
        <v>1284</v>
      </c>
      <c r="H122" s="110">
        <f t="shared" si="35"/>
        <v>627.65</v>
      </c>
      <c r="I122" s="138">
        <f t="shared" si="34"/>
        <v>0.4888239875389408</v>
      </c>
      <c r="J122" s="856"/>
      <c r="K122" s="857"/>
      <c r="L122" s="143"/>
      <c r="M122" s="152"/>
      <c r="N122" s="253"/>
      <c r="O122" s="253"/>
      <c r="P122" s="143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4"/>
      <c r="M123" s="154"/>
      <c r="N123" s="253"/>
      <c r="O123" s="253"/>
      <c r="P123" s="143"/>
      <c r="T123" s="93"/>
    </row>
    <row r="124" spans="1:20" s="120" customFormat="1" ht="31.5" outlineLevel="1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361" t="s">
        <v>89</v>
      </c>
      <c r="K124" s="318" t="s">
        <v>90</v>
      </c>
      <c r="L124" s="154"/>
      <c r="M124" s="154"/>
      <c r="N124" s="152"/>
      <c r="O124" s="152"/>
      <c r="P124" s="152"/>
      <c r="S124" s="82"/>
      <c r="T124" s="93"/>
    </row>
    <row r="125" spans="1:20" s="120" customFormat="1" ht="16.5" outlineLevel="1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33.198513703470383</v>
      </c>
      <c r="K125" s="328">
        <f>N92+N93</f>
        <v>6829.930266588779</v>
      </c>
      <c r="L125" s="154"/>
      <c r="M125" s="154"/>
      <c r="N125" s="152"/>
      <c r="O125" s="152"/>
      <c r="P125" s="152"/>
      <c r="S125" s="82"/>
      <c r="T125" s="93"/>
    </row>
    <row r="126" spans="1:20" s="120" customFormat="1" outlineLevel="1">
      <c r="A126" s="327" t="s">
        <v>193</v>
      </c>
      <c r="B126" s="119" t="s">
        <v>182</v>
      </c>
      <c r="C126" s="155" t="s">
        <v>189</v>
      </c>
      <c r="D126" s="381">
        <v>40.5</v>
      </c>
      <c r="E126" s="268">
        <v>41.43087848642412</v>
      </c>
      <c r="F126" s="266">
        <f>IFERROR(E126/D126,0)</f>
        <v>1.0229846539857808</v>
      </c>
      <c r="G126" s="267">
        <v>40.5</v>
      </c>
      <c r="H126" s="200">
        <f>E126</f>
        <v>41.43087848642412</v>
      </c>
      <c r="I126" s="157">
        <f>IFERROR(H126/G126,0)</f>
        <v>1.0229846539857808</v>
      </c>
      <c r="J126" s="697"/>
      <c r="K126" s="598"/>
      <c r="L126" s="154"/>
      <c r="M126" s="154"/>
      <c r="N126" s="152"/>
      <c r="O126" s="152"/>
      <c r="P126" s="152"/>
      <c r="S126" s="82"/>
      <c r="T126" s="93"/>
    </row>
    <row r="127" spans="1:20" s="120" customFormat="1" outlineLevel="1">
      <c r="A127" s="327" t="s">
        <v>177</v>
      </c>
      <c r="B127" s="119" t="s">
        <v>182</v>
      </c>
      <c r="C127" s="155" t="s">
        <v>178</v>
      </c>
      <c r="D127" s="381">
        <v>17</v>
      </c>
      <c r="E127" s="268">
        <v>16.525978168246088</v>
      </c>
      <c r="F127" s="266">
        <f t="shared" ref="F127:F132" si="36">IFERROR(E127/D127,0)</f>
        <v>0.97211636283800518</v>
      </c>
      <c r="G127" s="267">
        <v>17</v>
      </c>
      <c r="H127" s="200">
        <f>E127</f>
        <v>16.525978168246088</v>
      </c>
      <c r="I127" s="157">
        <f t="shared" ref="I127:I132" si="37">IFERROR(H127/G127,0)</f>
        <v>0.97211636283800518</v>
      </c>
      <c r="J127" s="154"/>
      <c r="K127" s="154"/>
      <c r="L127" s="154"/>
      <c r="M127" s="154"/>
      <c r="N127" s="152"/>
      <c r="O127" s="152"/>
      <c r="P127" s="152"/>
      <c r="S127" s="82"/>
      <c r="T127" s="93"/>
    </row>
    <row r="128" spans="1:20" s="120" customFormat="1" outlineLevel="1">
      <c r="A128" s="327" t="s">
        <v>160</v>
      </c>
      <c r="B128" s="119" t="s">
        <v>51</v>
      </c>
      <c r="C128" s="155" t="s">
        <v>0</v>
      </c>
      <c r="D128" s="381">
        <v>3</v>
      </c>
      <c r="E128" s="256">
        <f>P131</f>
        <v>2.691418517480566</v>
      </c>
      <c r="F128" s="266">
        <f t="shared" si="36"/>
        <v>0.89713950582685531</v>
      </c>
      <c r="G128" s="267">
        <v>3</v>
      </c>
      <c r="H128" s="256">
        <f>P132</f>
        <v>2.691418517480566</v>
      </c>
      <c r="I128" s="157">
        <f t="shared" si="37"/>
        <v>0.89713950582685531</v>
      </c>
      <c r="J128" s="154"/>
      <c r="K128" s="154"/>
      <c r="L128" s="154"/>
      <c r="M128" s="154"/>
      <c r="N128" s="152"/>
      <c r="O128" s="152"/>
      <c r="P128" s="152"/>
      <c r="S128" s="82"/>
      <c r="T128" s="93"/>
    </row>
    <row r="129" spans="1:20" s="120" customFormat="1" ht="15.75" customHeight="1" outlineLevel="1">
      <c r="A129" s="327" t="s">
        <v>181</v>
      </c>
      <c r="B129" s="119" t="s">
        <v>182</v>
      </c>
      <c r="C129" s="155" t="s">
        <v>183</v>
      </c>
      <c r="D129" s="381">
        <v>21</v>
      </c>
      <c r="E129" s="268">
        <v>18.687548576567476</v>
      </c>
      <c r="F129" s="266">
        <f t="shared" si="36"/>
        <v>0.88988326555083219</v>
      </c>
      <c r="G129" s="267">
        <v>21</v>
      </c>
      <c r="H129" s="200">
        <f>E129</f>
        <v>18.687548576567476</v>
      </c>
      <c r="I129" s="157">
        <f t="shared" si="37"/>
        <v>0.88988326555083219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S129" s="82"/>
      <c r="T129" s="93"/>
    </row>
    <row r="130" spans="1:20" s="120" customFormat="1" ht="31.5" outlineLevel="1">
      <c r="A130" s="327" t="s">
        <v>179</v>
      </c>
      <c r="B130" s="119" t="s">
        <v>182</v>
      </c>
      <c r="C130" s="155" t="s">
        <v>161</v>
      </c>
      <c r="D130" s="381">
        <v>42</v>
      </c>
      <c r="E130" s="268">
        <v>0</v>
      </c>
      <c r="F130" s="266">
        <f t="shared" si="36"/>
        <v>0</v>
      </c>
      <c r="G130" s="267">
        <v>42</v>
      </c>
      <c r="H130" s="200">
        <f>E130</f>
        <v>0</v>
      </c>
      <c r="I130" s="157">
        <f t="shared" si="37"/>
        <v>0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S130" s="82"/>
      <c r="T130" s="93"/>
    </row>
    <row r="131" spans="1:20" s="120" customFormat="1" outlineLevel="1">
      <c r="A131" s="327" t="s">
        <v>180</v>
      </c>
      <c r="B131" s="145" t="s">
        <v>182</v>
      </c>
      <c r="C131" s="781" t="s">
        <v>162</v>
      </c>
      <c r="D131" s="381">
        <v>35</v>
      </c>
      <c r="E131" s="256">
        <v>28.245379135902819</v>
      </c>
      <c r="F131" s="266">
        <f t="shared" si="36"/>
        <v>0.80701083245436622</v>
      </c>
      <c r="G131" s="267">
        <f>D131</f>
        <v>35</v>
      </c>
      <c r="H131" s="200">
        <v>28.245379135902819</v>
      </c>
      <c r="I131" s="157">
        <f t="shared" si="37"/>
        <v>0.80701083245436622</v>
      </c>
      <c r="J131" s="178">
        <f>F5</f>
        <v>6289.0515207078724</v>
      </c>
      <c r="K131" s="110">
        <v>685.68192469384894</v>
      </c>
      <c r="L131" s="316">
        <f>IFERROR(K131/J131,0)</f>
        <v>0.10902787525847317</v>
      </c>
      <c r="M131" s="110">
        <v>5900</v>
      </c>
      <c r="N131" s="704">
        <f>M131</f>
        <v>5900</v>
      </c>
      <c r="O131" s="110">
        <f>M131*4.184*K131/1000</f>
        <v>16926.469720222482</v>
      </c>
      <c r="P131" s="628">
        <f>IFERROR(O131/J131,0)</f>
        <v>2.691418517480566</v>
      </c>
      <c r="S131" s="82"/>
      <c r="T131" s="93"/>
    </row>
    <row r="132" spans="1:20" s="120" customFormat="1" ht="16.5" outlineLevel="1" thickBot="1">
      <c r="A132" s="678" t="s">
        <v>92</v>
      </c>
      <c r="B132" s="679" t="s">
        <v>48</v>
      </c>
      <c r="C132" s="680" t="s">
        <v>184</v>
      </c>
      <c r="D132" s="681">
        <v>100.69</v>
      </c>
      <c r="E132" s="682">
        <v>109.07077185807785</v>
      </c>
      <c r="F132" s="783">
        <f t="shared" si="36"/>
        <v>1.0832334080651291</v>
      </c>
      <c r="G132" s="974">
        <v>100.69</v>
      </c>
      <c r="H132" s="683">
        <v>109.07077185807785</v>
      </c>
      <c r="I132" s="684">
        <f t="shared" si="37"/>
        <v>1.0832334080651291</v>
      </c>
      <c r="L132" s="158"/>
      <c r="M132" s="154"/>
      <c r="N132" s="726" t="s">
        <v>188</v>
      </c>
      <c r="O132" s="704">
        <f>O131</f>
        <v>16926.469720222482</v>
      </c>
      <c r="P132" s="724">
        <f>IFERROR(O132/H5,0)</f>
        <v>2.691418517480566</v>
      </c>
      <c r="S132" s="82"/>
      <c r="T132" s="93"/>
    </row>
    <row r="133" spans="1:20" ht="16.5" thickBot="1">
      <c r="A133" s="120"/>
      <c r="C133" s="160"/>
      <c r="K133" s="1173" t="s">
        <v>112</v>
      </c>
      <c r="L133" s="1174"/>
      <c r="M133" s="1174"/>
      <c r="N133" s="1175"/>
      <c r="O133" s="154"/>
      <c r="P133" s="154"/>
      <c r="T133" s="93"/>
    </row>
    <row r="134" spans="1:20" ht="16.5" thickBot="1">
      <c r="A134" s="120"/>
      <c r="C134" s="160"/>
      <c r="K134" s="364" t="s">
        <v>95</v>
      </c>
      <c r="L134" s="364" t="s">
        <v>147</v>
      </c>
      <c r="M134" s="364" t="s">
        <v>104</v>
      </c>
      <c r="N134" s="379">
        <v>124823</v>
      </c>
      <c r="S134" s="82" t="s">
        <v>148</v>
      </c>
      <c r="T134" s="93"/>
    </row>
    <row r="135" spans="1:20" ht="16.5" thickBot="1">
      <c r="A135" s="120"/>
      <c r="C135" s="160"/>
      <c r="K135" s="365"/>
      <c r="L135" s="366">
        <f>SUM(L136:L140)</f>
        <v>48</v>
      </c>
      <c r="M135" s="366">
        <f>SUM(M136:M140)</f>
        <v>124823</v>
      </c>
      <c r="N135" s="367"/>
      <c r="O135" s="382">
        <v>100</v>
      </c>
      <c r="S135" s="483">
        <f>L135-F92-F93</f>
        <v>0</v>
      </c>
      <c r="T135" s="93"/>
    </row>
    <row r="136" spans="1:20" ht="16.5" customHeight="1" thickBot="1">
      <c r="A136" s="359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  <c r="O136" s="154"/>
      <c r="P136" s="154"/>
      <c r="T136" s="93"/>
    </row>
    <row r="137" spans="1:20" ht="31.5">
      <c r="A137" s="360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  <c r="O137" s="154"/>
      <c r="P137" s="154"/>
      <c r="T137" s="93"/>
    </row>
    <row r="138" spans="1:20" ht="16.5" thickBot="1">
      <c r="A138" s="360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  <c r="O138" s="154"/>
      <c r="P138" s="154"/>
      <c r="T138" s="93"/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v>0</v>
      </c>
      <c r="J139" s="1171">
        <f>D140+E140+F140+G140</f>
        <v>0</v>
      </c>
      <c r="K139" s="370" t="s">
        <v>159</v>
      </c>
      <c r="L139" s="376">
        <v>48</v>
      </c>
      <c r="M139" s="362">
        <f>$N$134*N139/100</f>
        <v>124823</v>
      </c>
      <c r="N139" s="369">
        <f>IFERROR(L139*$O$135/$L$135,0)</f>
        <v>100</v>
      </c>
      <c r="O139" s="154"/>
      <c r="P139" s="154"/>
      <c r="T139" s="93"/>
    </row>
    <row r="140" spans="1:20" ht="16.5" thickBot="1">
      <c r="A140" s="321"/>
      <c r="B140" s="334"/>
      <c r="C140" s="335">
        <f t="shared" ref="C140:H140" si="38">IFERROR(C139/$B$139,0)</f>
        <v>0</v>
      </c>
      <c r="D140" s="335">
        <f t="shared" si="38"/>
        <v>0</v>
      </c>
      <c r="E140" s="335">
        <f t="shared" si="38"/>
        <v>0</v>
      </c>
      <c r="F140" s="335">
        <f t="shared" si="38"/>
        <v>0</v>
      </c>
      <c r="G140" s="335">
        <f t="shared" si="38"/>
        <v>0</v>
      </c>
      <c r="H140" s="335">
        <f t="shared" si="38"/>
        <v>0</v>
      </c>
      <c r="I140" s="326">
        <f t="shared" ref="I140:I148" si="39">SUM(C140:H140)</f>
        <v>0</v>
      </c>
      <c r="J140" s="1172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  <c r="O140" s="154"/>
      <c r="P140" s="154"/>
      <c r="T140" s="93"/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39"/>
        <v>0</v>
      </c>
      <c r="J141" s="1171">
        <f>D142+E142+F142+G142</f>
        <v>0</v>
      </c>
      <c r="K141"/>
      <c r="L141"/>
      <c r="M141"/>
      <c r="N141"/>
      <c r="O141" s="154"/>
      <c r="P141" s="154"/>
      <c r="T141" s="93"/>
    </row>
    <row r="142" spans="1:20" ht="16.5" thickBot="1">
      <c r="A142" s="321"/>
      <c r="B142" s="336"/>
      <c r="C142" s="335">
        <f t="shared" ref="C142:H142" si="40">IFERROR(C141/$B$141,0)</f>
        <v>0</v>
      </c>
      <c r="D142" s="335">
        <f t="shared" si="40"/>
        <v>0</v>
      </c>
      <c r="E142" s="335">
        <f t="shared" si="40"/>
        <v>0</v>
      </c>
      <c r="F142" s="335">
        <f t="shared" si="40"/>
        <v>0</v>
      </c>
      <c r="G142" s="335">
        <f t="shared" si="40"/>
        <v>0</v>
      </c>
      <c r="H142" s="335">
        <f t="shared" si="40"/>
        <v>0</v>
      </c>
      <c r="I142" s="326">
        <f t="shared" si="39"/>
        <v>0</v>
      </c>
      <c r="J142" s="1172"/>
      <c r="K142" s="1173" t="s">
        <v>113</v>
      </c>
      <c r="L142" s="1174"/>
      <c r="M142" s="1174"/>
      <c r="N142" s="1175"/>
      <c r="O142" s="154"/>
      <c r="P142" s="154"/>
      <c r="T142" s="93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39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112895</v>
      </c>
      <c r="O143" s="154"/>
      <c r="P143" s="154"/>
      <c r="T143" s="93"/>
    </row>
    <row r="144" spans="1:20" ht="16.5" thickBot="1">
      <c r="A144" s="321"/>
      <c r="B144" s="336"/>
      <c r="C144" s="335">
        <f t="shared" ref="C144:H144" si="41">IFERROR(C143/$B$143,0)</f>
        <v>0</v>
      </c>
      <c r="D144" s="335">
        <f t="shared" si="41"/>
        <v>0</v>
      </c>
      <c r="E144" s="335">
        <f t="shared" si="41"/>
        <v>0</v>
      </c>
      <c r="F144" s="335">
        <f t="shared" si="41"/>
        <v>0</v>
      </c>
      <c r="G144" s="335">
        <f t="shared" si="41"/>
        <v>0</v>
      </c>
      <c r="H144" s="335">
        <f t="shared" si="41"/>
        <v>0</v>
      </c>
      <c r="I144" s="326">
        <f t="shared" si="39"/>
        <v>0</v>
      </c>
      <c r="J144" s="1172"/>
      <c r="K144" s="365"/>
      <c r="L144" s="366">
        <f>SUM(L145:L150)</f>
        <v>0.75194444444444453</v>
      </c>
      <c r="M144" s="366">
        <f>SUM(M145:M150)</f>
        <v>0</v>
      </c>
      <c r="N144" s="367"/>
      <c r="O144" s="154"/>
      <c r="P144" s="154"/>
      <c r="T144" s="93"/>
    </row>
    <row r="145" spans="1:20">
      <c r="A145" s="123" t="s">
        <v>190</v>
      </c>
      <c r="B145" s="344">
        <f>F19</f>
        <v>6829.930266588779</v>
      </c>
      <c r="C145" s="337">
        <v>525.95643853187562</v>
      </c>
      <c r="D145" s="340"/>
      <c r="E145" s="340"/>
      <c r="F145" s="337">
        <v>0</v>
      </c>
      <c r="G145" s="337">
        <v>0</v>
      </c>
      <c r="H145" s="337">
        <v>6379.1030609893805</v>
      </c>
      <c r="I145" s="333">
        <f t="shared" si="39"/>
        <v>6905.0594995212559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IFERROR(L145*$O$163/$L$144,0)</f>
        <v>0</v>
      </c>
      <c r="O145" s="154"/>
      <c r="P145" s="154"/>
      <c r="T145" s="93"/>
    </row>
    <row r="146" spans="1:20" ht="16.5" thickBot="1">
      <c r="A146" s="321"/>
      <c r="B146" s="336"/>
      <c r="C146" s="335">
        <f t="shared" ref="C146:H146" si="42">IFERROR(C145/$B$145,0)</f>
        <v>7.7007585436822554E-2</v>
      </c>
      <c r="D146" s="335">
        <f t="shared" si="42"/>
        <v>0</v>
      </c>
      <c r="E146" s="335">
        <f t="shared" si="42"/>
        <v>0</v>
      </c>
      <c r="F146" s="335">
        <f t="shared" si="42"/>
        <v>0</v>
      </c>
      <c r="G146" s="335">
        <f t="shared" si="42"/>
        <v>0</v>
      </c>
      <c r="H146" s="335">
        <f t="shared" si="42"/>
        <v>0.9339924145631775</v>
      </c>
      <c r="I146" s="326">
        <f t="shared" si="39"/>
        <v>1.0110000000000001</v>
      </c>
      <c r="J146" s="1172"/>
      <c r="K146" s="370" t="s">
        <v>86</v>
      </c>
      <c r="L146" s="376">
        <v>0.75194444444444453</v>
      </c>
      <c r="M146" s="362">
        <f>$N$143*N146/100</f>
        <v>0</v>
      </c>
      <c r="N146" s="369">
        <f>IFERROR(L146*$O$163/$L$144,0)</f>
        <v>0</v>
      </c>
      <c r="O146" s="154"/>
      <c r="P146" s="154"/>
      <c r="T146" s="93"/>
    </row>
    <row r="147" spans="1:20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39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IFERROR(L147*$O$163/$L$144,0)</f>
        <v>0</v>
      </c>
      <c r="O147" s="154"/>
      <c r="P147" s="154"/>
      <c r="T147" s="93"/>
    </row>
    <row r="148" spans="1:20" ht="16.5" thickBot="1">
      <c r="A148" s="321"/>
      <c r="B148" s="334"/>
      <c r="C148" s="335">
        <f t="shared" ref="C148:H148" si="43">IFERROR(C147/$B$147,0)</f>
        <v>0</v>
      </c>
      <c r="D148" s="335">
        <f t="shared" si="43"/>
        <v>0</v>
      </c>
      <c r="E148" s="335">
        <f t="shared" si="43"/>
        <v>0</v>
      </c>
      <c r="F148" s="335">
        <f t="shared" si="43"/>
        <v>0</v>
      </c>
      <c r="G148" s="335">
        <f t="shared" si="43"/>
        <v>0</v>
      </c>
      <c r="H148" s="335">
        <f t="shared" si="43"/>
        <v>0</v>
      </c>
      <c r="I148" s="326">
        <f t="shared" si="39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IFERROR(L148*$O$163/$L$144,0)</f>
        <v>0</v>
      </c>
      <c r="O148" s="154"/>
      <c r="P148" s="154"/>
      <c r="T148" s="93"/>
    </row>
    <row r="149" spans="1:20">
      <c r="A149" s="342" t="s">
        <v>81</v>
      </c>
      <c r="B149" s="345">
        <f t="shared" ref="B149:I149" si="44">B139+B141+B143+B145+B147</f>
        <v>6829.930266588779</v>
      </c>
      <c r="C149" s="349">
        <f t="shared" si="44"/>
        <v>525.95643853187562</v>
      </c>
      <c r="D149" s="349">
        <f t="shared" si="44"/>
        <v>0</v>
      </c>
      <c r="E149" s="349">
        <f>E139+E141+E143+E145+E147</f>
        <v>0</v>
      </c>
      <c r="F149" s="349">
        <f t="shared" si="44"/>
        <v>0</v>
      </c>
      <c r="G149" s="349">
        <f t="shared" si="44"/>
        <v>0</v>
      </c>
      <c r="H149" s="349">
        <f t="shared" si="44"/>
        <v>6379.1030609893805</v>
      </c>
      <c r="I149" s="324">
        <f t="shared" si="44"/>
        <v>6905.0594995212559</v>
      </c>
      <c r="K149" s="370"/>
      <c r="L149" s="363"/>
      <c r="M149" s="362"/>
      <c r="N149" s="369"/>
      <c r="O149" s="154"/>
      <c r="P149" s="154"/>
      <c r="T149" s="93"/>
    </row>
    <row r="150" spans="1:20" ht="16.5" thickBot="1">
      <c r="A150" s="322"/>
      <c r="B150" s="325"/>
      <c r="C150" s="335">
        <f t="shared" ref="C150:H150" si="45">IFERROR(C149/$B$149,0)</f>
        <v>7.7007585436822554E-2</v>
      </c>
      <c r="D150" s="335">
        <f t="shared" si="45"/>
        <v>0</v>
      </c>
      <c r="E150" s="335">
        <f t="shared" si="45"/>
        <v>0</v>
      </c>
      <c r="F150" s="335">
        <f t="shared" si="45"/>
        <v>0</v>
      </c>
      <c r="G150" s="335">
        <f t="shared" si="45"/>
        <v>0</v>
      </c>
      <c r="H150" s="335">
        <f t="shared" si="45"/>
        <v>0.9339924145631775</v>
      </c>
      <c r="I150" s="326">
        <f>SUM(C150:H150)</f>
        <v>1.0110000000000001</v>
      </c>
      <c r="K150" s="374"/>
      <c r="L150" s="375"/>
      <c r="M150" s="372"/>
      <c r="N150" s="373"/>
    </row>
    <row r="151" spans="1:20">
      <c r="A151" s="120"/>
      <c r="C151" s="160"/>
    </row>
    <row r="156" spans="1:20" ht="33" customHeight="1">
      <c r="O156" s="115"/>
      <c r="P156" s="115"/>
    </row>
    <row r="163" spans="15:15">
      <c r="O163" s="382"/>
    </row>
  </sheetData>
  <mergeCells count="110">
    <mergeCell ref="J139:J140"/>
    <mergeCell ref="J141:J142"/>
    <mergeCell ref="J143:J144"/>
    <mergeCell ref="J145:J146"/>
    <mergeCell ref="J147:J148"/>
    <mergeCell ref="C136:I136"/>
    <mergeCell ref="N78:O78"/>
    <mergeCell ref="O59:P59"/>
    <mergeCell ref="O61:P61"/>
    <mergeCell ref="K133:N133"/>
    <mergeCell ref="K142:N142"/>
    <mergeCell ref="N129:P129"/>
    <mergeCell ref="O69:P69"/>
    <mergeCell ref="O70:P70"/>
    <mergeCell ref="O71:P71"/>
    <mergeCell ref="O48:P48"/>
    <mergeCell ref="O21:P21"/>
    <mergeCell ref="O23:P23"/>
    <mergeCell ref="O45:P45"/>
    <mergeCell ref="O46:P46"/>
    <mergeCell ref="O47:P47"/>
    <mergeCell ref="A123:I123"/>
    <mergeCell ref="O64:P64"/>
    <mergeCell ref="O65:P65"/>
    <mergeCell ref="O66:P66"/>
    <mergeCell ref="O67:P67"/>
    <mergeCell ref="O68:P68"/>
    <mergeCell ref="O72:P72"/>
    <mergeCell ref="O73:P73"/>
    <mergeCell ref="N99:O99"/>
    <mergeCell ref="O54:P54"/>
    <mergeCell ref="O55:P55"/>
    <mergeCell ref="O56:P56"/>
    <mergeCell ref="O57:P57"/>
    <mergeCell ref="O58:P58"/>
    <mergeCell ref="O49:P49"/>
    <mergeCell ref="O50:P50"/>
    <mergeCell ref="O52:P52"/>
    <mergeCell ref="O53:P53"/>
    <mergeCell ref="A124:A125"/>
    <mergeCell ref="B124:B125"/>
    <mergeCell ref="C124:C125"/>
    <mergeCell ref="D124:F124"/>
    <mergeCell ref="G124:I124"/>
    <mergeCell ref="B78:B79"/>
    <mergeCell ref="C78:C79"/>
    <mergeCell ref="D78:H78"/>
    <mergeCell ref="I78:M78"/>
    <mergeCell ref="J115:K115"/>
    <mergeCell ref="J101:K101"/>
    <mergeCell ref="J102:K102"/>
    <mergeCell ref="J103:K103"/>
    <mergeCell ref="J107:K107"/>
    <mergeCell ref="J105:K105"/>
    <mergeCell ref="J111:K111"/>
    <mergeCell ref="J112:K112"/>
    <mergeCell ref="J114:K114"/>
    <mergeCell ref="L99:M99"/>
    <mergeCell ref="D97:F98"/>
    <mergeCell ref="G97:I98"/>
    <mergeCell ref="J97:K98"/>
    <mergeCell ref="A78:A79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5:P15"/>
    <mergeCell ref="O17:P17"/>
    <mergeCell ref="O18:P18"/>
    <mergeCell ref="O19:P19"/>
    <mergeCell ref="O20:P20"/>
    <mergeCell ref="O16:P16"/>
    <mergeCell ref="O43:P43"/>
    <mergeCell ref="O44:P44"/>
    <mergeCell ref="O38:P38"/>
    <mergeCell ref="O39:P39"/>
    <mergeCell ref="O40:P40"/>
    <mergeCell ref="O41:P41"/>
    <mergeCell ref="O42:P42"/>
    <mergeCell ref="O30:P30"/>
    <mergeCell ref="O22:P22"/>
    <mergeCell ref="B136:B137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77:P77"/>
    <mergeCell ref="P78:P79"/>
    <mergeCell ref="A96:K96"/>
    <mergeCell ref="A97:A99"/>
    <mergeCell ref="B97:B99"/>
    <mergeCell ref="C97:C99"/>
    <mergeCell ref="O60:P60"/>
    <mergeCell ref="O62:P62"/>
    <mergeCell ref="O63:P63"/>
    <mergeCell ref="O14:P14"/>
    <mergeCell ref="J129:J130"/>
    <mergeCell ref="K129:L129"/>
  </mergeCells>
  <pageMargins left="0.15748031496062992" right="0.15748031496062992" top="0.23622047244094491" bottom="0.19685039370078741" header="0.23622047244094491" footer="0.19685039370078741"/>
  <pageSetup paperSize="8" scale="45" orientation="portrait" r:id="rId1"/>
  <rowBreaks count="1" manualBreakCount="1">
    <brk id="95" max="15" man="1"/>
  </row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Q2" sqref="Q2"/>
      <selection pane="topRight" activeCell="Q2" sqref="Q2"/>
      <selection pane="bottomLeft" activeCell="Q2" sqref="Q2"/>
      <selection pane="bottomRight" sqref="A1:P1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02 ",Q1)</f>
        <v>Ежедневный отчет производства и отгрузки за 02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4249.7600283130014</v>
      </c>
      <c r="G5" s="89">
        <f t="shared" si="0"/>
        <v>13400</v>
      </c>
      <c r="H5" s="89">
        <f t="shared" si="0"/>
        <v>10538.811549020873</v>
      </c>
      <c r="I5" s="90">
        <f>IFERROR((H5/G5),0)</f>
        <v>0.78647847380752778</v>
      </c>
      <c r="J5" s="749">
        <f>J6+J9</f>
        <v>6917.2044471842819</v>
      </c>
      <c r="K5" s="91">
        <f>K6+K9+K8</f>
        <v>13321.523878811578</v>
      </c>
      <c r="L5" s="87">
        <f>L6+L9+L8</f>
        <v>140242.50119715559</v>
      </c>
      <c r="M5" s="401"/>
      <c r="N5" s="92"/>
      <c r="O5" s="1131"/>
      <c r="P5" s="1132"/>
      <c r="Q5" s="591"/>
      <c r="R5" s="590"/>
      <c r="S5" s="618"/>
      <c r="T5" s="118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E6+'01'!G6</f>
        <v>0</v>
      </c>
      <c r="H6" s="110">
        <f>F6+'01'!H6</f>
        <v>0</v>
      </c>
      <c r="I6" s="138"/>
      <c r="J6" s="178"/>
      <c r="K6" s="124">
        <f>J6+'01'!K6</f>
        <v>0</v>
      </c>
      <c r="L6" s="149">
        <f>D6+H6-K6-M6+N6</f>
        <v>15952.919765534218</v>
      </c>
      <c r="M6" s="101"/>
      <c r="N6" s="101">
        <v>0</v>
      </c>
      <c r="O6" s="1133"/>
      <c r="P6" s="1134"/>
      <c r="Q6" s="592"/>
      <c r="R6" s="590"/>
      <c r="S6" s="618"/>
      <c r="T6" s="118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F7+'01'!H7</f>
        <v>0</v>
      </c>
      <c r="I7" s="138"/>
      <c r="J7" s="750"/>
      <c r="K7" s="124">
        <f>J7+'01'!K7</f>
        <v>0</v>
      </c>
      <c r="L7" s="149">
        <f>D7+H7-K7-M7+N7</f>
        <v>0</v>
      </c>
      <c r="M7" s="101"/>
      <c r="N7" s="101"/>
      <c r="O7" s="1133"/>
      <c r="P7" s="1134"/>
      <c r="Q7" s="592"/>
      <c r="R7" s="590"/>
      <c r="S7" s="618"/>
      <c r="T7" s="118"/>
    </row>
    <row r="8" spans="1:20" hidden="1" outlineLevel="1">
      <c r="A8" s="103" t="s">
        <v>94</v>
      </c>
      <c r="B8" s="95" t="s">
        <v>9</v>
      </c>
      <c r="C8" s="96"/>
      <c r="D8" s="96">
        <f>'01'!D8</f>
        <v>0</v>
      </c>
      <c r="E8" s="97"/>
      <c r="F8" s="98"/>
      <c r="G8" s="98"/>
      <c r="H8" s="110">
        <f>F8+'01'!H8</f>
        <v>0</v>
      </c>
      <c r="I8" s="138"/>
      <c r="J8" s="177"/>
      <c r="K8" s="124">
        <f>J8+'01'!K8</f>
        <v>0</v>
      </c>
      <c r="L8" s="96">
        <f>D8+H8-K8</f>
        <v>0</v>
      </c>
      <c r="M8" s="101"/>
      <c r="N8" s="101"/>
      <c r="O8" s="1133"/>
      <c r="P8" s="1134"/>
      <c r="Q8" s="592"/>
      <c r="R8" s="590"/>
      <c r="S8" s="618"/>
      <c r="T8" s="118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4249.7600283130014</v>
      </c>
      <c r="G9" s="98">
        <f>E9+'01'!G9</f>
        <v>13400</v>
      </c>
      <c r="H9" s="98">
        <f>F9+'01'!H9</f>
        <v>10538.811549020873</v>
      </c>
      <c r="I9" s="138">
        <f>IFERROR((H9/G9),0)</f>
        <v>0.78647847380752778</v>
      </c>
      <c r="J9" s="177">
        <f>J10+J11+J12+J13</f>
        <v>6917.2044471842819</v>
      </c>
      <c r="K9" s="100">
        <f>J9+'01'!K9</f>
        <v>13321.523878811578</v>
      </c>
      <c r="L9" s="96">
        <f>D9+H9-K9+M9-N9</f>
        <v>124289.58143162138</v>
      </c>
      <c r="M9" s="101"/>
      <c r="N9" s="101">
        <v>0</v>
      </c>
      <c r="O9" s="1133"/>
      <c r="P9" s="1134"/>
      <c r="Q9" s="592">
        <v>-23266.571785975502</v>
      </c>
      <c r="R9" s="590">
        <f>J9-Q9</f>
        <v>30183.776233159784</v>
      </c>
      <c r="S9" s="618"/>
      <c r="T9" s="118"/>
    </row>
    <row r="10" spans="1:20">
      <c r="A10" s="103" t="s">
        <v>64</v>
      </c>
      <c r="B10" s="119" t="s">
        <v>9</v>
      </c>
      <c r="C10" s="149"/>
      <c r="D10" s="149">
        <f>'01'!D10</f>
        <v>56300.273909357406</v>
      </c>
      <c r="E10" s="134"/>
      <c r="F10" s="110">
        <v>4249.7600283130014</v>
      </c>
      <c r="G10" s="98">
        <f>E10+'01'!G10</f>
        <v>0</v>
      </c>
      <c r="H10" s="110">
        <f>F10+'01'!H10</f>
        <v>10538.811549020873</v>
      </c>
      <c r="I10" s="138"/>
      <c r="J10" s="750">
        <v>6917.2044471842819</v>
      </c>
      <c r="K10" s="124">
        <f>J10+'01'!K10</f>
        <v>13321.523878811578</v>
      </c>
      <c r="L10" s="149">
        <f>D10+H10-K10+M10-N10</f>
        <v>53517.561579566696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119" t="s">
        <v>9</v>
      </c>
      <c r="C11" s="149"/>
      <c r="D11" s="149">
        <f>'01'!D11</f>
        <v>18224.01726010743</v>
      </c>
      <c r="E11" s="134"/>
      <c r="F11" s="110"/>
      <c r="G11" s="98">
        <f>E11+'01'!G11</f>
        <v>0</v>
      </c>
      <c r="H11" s="110">
        <f>F11+'01'!H11</f>
        <v>0</v>
      </c>
      <c r="I11" s="138"/>
      <c r="J11" s="178">
        <v>0</v>
      </c>
      <c r="K11" s="124">
        <f>J11+'01'!K11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03" t="s">
        <v>154</v>
      </c>
      <c r="B12" s="95" t="s">
        <v>9</v>
      </c>
      <c r="C12" s="96"/>
      <c r="D12" s="149">
        <f>'01'!D12</f>
        <v>52548.002591947239</v>
      </c>
      <c r="E12" s="134">
        <f>C12/31</f>
        <v>0</v>
      </c>
      <c r="F12" s="110"/>
      <c r="G12" s="110">
        <f>E12+'01'!G12</f>
        <v>0</v>
      </c>
      <c r="H12" s="110">
        <f>F12+'01'!H12</f>
        <v>0</v>
      </c>
      <c r="I12" s="757">
        <f>IFERROR((H12/G12),0)</f>
        <v>0</v>
      </c>
      <c r="J12" s="178"/>
      <c r="K12" s="124">
        <f>J12+'01'!K12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F13+'01'!H13</f>
        <v>0</v>
      </c>
      <c r="I13" s="138"/>
      <c r="J13" s="178"/>
      <c r="K13" s="124">
        <f>J13+'01'!K13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4798.0000000000009</v>
      </c>
      <c r="F14" s="89">
        <f>SUM(F15:F21)</f>
        <v>7877.0326208328152</v>
      </c>
      <c r="G14" s="89">
        <f>SUM(G15:G21)</f>
        <v>9842</v>
      </c>
      <c r="H14" s="89">
        <f>SUM(H15:H21)</f>
        <v>14740.161401125066</v>
      </c>
      <c r="I14" s="90">
        <f t="shared" ref="I14:I21" si="1">IFERROR((H14/G14),0)</f>
        <v>1.4976794758306304</v>
      </c>
      <c r="J14" s="749">
        <f>SUM(J15:J21)</f>
        <v>4988.87</v>
      </c>
      <c r="K14" s="91">
        <f>SUM(K15:K21)</f>
        <v>11777.669999999995</v>
      </c>
      <c r="L14" s="87">
        <f>SUM(L15:L21)</f>
        <v>28867.105785311905</v>
      </c>
      <c r="M14" s="402"/>
      <c r="N14" s="104"/>
      <c r="O14" s="1115"/>
      <c r="P14" s="1116"/>
      <c r="Q14" s="593"/>
      <c r="R14" s="590"/>
      <c r="S14" s="703" t="s">
        <v>247</v>
      </c>
      <c r="T14" s="1042">
        <f>J5/F14</f>
        <v>0.87814850847386061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E15+'01'!G15</f>
        <v>0</v>
      </c>
      <c r="H15" s="110">
        <f>F15+'01'!H15</f>
        <v>0</v>
      </c>
      <c r="I15" s="138">
        <f t="shared" si="1"/>
        <v>0</v>
      </c>
      <c r="J15" s="178">
        <v>0</v>
      </c>
      <c r="K15" s="124">
        <f>J15+'01'!K15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07">
        <f>'01'!C16</f>
        <v>44352</v>
      </c>
      <c r="D16" s="107">
        <f>'01'!D16</f>
        <v>6069.3572595923979</v>
      </c>
      <c r="E16" s="134">
        <v>1091.0628383921248</v>
      </c>
      <c r="F16" s="110">
        <v>2450.5299248227998</v>
      </c>
      <c r="G16" s="110">
        <f>E16+'01'!G16</f>
        <v>2238.0659557013946</v>
      </c>
      <c r="H16" s="110">
        <f>F16+'01'!H16</f>
        <v>2483.7284385262701</v>
      </c>
      <c r="I16" s="758">
        <f t="shared" si="1"/>
        <v>1.1097655242014022</v>
      </c>
      <c r="J16" s="751">
        <f>IFERROR(SUMIF(A101:A114,A16,E101:E114),0)+E111+E112+E113</f>
        <v>673.02</v>
      </c>
      <c r="K16" s="111">
        <f>J16+'01'!K16</f>
        <v>2018.27</v>
      </c>
      <c r="L16" s="397">
        <f t="shared" si="2"/>
        <v>6534.8156981186676</v>
      </c>
      <c r="M16" s="101"/>
      <c r="N16" s="423"/>
      <c r="O16" s="1121"/>
      <c r="P16" s="1122"/>
      <c r="Q16" s="591"/>
      <c r="R16" s="590"/>
      <c r="S16" s="703"/>
      <c r="T16" s="703"/>
    </row>
    <row r="17" spans="1:20">
      <c r="A17" s="734" t="s">
        <v>262</v>
      </c>
      <c r="B17" s="119" t="s">
        <v>9</v>
      </c>
      <c r="C17" s="107">
        <f>'01'!C17</f>
        <v>0</v>
      </c>
      <c r="D17" s="107">
        <f>'01'!D17</f>
        <v>483.23739591927495</v>
      </c>
      <c r="E17" s="108">
        <v>0</v>
      </c>
      <c r="F17" s="109">
        <v>0</v>
      </c>
      <c r="G17" s="110">
        <f>E17+'01'!G17</f>
        <v>0</v>
      </c>
      <c r="H17" s="110">
        <f>F17+'01'!H17</f>
        <v>0</v>
      </c>
      <c r="I17" s="758">
        <f t="shared" si="1"/>
        <v>0</v>
      </c>
      <c r="J17" s="751">
        <f>IFERROR(SUMIF(A102:A115,A17,E102:E115),0)+E116+E119+E121+E114</f>
        <v>0</v>
      </c>
      <c r="K17" s="111">
        <f>J17+'01'!K17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>
        <f>O51/F5</f>
        <v>1.6232981977744529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/>
      <c r="G18" s="110">
        <f>E18+'01'!E18</f>
        <v>0</v>
      </c>
      <c r="H18" s="110">
        <f>F18+'01'!H18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J18+'01'!K18</f>
        <v>0</v>
      </c>
      <c r="L18" s="127">
        <f t="shared" si="2"/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27">
        <f>'01'!C19</f>
        <v>145770</v>
      </c>
      <c r="D19" s="149">
        <f>'01'!D19</f>
        <v>12764.733711905967</v>
      </c>
      <c r="E19" s="250">
        <v>3585.9539581624285</v>
      </c>
      <c r="F19" s="131">
        <v>5426.5026960100158</v>
      </c>
      <c r="G19" s="110">
        <f>E19+'01'!G19</f>
        <v>7355.7646636587369</v>
      </c>
      <c r="H19" s="110">
        <f>F19+'01'!H19</f>
        <v>12256.432962598796</v>
      </c>
      <c r="I19" s="759">
        <f t="shared" si="1"/>
        <v>1.6662350582192877</v>
      </c>
      <c r="J19" s="751">
        <f>IFERROR(SUMIF(A102:A115,A19,E102:E115),0)+E117+E115+E122</f>
        <v>4088.8</v>
      </c>
      <c r="K19" s="124">
        <f>J19+'01'!K19</f>
        <v>9532.3499999999949</v>
      </c>
      <c r="L19" s="127">
        <f t="shared" si="2"/>
        <v>15488.816674504767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87.527091878589005</v>
      </c>
      <c r="F20" s="110">
        <v>0</v>
      </c>
      <c r="G20" s="110">
        <f>E20+'01'!G20</f>
        <v>179.54181706316652</v>
      </c>
      <c r="H20" s="110">
        <f>F20+'01'!H20</f>
        <v>0</v>
      </c>
      <c r="I20" s="138">
        <f t="shared" si="1"/>
        <v>0</v>
      </c>
      <c r="J20" s="751">
        <f>IFERROR(SUMIF(A102:A115,A20,E102:E115),0)</f>
        <v>227.04999999999998</v>
      </c>
      <c r="K20" s="124">
        <f>J20+'01'!K20</f>
        <v>227.04999999999998</v>
      </c>
      <c r="L20" s="127">
        <f t="shared" si="2"/>
        <v>3176.9979510608046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33.456111566858077</v>
      </c>
      <c r="F21" s="110">
        <v>0</v>
      </c>
      <c r="G21" s="110">
        <f>E21+'01'!G21</f>
        <v>68.627563576702215</v>
      </c>
      <c r="H21" s="110">
        <f>F21+'01'!H21</f>
        <v>0</v>
      </c>
      <c r="I21" s="138">
        <f t="shared" si="1"/>
        <v>0</v>
      </c>
      <c r="J21" s="751">
        <f>IFERROR(SUMIF(A102:A115,A21,E102:E115),0)</f>
        <v>0</v>
      </c>
      <c r="K21" s="124">
        <f>J21+'01'!K21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E22+'01'!G22</f>
        <v>0</v>
      </c>
      <c r="H22" s="110">
        <f>F22+'01'!H22</f>
        <v>0</v>
      </c>
      <c r="I22" s="99"/>
      <c r="J22" s="751">
        <f>IFERROR(SUMIF(A103:A123,A22,E103:E123),0)+E109</f>
        <v>210.20000000000002</v>
      </c>
      <c r="K22" s="124">
        <f>J22+'01'!K22</f>
        <v>659.80000000000007</v>
      </c>
      <c r="L22" s="127">
        <f t="shared" si="2"/>
        <v>2173.9506348821778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E23+'01'!G23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860">
        <f>J23+'01'!K23</f>
        <v>0</v>
      </c>
      <c r="L23" s="583">
        <f>D23+H23-K23+M23</f>
        <v>52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49">
        <f>'01'!D24</f>
        <v>0</v>
      </c>
      <c r="E24" s="97"/>
      <c r="F24" s="98">
        <v>0</v>
      </c>
      <c r="G24" s="110">
        <f>E24+'01'!G24</f>
        <v>0</v>
      </c>
      <c r="H24" s="110">
        <f>F24+'01'!H24</f>
        <v>0</v>
      </c>
      <c r="I24" s="99"/>
      <c r="J24" s="752">
        <v>0</v>
      </c>
      <c r="K24" s="111">
        <f>J24+'01'!K24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85</v>
      </c>
      <c r="B25" s="119" t="s">
        <v>9</v>
      </c>
      <c r="C25" s="96"/>
      <c r="D25" s="149">
        <f>'01'!D25</f>
        <v>16</v>
      </c>
      <c r="E25" s="97"/>
      <c r="F25" s="98">
        <v>0</v>
      </c>
      <c r="G25" s="110">
        <f>E25+'01'!G25</f>
        <v>0</v>
      </c>
      <c r="H25" s="110">
        <f>F25+'01'!H25</f>
        <v>0</v>
      </c>
      <c r="I25" s="99"/>
      <c r="J25" s="752">
        <v>0</v>
      </c>
      <c r="K25" s="111">
        <f>J25+'01'!K25</f>
        <v>0</v>
      </c>
      <c r="L25" s="127">
        <f t="shared" si="2"/>
        <v>16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49">
        <f>'01'!D26</f>
        <v>36</v>
      </c>
      <c r="E26" s="97"/>
      <c r="F26" s="98">
        <v>0</v>
      </c>
      <c r="G26" s="110">
        <f>E26+'01'!G26</f>
        <v>0</v>
      </c>
      <c r="H26" s="110">
        <f>F26+'01'!H26</f>
        <v>0</v>
      </c>
      <c r="I26" s="99"/>
      <c r="J26" s="752">
        <v>0</v>
      </c>
      <c r="K26" s="111">
        <f>J26+'01'!K26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49">
        <f>'01'!D27</f>
        <v>0</v>
      </c>
      <c r="E27" s="97"/>
      <c r="F27" s="98">
        <v>0</v>
      </c>
      <c r="G27" s="110">
        <f>E27+'01'!G27</f>
        <v>0</v>
      </c>
      <c r="H27" s="110">
        <f>F27+'01'!H27</f>
        <v>0</v>
      </c>
      <c r="I27" s="99"/>
      <c r="J27" s="752"/>
      <c r="K27" s="111">
        <f>J27+'01'!K27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E28+'01'!G28</f>
        <v>0</v>
      </c>
      <c r="H28" s="110">
        <f>F28+'01'!H28</f>
        <v>0</v>
      </c>
      <c r="I28" s="99"/>
      <c r="J28" s="752"/>
      <c r="K28" s="111">
        <f>J28+'01'!K28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E29+'01'!G29</f>
        <v>0</v>
      </c>
      <c r="H29" s="110">
        <f>F29+'01'!H29</f>
        <v>0</v>
      </c>
      <c r="I29" s="99"/>
      <c r="J29" s="752"/>
      <c r="K29" s="111">
        <f>J29+'01'!K29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96">
        <f>'01'!D30</f>
        <v>1513.6</v>
      </c>
      <c r="E30" s="97"/>
      <c r="F30" s="98">
        <f>SUM(F31:F37)</f>
        <v>357.28000000000003</v>
      </c>
      <c r="G30" s="98">
        <f>E30+'01'!G30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161.92000000000002</v>
      </c>
      <c r="K30" s="860">
        <f>J30+'01'!K30</f>
        <v>681.11999999999989</v>
      </c>
      <c r="L30" s="583">
        <f t="shared" si="2"/>
        <v>1386.88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E31+'01'!G31</f>
        <v>0</v>
      </c>
      <c r="H31" s="110">
        <f>F31+'01'!H31</f>
        <v>0</v>
      </c>
      <c r="I31" s="99"/>
      <c r="J31" s="865">
        <v>0</v>
      </c>
      <c r="K31" s="111">
        <f>J31+'01'!K31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357.28000000000003</v>
      </c>
      <c r="G32" s="110">
        <f>E32+'01'!G32</f>
        <v>0</v>
      </c>
      <c r="H32" s="110">
        <f>F32+'01'!H32</f>
        <v>554.40000000000009</v>
      </c>
      <c r="I32" s="99"/>
      <c r="J32" s="865">
        <v>161.92000000000002</v>
      </c>
      <c r="K32" s="111">
        <f>J32+'01'!K32</f>
        <v>681.11999999999989</v>
      </c>
      <c r="L32" s="127">
        <f t="shared" si="2"/>
        <v>1381.6000000000004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E33+'01'!G33</f>
        <v>0</v>
      </c>
      <c r="H33" s="110">
        <f>F33+'01'!H33</f>
        <v>0</v>
      </c>
      <c r="I33" s="99"/>
      <c r="J33" s="865">
        <v>0</v>
      </c>
      <c r="K33" s="111">
        <f>J33+'01'!K33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E34+'01'!G34</f>
        <v>0</v>
      </c>
      <c r="H34" s="110">
        <f>F34+'01'!H34</f>
        <v>0</v>
      </c>
      <c r="I34" s="99"/>
      <c r="J34" s="865"/>
      <c r="K34" s="111">
        <f>J34+'01'!K34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E35+'01'!G35</f>
        <v>0</v>
      </c>
      <c r="H35" s="110">
        <f>F35+'01'!H35</f>
        <v>0</v>
      </c>
      <c r="I35" s="99"/>
      <c r="J35" s="865"/>
      <c r="K35" s="111">
        <f>J35+'01'!K35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0" s="120" customFormat="1" hidden="1" outlineLevel="1">
      <c r="A36" s="734" t="s">
        <v>234</v>
      </c>
      <c r="B36" s="119" t="s">
        <v>9</v>
      </c>
      <c r="C36" s="149">
        <f>'01'!C36</f>
        <v>3500</v>
      </c>
      <c r="D36" s="149">
        <f>'01'!D36</f>
        <v>1673.24</v>
      </c>
      <c r="E36" s="97"/>
      <c r="F36" s="864">
        <f>J36</f>
        <v>0</v>
      </c>
      <c r="G36" s="110">
        <f>E36+'01'!G36</f>
        <v>0</v>
      </c>
      <c r="H36" s="110">
        <f>F36+'01'!H36</f>
        <v>0</v>
      </c>
      <c r="I36" s="99"/>
      <c r="J36" s="110">
        <v>0</v>
      </c>
      <c r="K36" s="111">
        <f>J36+'01'!K36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0" s="120" customFormat="1" hidden="1" outlineLevel="1">
      <c r="A37" s="734" t="s">
        <v>235</v>
      </c>
      <c r="B37" s="119" t="s">
        <v>9</v>
      </c>
      <c r="C37" s="149">
        <f>'01'!C37</f>
        <v>0</v>
      </c>
      <c r="D37" s="149">
        <f>'01'!D37</f>
        <v>294.63999999999987</v>
      </c>
      <c r="E37" s="97"/>
      <c r="F37" s="864">
        <f>J37</f>
        <v>0</v>
      </c>
      <c r="G37" s="110">
        <f>E37+'01'!G37</f>
        <v>0</v>
      </c>
      <c r="H37" s="110">
        <f>F37+'01'!H37</f>
        <v>0</v>
      </c>
      <c r="I37" s="99"/>
      <c r="J37" s="110">
        <v>0</v>
      </c>
      <c r="K37" s="111">
        <f>J37+'01'!K37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3560.0223132815481</v>
      </c>
      <c r="G38" s="676">
        <f>E38+'01'!G38</f>
        <v>9932.7811005032436</v>
      </c>
      <c r="H38" s="671">
        <f>SUM(H39:H42)</f>
        <v>6008.2119157787529</v>
      </c>
      <c r="I38" s="760">
        <f>IFERROR((H38/G38),0)</f>
        <v>0.60488717661102465</v>
      </c>
      <c r="J38" s="753">
        <f>SUM(J39:J40)</f>
        <v>2347.0223132815481</v>
      </c>
      <c r="K38" s="672">
        <f>SUM(K39:K40)</f>
        <v>4795.2119157787529</v>
      </c>
      <c r="L38" s="311">
        <f>D38+H38-K38</f>
        <v>2969.9829593932955</v>
      </c>
      <c r="M38" s="405"/>
      <c r="N38" s="116"/>
      <c r="O38" s="1189"/>
      <c r="P38" s="1190"/>
      <c r="Q38" s="595"/>
      <c r="R38" s="590"/>
      <c r="S38" s="618"/>
      <c r="T38" s="118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2347.0223132815481</v>
      </c>
      <c r="G39" s="110"/>
      <c r="H39" s="110">
        <f>F39+'01'!H39</f>
        <v>4795.2119157787529</v>
      </c>
      <c r="I39" s="138"/>
      <c r="J39" s="178">
        <f>F39</f>
        <v>2347.0223132815481</v>
      </c>
      <c r="K39" s="124">
        <f>J39+'01'!K39</f>
        <v>4795.2119157787529</v>
      </c>
      <c r="L39" s="149"/>
      <c r="M39" s="405"/>
      <c r="N39" s="116"/>
      <c r="O39" s="1189"/>
      <c r="P39" s="1190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10">
        <v>1213</v>
      </c>
      <c r="G40" s="110"/>
      <c r="H40" s="110">
        <f>F40+'01'!H40</f>
        <v>1213</v>
      </c>
      <c r="I40" s="138"/>
      <c r="J40" s="178">
        <v>0</v>
      </c>
      <c r="K40" s="124">
        <f>J40+'01'!K40</f>
        <v>0</v>
      </c>
      <c r="L40" s="149"/>
      <c r="M40" s="405"/>
      <c r="N40" s="116"/>
      <c r="O40" s="1189"/>
      <c r="P40" s="1190"/>
      <c r="Q40" s="595"/>
      <c r="R40" s="590"/>
      <c r="S40" s="618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F41+'01'!H41</f>
        <v>0</v>
      </c>
      <c r="I41" s="138"/>
      <c r="J41" s="178"/>
      <c r="K41" s="124">
        <f>J41+'01'!K41</f>
        <v>0</v>
      </c>
      <c r="L41" s="149"/>
      <c r="M41" s="405"/>
      <c r="N41" s="116"/>
      <c r="O41" s="1189"/>
      <c r="P41" s="1190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F42+'01'!H42</f>
        <v>0</v>
      </c>
      <c r="I42" s="138"/>
      <c r="J42" s="178"/>
      <c r="K42" s="124">
        <f>J42+'01'!K42</f>
        <v>0</v>
      </c>
      <c r="L42" s="149"/>
      <c r="M42" s="405"/>
      <c r="N42" s="116"/>
      <c r="O42" s="1189"/>
      <c r="P42" s="1190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2731</v>
      </c>
      <c r="G43" s="110">
        <f>E43+'01'!G43</f>
        <v>6440.12525311628</v>
      </c>
      <c r="H43" s="110">
        <f>F43+'01'!H43</f>
        <v>5993.8</v>
      </c>
      <c r="I43" s="138">
        <f>IFERROR((H43/G43),0)</f>
        <v>0.93069618437928525</v>
      </c>
      <c r="J43" s="178">
        <f>F43</f>
        <v>2731</v>
      </c>
      <c r="K43" s="124">
        <f>J43+'01'!K43</f>
        <v>5993.8</v>
      </c>
      <c r="L43" s="149">
        <f>D43+H43-K43</f>
        <v>0</v>
      </c>
      <c r="M43" s="405"/>
      <c r="N43" s="116"/>
      <c r="O43" s="1189"/>
      <c r="P43" s="1190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2742</v>
      </c>
      <c r="G44" s="110">
        <f>E44+'01'!G44</f>
        <v>2723.128872583427</v>
      </c>
      <c r="H44" s="110">
        <f>F44+'01'!H44</f>
        <v>5673</v>
      </c>
      <c r="I44" s="138">
        <f>IFERROR((H44/G44),0)</f>
        <v>2.0832653412462392</v>
      </c>
      <c r="J44" s="178">
        <v>1277.2037994071845</v>
      </c>
      <c r="K44" s="124">
        <f>J44+'01'!K44</f>
        <v>3123.6642252373431</v>
      </c>
      <c r="L44" s="149">
        <f>D44+H44-K44</f>
        <v>6308.7923036748753</v>
      </c>
      <c r="M44" s="405"/>
      <c r="N44" s="116"/>
      <c r="O44" s="1189"/>
      <c r="P44" s="1190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F45+'01'!H45</f>
        <v>0</v>
      </c>
      <c r="I45" s="138"/>
      <c r="J45" s="178"/>
      <c r="K45" s="124">
        <f>J45+'01'!K45</f>
        <v>0</v>
      </c>
      <c r="L45" s="149"/>
      <c r="M45" s="405"/>
      <c r="N45" s="116"/>
      <c r="O45" s="1189"/>
      <c r="P45" s="1190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F46+'01'!H46</f>
        <v>0</v>
      </c>
      <c r="I46" s="138"/>
      <c r="J46" s="178"/>
      <c r="K46" s="124">
        <f>J46+'01'!K46</f>
        <v>0</v>
      </c>
      <c r="L46" s="149"/>
      <c r="M46" s="405"/>
      <c r="N46" s="116"/>
      <c r="O46" s="1189"/>
      <c r="P46" s="1190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F47+'01'!H47</f>
        <v>0</v>
      </c>
      <c r="I47" s="138"/>
      <c r="J47" s="178"/>
      <c r="K47" s="124">
        <f>J47+'01'!K47</f>
        <v>0</v>
      </c>
      <c r="L47" s="149"/>
      <c r="M47" s="405"/>
      <c r="N47" s="116"/>
      <c r="O47" s="1189"/>
      <c r="P47" s="1190"/>
      <c r="Q47" s="595"/>
      <c r="R47" s="594"/>
      <c r="S47" s="618"/>
      <c r="T47" s="93"/>
    </row>
    <row r="48" spans="1:20" s="249" customFormat="1" collapsed="1">
      <c r="A48" s="307" t="s">
        <v>106</v>
      </c>
      <c r="B48" s="308" t="s">
        <v>9</v>
      </c>
      <c r="C48" s="203">
        <f>'01'!C48</f>
        <v>238663.46526254449</v>
      </c>
      <c r="D48" s="203">
        <f>'01'!D48</f>
        <v>14554.971764167974</v>
      </c>
      <c r="E48" s="172">
        <f>C48/30</f>
        <v>7955.4488420848165</v>
      </c>
      <c r="F48" s="171">
        <v>5078.0223132815481</v>
      </c>
      <c r="G48" s="171">
        <f>E48+'01'!G48</f>
        <v>15910.897684169633</v>
      </c>
      <c r="H48" s="171">
        <f>F48+'01'!H48</f>
        <v>10789.011915778752</v>
      </c>
      <c r="I48" s="960">
        <f>IFERROR((H48/G48),0)</f>
        <v>0.67808945352675842</v>
      </c>
      <c r="J48" s="750">
        <v>7167.4603349142762</v>
      </c>
      <c r="K48" s="180">
        <f>J48+'01'!K48</f>
        <v>17290.613008243788</v>
      </c>
      <c r="L48" s="203">
        <f>D48+H48-K48</f>
        <v>8053.3706717029381</v>
      </c>
      <c r="M48" s="422"/>
      <c r="N48" s="248"/>
      <c r="O48" s="1191"/>
      <c r="P48" s="1192"/>
      <c r="Q48" s="595"/>
      <c r="R48" s="594"/>
      <c r="S48" s="622"/>
      <c r="T48" s="181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11500</v>
      </c>
      <c r="F49" s="110">
        <f>SUM(F50:F51)</f>
        <v>8431.2938095858863</v>
      </c>
      <c r="G49" s="110">
        <f>SUM(G50:G51)</f>
        <v>23000</v>
      </c>
      <c r="H49" s="110">
        <f>SUM(H50:H51)</f>
        <v>20234.311885043768</v>
      </c>
      <c r="I49" s="138">
        <f>IFERROR((H49/G49),0)</f>
        <v>0.87975269065407691</v>
      </c>
      <c r="J49" s="178">
        <f>SUM(J50:J51)</f>
        <v>6519.2032662130105</v>
      </c>
      <c r="K49" s="124">
        <f>SUM(K50:K51)</f>
        <v>16294.181664501739</v>
      </c>
      <c r="L49" s="149">
        <f>D49+H49-K49+M49</f>
        <v>10830.522217526301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E50+'01'!G50</f>
        <v>0</v>
      </c>
      <c r="H50" s="110">
        <f>F50+'01'!H50</f>
        <v>0</v>
      </c>
      <c r="I50" s="138">
        <f>IFERROR((H50/G50),0)</f>
        <v>0</v>
      </c>
      <c r="J50" s="178"/>
      <c r="K50" s="124">
        <f>J50+'01'!K50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11500</v>
      </c>
      <c r="F51" s="110">
        <v>8431.2938095858863</v>
      </c>
      <c r="G51" s="110">
        <f>E51+'01'!G51</f>
        <v>23000</v>
      </c>
      <c r="H51" s="110">
        <f>F51+'01'!H51</f>
        <v>20234.311885043768</v>
      </c>
      <c r="I51" s="138">
        <f>IFERROR((H51/G51),0)</f>
        <v>0.87975269065407691</v>
      </c>
      <c r="J51" s="178">
        <f>O51-P51</f>
        <v>6519.2032662130105</v>
      </c>
      <c r="K51" s="124">
        <f>J51+'01'!K51</f>
        <v>16294.181664501739</v>
      </c>
      <c r="L51" s="149">
        <f>D51+H51-K51+M51</f>
        <v>8507.2922175263011</v>
      </c>
      <c r="M51" s="405"/>
      <c r="N51" s="121"/>
      <c r="O51" s="178">
        <v>6898.627794934403</v>
      </c>
      <c r="P51" s="668">
        <f>O51*0.055</f>
        <v>379.42452872139216</v>
      </c>
      <c r="Q51" s="596"/>
      <c r="R51" s="590"/>
      <c r="S51" s="618"/>
      <c r="T51" s="93"/>
      <c r="Y51" s="1069" t="s">
        <v>110</v>
      </c>
      <c r="Z51" s="704">
        <f>L54</f>
        <v>12522.643619952443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3114.6231617992421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E53+'01'!G53</f>
        <v>0</v>
      </c>
      <c r="H53" s="110">
        <f>F53+'01'!H53</f>
        <v>0</v>
      </c>
      <c r="I53" s="759">
        <f t="shared" ref="I53:I58" si="4">IFERROR((H53/G53),0)</f>
        <v>0</v>
      </c>
      <c r="J53" s="754"/>
      <c r="K53" s="124">
        <f>J53+'01'!K53</f>
        <v>0</v>
      </c>
      <c r="L53" s="127">
        <f t="shared" ref="L53:L63" si="5">D53+H53-K53</f>
        <v>0</v>
      </c>
      <c r="M53" s="185"/>
      <c r="N53" s="185"/>
      <c r="O53" s="1193"/>
      <c r="P53" s="119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E54+'01'!G54</f>
        <v>645.16129032258061</v>
      </c>
      <c r="H54" s="110">
        <f>F54+'01'!H54</f>
        <v>0</v>
      </c>
      <c r="I54" s="759">
        <f t="shared" si="4"/>
        <v>0</v>
      </c>
      <c r="J54" s="754">
        <v>634.76943021088209</v>
      </c>
      <c r="K54" s="124">
        <f>J54+'01'!K54</f>
        <v>1162.2722612711816</v>
      </c>
      <c r="L54" s="127">
        <f t="shared" si="5"/>
        <v>12522.643619952443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6462.4925039952141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E55+'01'!G55</f>
        <v>1096.7741935483871</v>
      </c>
      <c r="H55" s="110">
        <f>F55+'01'!H55</f>
        <v>0</v>
      </c>
      <c r="I55" s="759">
        <f t="shared" si="4"/>
        <v>0</v>
      </c>
      <c r="J55" s="754">
        <v>430.35642547654822</v>
      </c>
      <c r="K55" s="124">
        <f>J55+'01'!K55</f>
        <v>884.94343498599267</v>
      </c>
      <c r="L55" s="127">
        <f t="shared" si="5"/>
        <v>3114.6231617992421</v>
      </c>
      <c r="M55" s="185"/>
      <c r="N55" s="128"/>
      <c r="O55" s="1113"/>
      <c r="P55" s="1114"/>
      <c r="Q55" s="597"/>
      <c r="R55" s="598">
        <f>D55+H55-K55</f>
        <v>3114.6231617992421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E56+'01'!G56</f>
        <v>0</v>
      </c>
      <c r="H56" s="110">
        <f>F56+'01'!H56</f>
        <v>0</v>
      </c>
      <c r="I56" s="759">
        <f t="shared" si="4"/>
        <v>0</v>
      </c>
      <c r="J56" s="754"/>
      <c r="K56" s="124">
        <f>J56+'01'!K56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E57+'01'!G57</f>
        <v>0</v>
      </c>
      <c r="H57" s="110">
        <f>F57+'01'!H57</f>
        <v>0</v>
      </c>
      <c r="I57" s="759">
        <f t="shared" si="4"/>
        <v>0</v>
      </c>
      <c r="J57" s="754"/>
      <c r="K57" s="124">
        <f>J57+'01'!K57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E58+'01'!G58</f>
        <v>0</v>
      </c>
      <c r="H58" s="110">
        <f>F58+'01'!H58</f>
        <v>0</v>
      </c>
      <c r="I58" s="759">
        <f t="shared" si="4"/>
        <v>0</v>
      </c>
      <c r="J58" s="754">
        <v>0</v>
      </c>
      <c r="K58" s="124">
        <f>J58+'01'!K58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F59+'01'!H59</f>
        <v>0</v>
      </c>
      <c r="I59" s="759"/>
      <c r="J59" s="754">
        <v>0</v>
      </c>
      <c r="K59" s="124">
        <f>J59+'01'!K59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F60+'01'!H60</f>
        <v>0</v>
      </c>
      <c r="I60" s="759"/>
      <c r="J60" s="754"/>
      <c r="K60" s="124">
        <f>J60+'01'!K60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F61+'01'!H61</f>
        <v>0</v>
      </c>
      <c r="I61" s="759"/>
      <c r="J61" s="754">
        <f>D139+D141</f>
        <v>0</v>
      </c>
      <c r="K61" s="124">
        <f>J61+'01'!K61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F62+'01'!H62</f>
        <v>0</v>
      </c>
      <c r="I62" s="522"/>
      <c r="J62" s="754">
        <v>0</v>
      </c>
      <c r="K62" s="124">
        <f>J62+'01'!K62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49">
        <f>'01'!C63</f>
        <v>30000</v>
      </c>
      <c r="D63" s="149">
        <f>SUM(D64:D71)</f>
        <v>4405.6171920305842</v>
      </c>
      <c r="E63" s="1058"/>
      <c r="F63" s="1067">
        <v>2632.45</v>
      </c>
      <c r="G63" s="110"/>
      <c r="H63" s="110">
        <f>F63+'01'!H63</f>
        <v>3329.1499999999996</v>
      </c>
      <c r="I63" s="1059"/>
      <c r="J63" s="1068">
        <v>570.5119333528686</v>
      </c>
      <c r="K63" s="668">
        <f>J63+'01'!K63</f>
        <v>1272.2746880353698</v>
      </c>
      <c r="L63" s="149">
        <f t="shared" si="5"/>
        <v>6462.4925039952141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F64+'01'!H64</f>
        <v>0</v>
      </c>
      <c r="I64" s="522"/>
      <c r="J64" s="754"/>
      <c r="K64" s="124">
        <f>J64+'01'!K64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F65+'01'!H65</f>
        <v>0</v>
      </c>
      <c r="I65" s="759"/>
      <c r="J65" s="754"/>
      <c r="K65" s="124">
        <f>J65+'01'!K65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F66+'01'!H66</f>
        <v>0</v>
      </c>
      <c r="I66" s="759"/>
      <c r="J66" s="754"/>
      <c r="K66" s="124">
        <f>J66+'01'!K66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F67+'01'!H67</f>
        <v>0</v>
      </c>
      <c r="I67" s="759"/>
      <c r="J67" s="754"/>
      <c r="K67" s="124">
        <f>J67+'01'!K67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F68+'01'!H68</f>
        <v>0</v>
      </c>
      <c r="I68" s="759"/>
      <c r="J68" s="754"/>
      <c r="K68" s="124">
        <f>J68+'01'!K68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F69+'01'!H69</f>
        <v>0</v>
      </c>
      <c r="I69" s="759"/>
      <c r="J69" s="754">
        <v>570.5119333528686</v>
      </c>
      <c r="K69" s="124">
        <f>J69+'01'!K69</f>
        <v>1272.2746880353698</v>
      </c>
      <c r="L69" s="127">
        <f t="shared" si="6"/>
        <v>-15485.218864046084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>
        <v>2632.45</v>
      </c>
      <c r="G70" s="110"/>
      <c r="H70" s="110">
        <f>F70+'01'!H70</f>
        <v>3329.1499999999996</v>
      </c>
      <c r="I70" s="759"/>
      <c r="J70" s="754"/>
      <c r="K70" s="124">
        <f>J70+'01'!K70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F71+'01'!H71</f>
        <v>0</v>
      </c>
      <c r="I71" s="759"/>
      <c r="J71" s="754"/>
      <c r="K71" s="124">
        <f>J71+'01'!K71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541.98633668522507</v>
      </c>
      <c r="G72" s="387"/>
      <c r="H72" s="387">
        <f>F72+'01'!H72</f>
        <v>1208.6609536336011</v>
      </c>
      <c r="I72" s="388"/>
      <c r="J72" s="756">
        <f>K131</f>
        <v>483.53366176657391</v>
      </c>
      <c r="K72" s="395">
        <f>J72+'01'!K72</f>
        <v>1169.2155864604229</v>
      </c>
      <c r="L72" s="552">
        <f t="shared" si="6"/>
        <v>185.28751902131557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F73+'01'!H73</f>
        <v>0</v>
      </c>
      <c r="I73" s="934"/>
      <c r="J73" s="931"/>
      <c r="K73" s="935"/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27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24*2-K80</f>
        <v>48</v>
      </c>
      <c r="M80" s="139">
        <f t="shared" ref="M80:M94" si="11">K80/(24*2)</f>
        <v>0</v>
      </c>
      <c r="N80" s="965"/>
      <c r="O80" s="302">
        <f>N80+'01'!O80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27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24*2-K81</f>
        <v>48</v>
      </c>
      <c r="M81" s="139">
        <f t="shared" si="11"/>
        <v>0</v>
      </c>
      <c r="N81" s="965"/>
      <c r="O81" s="302">
        <f>N81+'01'!O81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89" si="12">IFERROR(N82/F82,0)</f>
        <v>43.375293156677195</v>
      </c>
      <c r="E82" s="138">
        <f t="shared" si="7"/>
        <v>0.96389540348171543</v>
      </c>
      <c r="F82" s="134">
        <v>12.495277777777778</v>
      </c>
      <c r="G82" s="110">
        <f t="shared" si="8"/>
        <v>11.504722222222222</v>
      </c>
      <c r="H82" s="138">
        <f t="shared" si="9"/>
        <v>0.52063657407407404</v>
      </c>
      <c r="I82" s="134">
        <f t="shared" ref="I82:I89" si="13">IFERROR(O82/K82,0)</f>
        <v>43.164749742876907</v>
      </c>
      <c r="J82" s="138">
        <f t="shared" si="10"/>
        <v>0.95921666095282021</v>
      </c>
      <c r="K82" s="134">
        <f>F82+'01'!K82</f>
        <v>28.001111111111111</v>
      </c>
      <c r="L82" s="110">
        <f>24*2-K82</f>
        <v>19.998888888888889</v>
      </c>
      <c r="M82" s="139">
        <f t="shared" si="11"/>
        <v>0.58335648148148145</v>
      </c>
      <c r="N82" s="716">
        <v>541.98633668522507</v>
      </c>
      <c r="O82" s="303">
        <f>N82+'01'!O82</f>
        <v>1208.6609536336011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478.96763053303857</v>
      </c>
      <c r="E83" s="138">
        <f t="shared" si="7"/>
        <v>0.95793526106607718</v>
      </c>
      <c r="F83" s="134">
        <v>17.603055555555557</v>
      </c>
      <c r="G83" s="110">
        <f t="shared" si="8"/>
        <v>6.3969444444444434</v>
      </c>
      <c r="H83" s="138">
        <f t="shared" si="9"/>
        <v>0.73346064814814815</v>
      </c>
      <c r="I83" s="134">
        <f t="shared" si="13"/>
        <v>494.88106027526641</v>
      </c>
      <c r="J83" s="138">
        <f t="shared" si="10"/>
        <v>0.98976212055053281</v>
      </c>
      <c r="K83" s="134">
        <f>F83+'01'!K83</f>
        <v>40.887222222222221</v>
      </c>
      <c r="L83" s="134">
        <f>G83+'01'!L83</f>
        <v>7.1127777777777759</v>
      </c>
      <c r="M83" s="139">
        <f t="shared" si="11"/>
        <v>0.85181712962962963</v>
      </c>
      <c r="N83" s="716">
        <v>8431.2938095858863</v>
      </c>
      <c r="O83" s="303">
        <f>N83+'01'!O83</f>
        <v>20234.311885043768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250.31718617658674</v>
      </c>
      <c r="E84" s="138">
        <f t="shared" si="7"/>
        <v>0</v>
      </c>
      <c r="F84" s="134">
        <v>16.977499999999999</v>
      </c>
      <c r="G84" s="110">
        <f t="shared" si="8"/>
        <v>7.0225000000000009</v>
      </c>
      <c r="H84" s="138">
        <f t="shared" si="9"/>
        <v>0.70739583333333333</v>
      </c>
      <c r="I84" s="134">
        <f t="shared" si="13"/>
        <v>257.18532240914828</v>
      </c>
      <c r="J84" s="138">
        <f t="shared" si="10"/>
        <v>0</v>
      </c>
      <c r="K84" s="134">
        <f>F84+'01'!K84</f>
        <v>40.977499999999999</v>
      </c>
      <c r="L84" s="134">
        <f>G84+'01'!L84</f>
        <v>7.0225000000000009</v>
      </c>
      <c r="M84" s="139">
        <f t="shared" si="11"/>
        <v>0.85369791666666661</v>
      </c>
      <c r="N84" s="716">
        <v>4249.7600283130014</v>
      </c>
      <c r="O84" s="303">
        <f>N84+'01'!O84</f>
        <v>10538.811549020873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F85+'01'!K85</f>
        <v>0</v>
      </c>
      <c r="L85" s="134">
        <f>G85+'01'!L85</f>
        <v>48</v>
      </c>
      <c r="M85" s="139">
        <f t="shared" si="11"/>
        <v>0</v>
      </c>
      <c r="N85" s="965">
        <v>0</v>
      </c>
      <c r="O85" s="302">
        <f>N85+'01'!O85</f>
        <v>0</v>
      </c>
      <c r="P85" s="719"/>
      <c r="Q85" s="140"/>
      <c r="R85" s="140"/>
      <c r="T85" s="93"/>
    </row>
    <row r="86" spans="1:20" hidden="1" outlineLevel="1">
      <c r="A86" s="132" t="s">
        <v>56</v>
      </c>
      <c r="B86" s="106" t="s">
        <v>17</v>
      </c>
      <c r="C86" s="141">
        <v>37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F86+'01'!K86</f>
        <v>0</v>
      </c>
      <c r="L86" s="134">
        <f>G86+'01'!L86</f>
        <v>48</v>
      </c>
      <c r="M86" s="139">
        <f t="shared" si="11"/>
        <v>0</v>
      </c>
      <c r="N86" s="965">
        <v>0</v>
      </c>
      <c r="O86" s="303">
        <f>N86+'01'!O86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41">
        <v>37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F87+'01'!K87</f>
        <v>0</v>
      </c>
      <c r="L87" s="134">
        <f>G87+'01'!L87</f>
        <v>48</v>
      </c>
      <c r="M87" s="139">
        <f t="shared" si="11"/>
        <v>0</v>
      </c>
      <c r="N87" s="965">
        <v>0</v>
      </c>
      <c r="O87" s="302">
        <f>N87+'01'!O87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F88+'01'!K88</f>
        <v>0</v>
      </c>
      <c r="L88" s="134">
        <f>G88+'01'!L88</f>
        <v>48</v>
      </c>
      <c r="M88" s="139">
        <f t="shared" si="11"/>
        <v>0</v>
      </c>
      <c r="N88" s="716">
        <v>0</v>
      </c>
      <c r="O88" s="303">
        <f>N88+'01'!O88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39.244607284012709</v>
      </c>
      <c r="E89" s="138">
        <f t="shared" si="7"/>
        <v>0.83499164434069595</v>
      </c>
      <c r="F89" s="134">
        <v>0.94305555555555554</v>
      </c>
      <c r="G89" s="110">
        <f t="shared" si="8"/>
        <v>23.056944444444444</v>
      </c>
      <c r="H89" s="138">
        <f t="shared" si="9"/>
        <v>3.9293981481481478E-2</v>
      </c>
      <c r="I89" s="134">
        <f t="shared" si="13"/>
        <v>41.420860547642825</v>
      </c>
      <c r="J89" s="138">
        <f t="shared" si="10"/>
        <v>0.88129490526899623</v>
      </c>
      <c r="K89" s="134">
        <f>F89+'01'!K89</f>
        <v>1.6950000000000001</v>
      </c>
      <c r="L89" s="134">
        <f>G89+'01'!L89</f>
        <v>46.305</v>
      </c>
      <c r="M89" s="139">
        <f t="shared" si="11"/>
        <v>3.5312500000000004E-2</v>
      </c>
      <c r="N89" s="1001">
        <v>37.009844924784204</v>
      </c>
      <c r="O89" s="303">
        <f>N89+'01'!O89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ref="D90:D95" si="14">IFERROR(N90/F90,0)</f>
        <v>46.914431110919097</v>
      </c>
      <c r="E90" s="138">
        <f t="shared" si="7"/>
        <v>0.99817938533870421</v>
      </c>
      <c r="F90" s="134">
        <v>19.490555555555559</v>
      </c>
      <c r="G90" s="110">
        <f t="shared" si="8"/>
        <v>4.5094444444444406</v>
      </c>
      <c r="H90" s="138">
        <f t="shared" si="9"/>
        <v>0.81210648148148168</v>
      </c>
      <c r="I90" s="134">
        <f t="shared" ref="I90:I95" si="15">IFERROR(O90/K90,0)</f>
        <v>46.914431110919097</v>
      </c>
      <c r="J90" s="138">
        <f t="shared" si="10"/>
        <v>0.99817938533870421</v>
      </c>
      <c r="K90" s="134">
        <f>F90+'01'!K90</f>
        <v>19.490555555555559</v>
      </c>
      <c r="L90" s="134">
        <f>G90+'01'!L90</f>
        <v>28.509444444444441</v>
      </c>
      <c r="M90" s="139">
        <f t="shared" si="11"/>
        <v>0.40605324074074084</v>
      </c>
      <c r="N90" s="1001">
        <v>914.3883259246528</v>
      </c>
      <c r="O90" s="303">
        <f>N90+'01'!O90</f>
        <v>914.3883259246528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203">
        <f>'01'!C91</f>
        <v>0</v>
      </c>
      <c r="D91" s="134">
        <f t="shared" si="14"/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 t="shared" si="15"/>
        <v>0</v>
      </c>
      <c r="J91" s="138">
        <f t="shared" si="10"/>
        <v>0</v>
      </c>
      <c r="K91" s="134">
        <f>F91+'01'!K91</f>
        <v>0</v>
      </c>
      <c r="L91" s="134">
        <f>G91+'01'!L91</f>
        <v>48</v>
      </c>
      <c r="M91" s="139">
        <f t="shared" si="11"/>
        <v>0</v>
      </c>
      <c r="N91" s="716">
        <v>0</v>
      </c>
      <c r="O91" s="303">
        <f>N91+'01'!O91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 t="shared" si="14"/>
        <v>138.62995910882384</v>
      </c>
      <c r="E92" s="138">
        <f t="shared" si="7"/>
        <v>0.88635267238605031</v>
      </c>
      <c r="F92" s="134">
        <v>23.521666666666668</v>
      </c>
      <c r="G92" s="110">
        <f t="shared" si="8"/>
        <v>0.47833333333333172</v>
      </c>
      <c r="H92" s="138">
        <f t="shared" si="9"/>
        <v>0.98006944444444455</v>
      </c>
      <c r="I92" s="134">
        <f t="shared" si="15"/>
        <v>139.90191810324723</v>
      </c>
      <c r="J92" s="138">
        <f t="shared" si="10"/>
        <v>0.8944851443359817</v>
      </c>
      <c r="K92" s="134">
        <f>F92+'01'!K92</f>
        <v>47.521666666666668</v>
      </c>
      <c r="L92" s="134">
        <f>G92+'01'!L92</f>
        <v>0.47833333333333172</v>
      </c>
      <c r="M92" s="139">
        <f t="shared" si="11"/>
        <v>0.99003472222222222</v>
      </c>
      <c r="N92" s="716">
        <v>3260.8076881713851</v>
      </c>
      <c r="O92" s="303">
        <f>N92+'01'!O92</f>
        <v>6648.3723181298137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 t="shared" si="14"/>
        <v>152.70111507549973</v>
      </c>
      <c r="E93" s="138">
        <f t="shared" si="7"/>
        <v>0.99671584174516259</v>
      </c>
      <c r="F93" s="134">
        <v>24</v>
      </c>
      <c r="G93" s="110">
        <f t="shared" si="8"/>
        <v>0</v>
      </c>
      <c r="H93" s="138">
        <f t="shared" si="9"/>
        <v>1</v>
      </c>
      <c r="I93" s="134">
        <f t="shared" si="15"/>
        <v>148.06650830088219</v>
      </c>
      <c r="J93" s="138">
        <f t="shared" si="10"/>
        <v>0.96646468090565729</v>
      </c>
      <c r="K93" s="134">
        <f>F93+'01'!K93</f>
        <v>48</v>
      </c>
      <c r="L93" s="134">
        <f>G93+'01'!L93</f>
        <v>0</v>
      </c>
      <c r="M93" s="139">
        <f t="shared" si="11"/>
        <v>1</v>
      </c>
      <c r="N93" s="716">
        <v>3664.8267618119935</v>
      </c>
      <c r="O93" s="303">
        <f>N93+'01'!O93</f>
        <v>7107.1923984423447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 t="shared" si="14"/>
        <v>42.85</v>
      </c>
      <c r="E94" s="746">
        <f t="shared" si="7"/>
        <v>0.71416666666666673</v>
      </c>
      <c r="F94" s="765">
        <v>17</v>
      </c>
      <c r="G94" s="521">
        <f t="shared" si="8"/>
        <v>7</v>
      </c>
      <c r="H94" s="746">
        <f t="shared" si="9"/>
        <v>0.70833333333333337</v>
      </c>
      <c r="I94" s="765">
        <f t="shared" si="15"/>
        <v>111.98529411764706</v>
      </c>
      <c r="J94" s="746">
        <f t="shared" si="10"/>
        <v>1.866421568627451</v>
      </c>
      <c r="K94" s="765">
        <f>F94+'01'!K94</f>
        <v>17</v>
      </c>
      <c r="L94" s="765">
        <f>G94+'01'!L94</f>
        <v>31</v>
      </c>
      <c r="M94" s="880">
        <f t="shared" si="11"/>
        <v>0.35416666666666669</v>
      </c>
      <c r="N94" s="966">
        <f>E111+E120+E121+E122</f>
        <v>728.45</v>
      </c>
      <c r="O94" s="871">
        <f>N94+'01'!O94</f>
        <v>1903.75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 t="shared" si="14"/>
        <v>53.973333333333336</v>
      </c>
      <c r="E95" s="444">
        <f>IFERROR(D95/C95,0)</f>
        <v>0</v>
      </c>
      <c r="F95" s="443">
        <v>3</v>
      </c>
      <c r="G95" s="387">
        <f>24-F95</f>
        <v>21</v>
      </c>
      <c r="H95" s="444">
        <f>F95/24</f>
        <v>0.125</v>
      </c>
      <c r="I95" s="443">
        <f t="shared" si="15"/>
        <v>227.03999999999996</v>
      </c>
      <c r="J95" s="444">
        <f>IFERROR(I95/C95,0)</f>
        <v>0</v>
      </c>
      <c r="K95" s="443">
        <f>F95+'01'!K95</f>
        <v>3</v>
      </c>
      <c r="L95" s="443">
        <f>G95+'01'!L95</f>
        <v>45</v>
      </c>
      <c r="M95" s="723">
        <f>K95/(24*2)</f>
        <v>6.25E-2</v>
      </c>
      <c r="N95" s="967">
        <f>E112+E114+E115+E118+E119</f>
        <v>161.92000000000002</v>
      </c>
      <c r="O95" s="713">
        <f>N95+'01'!O95</f>
        <v>681.11999999999989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099"/>
      <c r="M96" s="1100"/>
      <c r="N96" s="1100"/>
      <c r="O96" s="1100"/>
      <c r="P96" s="1100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76"/>
      <c r="K97" s="1184"/>
      <c r="L97" s="253"/>
      <c r="M97" s="253"/>
      <c r="N97" s="253"/>
      <c r="O97" s="253"/>
      <c r="P97" s="253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85"/>
      <c r="K98" s="1186"/>
      <c r="L98" s="253"/>
      <c r="M98" s="253"/>
      <c r="N98" s="253"/>
      <c r="O98" s="253"/>
      <c r="P98" s="253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2982</v>
      </c>
      <c r="E100" s="89">
        <f>E101+E110</f>
        <v>5199.07</v>
      </c>
      <c r="F100" s="90">
        <f t="shared" ref="F100:F122" si="16">IFERROR((E100/D100),0)</f>
        <v>1.7434842387659288</v>
      </c>
      <c r="G100" s="88">
        <f>G101+G110</f>
        <v>9867</v>
      </c>
      <c r="H100" s="89">
        <f>H101+H110</f>
        <v>12437.469999999998</v>
      </c>
      <c r="I100" s="90">
        <f t="shared" ref="I100:I122" si="17">IFERROR((H100/G100),0)</f>
        <v>1.2605118070335459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2982</v>
      </c>
      <c r="E101" s="98">
        <f>SUM(E102:E109)</f>
        <v>4308.7</v>
      </c>
      <c r="F101" s="99">
        <f t="shared" si="16"/>
        <v>1.4449027498323272</v>
      </c>
      <c r="G101" s="169">
        <f>SUM(G102:G109)</f>
        <v>5919</v>
      </c>
      <c r="H101" s="98">
        <f>SUM(H102:H109)</f>
        <v>9852.5999999999967</v>
      </c>
      <c r="I101" s="99">
        <f t="shared" si="17"/>
        <v>1.6645717181956405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6"/>
        <v>0</v>
      </c>
      <c r="G102" s="134">
        <f>D102+'01'!G102</f>
        <v>0</v>
      </c>
      <c r="H102" s="110">
        <f>E102+'01'!H102</f>
        <v>0</v>
      </c>
      <c r="I102" s="138">
        <f t="shared" si="17"/>
        <v>0</v>
      </c>
      <c r="J102" s="1148"/>
      <c r="K102" s="1150"/>
      <c r="N102" s="253"/>
      <c r="O102" s="253"/>
      <c r="P102" s="143"/>
      <c r="T102" s="93"/>
    </row>
    <row r="103" spans="1:20">
      <c r="A103" s="254" t="s">
        <v>262</v>
      </c>
      <c r="B103" s="825" t="s">
        <v>9</v>
      </c>
      <c r="C103" s="164">
        <f>'01'!C103</f>
        <v>11500</v>
      </c>
      <c r="D103" s="165">
        <v>270</v>
      </c>
      <c r="E103" s="166">
        <v>0</v>
      </c>
      <c r="F103" s="167">
        <f t="shared" si="16"/>
        <v>0</v>
      </c>
      <c r="G103" s="742">
        <f>D103+'01'!G103</f>
        <v>460</v>
      </c>
      <c r="H103" s="168">
        <f>E103+'01'!H103</f>
        <v>0</v>
      </c>
      <c r="I103" s="167">
        <f t="shared" si="17"/>
        <v>0</v>
      </c>
      <c r="J103" s="1187"/>
      <c r="K103" s="1188"/>
      <c r="L103" s="148"/>
      <c r="M103" s="148"/>
      <c r="N103" s="148"/>
      <c r="O103" s="148"/>
      <c r="P103" s="143"/>
      <c r="T103" s="93"/>
    </row>
    <row r="104" spans="1:20" outlineLevel="1">
      <c r="A104" s="254" t="s">
        <v>159</v>
      </c>
      <c r="B104" s="825" t="s">
        <v>9</v>
      </c>
      <c r="C104" s="164">
        <f>'01'!C104</f>
        <v>127150</v>
      </c>
      <c r="D104" s="134">
        <v>2500</v>
      </c>
      <c r="E104" s="110">
        <v>3360.3500000000004</v>
      </c>
      <c r="F104" s="138">
        <f t="shared" si="16"/>
        <v>1.3441400000000001</v>
      </c>
      <c r="G104" s="134">
        <f>D104+'01'!G104</f>
        <v>5184</v>
      </c>
      <c r="H104" s="110">
        <f>E104+'01'!H104</f>
        <v>8176.2499999999964</v>
      </c>
      <c r="I104" s="138">
        <f t="shared" si="17"/>
        <v>1.5772087191358017</v>
      </c>
      <c r="J104" s="1148"/>
      <c r="K104" s="1150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825" t="s">
        <v>9</v>
      </c>
      <c r="C105" s="149">
        <f>'01'!C105</f>
        <v>0</v>
      </c>
      <c r="D105" s="134">
        <v>0</v>
      </c>
      <c r="E105" s="110">
        <v>23.3</v>
      </c>
      <c r="F105" s="138">
        <f t="shared" si="16"/>
        <v>0</v>
      </c>
      <c r="G105" s="134">
        <f>D105+'01'!G105</f>
        <v>0</v>
      </c>
      <c r="H105" s="110">
        <f>E105+'01'!H105</f>
        <v>427.85</v>
      </c>
      <c r="I105" s="138">
        <f t="shared" si="17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825" t="s">
        <v>9</v>
      </c>
      <c r="C106" s="149">
        <f>'01'!C106</f>
        <v>0</v>
      </c>
      <c r="D106" s="134">
        <v>0</v>
      </c>
      <c r="E106" s="110">
        <v>511.1</v>
      </c>
      <c r="F106" s="138">
        <f t="shared" si="16"/>
        <v>0</v>
      </c>
      <c r="G106" s="445">
        <f>D106+'01'!G106</f>
        <v>0</v>
      </c>
      <c r="H106" s="146">
        <f>E106+'01'!H106</f>
        <v>789.5</v>
      </c>
      <c r="I106" s="138">
        <f t="shared" si="17"/>
        <v>0</v>
      </c>
      <c r="J106" s="1148"/>
      <c r="K106" s="1150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825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6"/>
        <v>0</v>
      </c>
      <c r="G107" s="445">
        <f>D107+'01'!G107</f>
        <v>0</v>
      </c>
      <c r="H107" s="110">
        <f>E107+'01'!H107</f>
        <v>0</v>
      </c>
      <c r="I107" s="138">
        <f t="shared" si="17"/>
        <v>0</v>
      </c>
      <c r="J107" s="1148"/>
      <c r="K107" s="1150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825" t="s">
        <v>9</v>
      </c>
      <c r="C108" s="149">
        <f>'01'!C108</f>
        <v>3558</v>
      </c>
      <c r="D108" s="134">
        <v>187</v>
      </c>
      <c r="E108" s="110">
        <v>227.04999999999998</v>
      </c>
      <c r="F108" s="138">
        <f t="shared" si="16"/>
        <v>1.2141711229946524</v>
      </c>
      <c r="G108" s="445">
        <f>D108+'01'!G108</f>
        <v>250</v>
      </c>
      <c r="H108" s="110">
        <f>E108+'01'!H108</f>
        <v>227.04999999999998</v>
      </c>
      <c r="I108" s="138">
        <f t="shared" si="17"/>
        <v>0.9081999999999999</v>
      </c>
      <c r="J108" s="797"/>
      <c r="K108" s="798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825" t="s">
        <v>9</v>
      </c>
      <c r="C109" s="149">
        <f>'01'!C109</f>
        <v>1100</v>
      </c>
      <c r="D109" s="134">
        <v>25</v>
      </c>
      <c r="E109" s="110">
        <v>186.9</v>
      </c>
      <c r="F109" s="138">
        <f t="shared" si="16"/>
        <v>7.476</v>
      </c>
      <c r="G109" s="445">
        <f>D109+'01'!G109</f>
        <v>25</v>
      </c>
      <c r="H109" s="110">
        <f>E109+'01'!H109</f>
        <v>231.95</v>
      </c>
      <c r="I109" s="138">
        <f t="shared" si="17"/>
        <v>9.2779999999999987</v>
      </c>
      <c r="J109" s="797"/>
      <c r="K109" s="798"/>
      <c r="L109" s="253"/>
      <c r="M109" s="253"/>
      <c r="N109" s="143"/>
      <c r="R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1841</v>
      </c>
      <c r="E110" s="98">
        <f>SUM(E111:E122)</f>
        <v>890.37000000000012</v>
      </c>
      <c r="F110" s="1053">
        <f>IFERROR((E110/D110),0)</f>
        <v>0.48363389462248785</v>
      </c>
      <c r="G110" s="1051">
        <f>SUM(G111:G122)</f>
        <v>3948</v>
      </c>
      <c r="H110" s="98">
        <f>SUM(H111:H122)</f>
        <v>2584.87</v>
      </c>
      <c r="I110" s="1053">
        <f>IFERROR((H110/G110),0)</f>
        <v>0.65472897669706176</v>
      </c>
      <c r="J110" s="797"/>
      <c r="K110" s="798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D111+'01'!G111</f>
        <v>0</v>
      </c>
      <c r="H111" s="110">
        <f>E111+'01'!H111</f>
        <v>547.65</v>
      </c>
      <c r="I111" s="138">
        <f>IFERROR((H111/G111),0)</f>
        <v>0</v>
      </c>
      <c r="J111" s="1148"/>
      <c r="K111" s="1150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161.92000000000002</v>
      </c>
      <c r="F112" s="138">
        <f>IFERROR((E112/D112),0)</f>
        <v>0</v>
      </c>
      <c r="G112" s="134">
        <f>D112+'01'!G112</f>
        <v>0</v>
      </c>
      <c r="H112" s="110">
        <f>E112+'01'!H112</f>
        <v>681.11999999999989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6"/>
        <v>0</v>
      </c>
      <c r="G113" s="134">
        <f>D113+'01'!G113</f>
        <v>0</v>
      </c>
      <c r="H113" s="110">
        <f>E113+'01'!H113</f>
        <v>0</v>
      </c>
      <c r="I113" s="138">
        <f t="shared" si="17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 outlineLevel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740">
        <f t="shared" si="16"/>
        <v>0</v>
      </c>
      <c r="G114" s="134">
        <f>D114+'01'!G114</f>
        <v>32</v>
      </c>
      <c r="H114" s="110">
        <f>E114+'01'!H114</f>
        <v>0</v>
      </c>
      <c r="I114" s="740">
        <f t="shared" si="17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 outlineLevel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99">
        <f t="shared" si="16"/>
        <v>0</v>
      </c>
      <c r="G115" s="134">
        <f>D115+'01'!G115</f>
        <v>0</v>
      </c>
      <c r="H115" s="110">
        <f>E115+'01'!H115</f>
        <v>0</v>
      </c>
      <c r="I115" s="99">
        <f t="shared" si="17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 outlineLevel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99">
        <f t="shared" si="16"/>
        <v>0</v>
      </c>
      <c r="G116" s="134">
        <f>D116+'01'!G116</f>
        <v>0</v>
      </c>
      <c r="H116" s="110">
        <f>E116+'01'!H116</f>
        <v>0</v>
      </c>
      <c r="I116" s="99">
        <f t="shared" si="17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 outlineLevel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99">
        <f t="shared" si="16"/>
        <v>0</v>
      </c>
      <c r="G117" s="134">
        <f>D117+'01'!G117</f>
        <v>0</v>
      </c>
      <c r="H117" s="110">
        <f>E117+'01'!H117</f>
        <v>0</v>
      </c>
      <c r="I117" s="99">
        <f t="shared" si="17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 outlineLevel="1">
      <c r="A118" s="254" t="s">
        <v>222</v>
      </c>
      <c r="B118" s="119" t="s">
        <v>9</v>
      </c>
      <c r="C118" s="149">
        <f>'01'!C118</f>
        <v>10700</v>
      </c>
      <c r="D118" s="134">
        <v>375</v>
      </c>
      <c r="E118" s="110">
        <v>0</v>
      </c>
      <c r="F118" s="99">
        <f t="shared" si="16"/>
        <v>0</v>
      </c>
      <c r="G118" s="134">
        <f>D118+'01'!G118</f>
        <v>740</v>
      </c>
      <c r="H118" s="110">
        <f>E118+'01'!H118</f>
        <v>0</v>
      </c>
      <c r="I118" s="99">
        <f t="shared" si="17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 outlineLevel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99">
        <f t="shared" si="16"/>
        <v>0</v>
      </c>
      <c r="G119" s="134">
        <f>D119+'01'!G119</f>
        <v>0</v>
      </c>
      <c r="H119" s="110">
        <f>E119+'01'!H119</f>
        <v>0</v>
      </c>
      <c r="I119" s="99">
        <f t="shared" si="17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 outlineLevel="1">
      <c r="A120" s="254" t="s">
        <v>256</v>
      </c>
      <c r="B120" s="119" t="s">
        <v>9</v>
      </c>
      <c r="C120" s="149">
        <f>'01'!C120</f>
        <v>22152</v>
      </c>
      <c r="D120" s="134">
        <v>710</v>
      </c>
      <c r="E120" s="110">
        <v>0</v>
      </c>
      <c r="F120" s="99">
        <f t="shared" si="16"/>
        <v>0</v>
      </c>
      <c r="G120" s="134">
        <f>D120+'01'!G120</f>
        <v>1152</v>
      </c>
      <c r="H120" s="110">
        <f>E120+'01'!H120</f>
        <v>0</v>
      </c>
      <c r="I120" s="99">
        <f t="shared" si="17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 outlineLevel="1">
      <c r="A121" s="254" t="s">
        <v>199</v>
      </c>
      <c r="B121" s="119" t="s">
        <v>9</v>
      </c>
      <c r="C121" s="149">
        <f>'01'!C121</f>
        <v>1360</v>
      </c>
      <c r="D121" s="134">
        <v>272</v>
      </c>
      <c r="E121" s="110">
        <v>0</v>
      </c>
      <c r="F121" s="99">
        <f t="shared" si="16"/>
        <v>0</v>
      </c>
      <c r="G121" s="134">
        <f>D121+'01'!G121</f>
        <v>272</v>
      </c>
      <c r="H121" s="110">
        <f>E121+'01'!H121</f>
        <v>0</v>
      </c>
      <c r="I121" s="99">
        <f t="shared" si="17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 outlineLevel="1">
      <c r="A122" s="246" t="s">
        <v>206</v>
      </c>
      <c r="B122" s="119" t="s">
        <v>9</v>
      </c>
      <c r="C122" s="149">
        <f>'01'!C122</f>
        <v>18120</v>
      </c>
      <c r="D122" s="134">
        <v>468</v>
      </c>
      <c r="E122" s="110">
        <v>728.45</v>
      </c>
      <c r="F122" s="99">
        <f t="shared" si="16"/>
        <v>1.556517094017094</v>
      </c>
      <c r="G122" s="134">
        <f>D122+'01'!G122</f>
        <v>1752</v>
      </c>
      <c r="H122" s="110">
        <f>E122+'01'!H122</f>
        <v>1356.1</v>
      </c>
      <c r="I122" s="99">
        <f t="shared" si="17"/>
        <v>0.77402968036529674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0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905" t="s">
        <v>3</v>
      </c>
      <c r="H125" s="790" t="s">
        <v>2</v>
      </c>
      <c r="I125" s="791" t="s">
        <v>1</v>
      </c>
      <c r="J125" s="348">
        <f>SUM(N85:N91)</f>
        <v>951.39817084943707</v>
      </c>
      <c r="K125" s="305">
        <f>N92+N93</f>
        <v>6925.6344499833785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81">
        <v>40.5</v>
      </c>
      <c r="E126" s="268">
        <v>37.221191686615811</v>
      </c>
      <c r="F126" s="157">
        <f>IFERROR(E126/D126,0)</f>
        <v>0.91904177003989651</v>
      </c>
      <c r="G126" s="267">
        <v>40.5</v>
      </c>
      <c r="H126" s="685">
        <v>39.308529313581872</v>
      </c>
      <c r="I126" s="157">
        <f>IFERROR(H126/G126,0)</f>
        <v>0.97058097070572524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81">
        <v>17</v>
      </c>
      <c r="E127" s="268">
        <v>26.69964858761319</v>
      </c>
      <c r="F127" s="157">
        <f t="shared" ref="F127:F132" si="18">IFERROR(E127/D127,0)</f>
        <v>1.5705675639772465</v>
      </c>
      <c r="G127" s="267">
        <v>17</v>
      </c>
      <c r="H127" s="685">
        <v>20.472885034300585</v>
      </c>
      <c r="I127" s="157">
        <f t="shared" ref="I127:I132" si="19">IFERROR(H127/G127,0)</f>
        <v>1.204287354958858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81">
        <v>3</v>
      </c>
      <c r="E128" s="268">
        <f>P131</f>
        <v>2.8087041342057182</v>
      </c>
      <c r="F128" s="266">
        <f t="shared" si="18"/>
        <v>0.93623471140190606</v>
      </c>
      <c r="G128" s="267">
        <v>3</v>
      </c>
      <c r="H128" s="685">
        <f>P132</f>
        <v>2.7387137673800579</v>
      </c>
      <c r="I128" s="157">
        <f t="shared" si="19"/>
        <v>0.91290458912668593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81">
        <v>21</v>
      </c>
      <c r="E129" s="268">
        <v>19.54291476721599</v>
      </c>
      <c r="F129" s="266">
        <f t="shared" si="18"/>
        <v>0.93061498891504713</v>
      </c>
      <c r="G129" s="267">
        <v>21</v>
      </c>
      <c r="H129" s="685">
        <v>19.113363568717464</v>
      </c>
      <c r="I129" s="157">
        <f t="shared" si="19"/>
        <v>0.9101601699389269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81">
        <v>42</v>
      </c>
      <c r="E130" s="268">
        <v>11.459821925211727</v>
      </c>
      <c r="F130" s="266">
        <f t="shared" si="18"/>
        <v>0.2728529029812316</v>
      </c>
      <c r="G130" s="267">
        <v>42</v>
      </c>
      <c r="H130" s="685">
        <v>26.301404437049303</v>
      </c>
      <c r="I130" s="157">
        <f t="shared" si="19"/>
        <v>0.62622391516784059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81">
        <v>35</v>
      </c>
      <c r="E131" s="256">
        <v>1.5276264779038584</v>
      </c>
      <c r="F131" s="266">
        <f t="shared" si="18"/>
        <v>4.3646470797253097E-2</v>
      </c>
      <c r="G131" s="267">
        <v>35</v>
      </c>
      <c r="H131" s="685">
        <v>12.392485023684571</v>
      </c>
      <c r="I131" s="157">
        <f t="shared" si="19"/>
        <v>0.35407100067670205</v>
      </c>
      <c r="J131" s="178">
        <f>F5</f>
        <v>4249.7600283130014</v>
      </c>
      <c r="K131" s="110">
        <v>483.53366176657391</v>
      </c>
      <c r="L131" s="316">
        <f>IFERROR(K131/J131,0)</f>
        <v>0.11377905070995716</v>
      </c>
      <c r="M131" s="110">
        <v>5900</v>
      </c>
      <c r="N131" s="704">
        <f>M131+'01'!N131</f>
        <v>11800</v>
      </c>
      <c r="O131" s="110">
        <f>M131*4.184*K131/1000</f>
        <v>11936.318560904938</v>
      </c>
      <c r="P131" s="628">
        <f>IFERROR(O131/J131,0)</f>
        <v>2.8087041342057182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1">
        <v>100.69</v>
      </c>
      <c r="E132" s="682">
        <v>56.951673267621658</v>
      </c>
      <c r="F132" s="783">
        <f t="shared" si="18"/>
        <v>0.56561399610310514</v>
      </c>
      <c r="G132" s="974">
        <v>100.69</v>
      </c>
      <c r="H132" s="683">
        <v>71.678364851559408</v>
      </c>
      <c r="I132" s="684">
        <f t="shared" si="19"/>
        <v>0.71187173355407096</v>
      </c>
      <c r="N132" s="728" t="s">
        <v>188</v>
      </c>
      <c r="O132" s="704">
        <f>O131+'01'!O132</f>
        <v>28862.788281127418</v>
      </c>
      <c r="P132" s="724">
        <f>IFERROR(O132/H5,0)</f>
        <v>2.7387137673800579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129401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47.521666666666661</v>
      </c>
      <c r="M135" s="366">
        <f>SUM(M136:M140)</f>
        <v>129401.00000000001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J136" s="479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8.8980555555555547</v>
      </c>
      <c r="M137" s="362">
        <f>$N$134*N137/100</f>
        <v>24229.311968809547</v>
      </c>
      <c r="N137" s="369">
        <f>IFERROR(L137*$O$135/$L$135,0)</f>
        <v>18.724207671354588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0">SUM(C139:H139)</f>
        <v>0</v>
      </c>
      <c r="J139" s="1171">
        <f>D140+E140+F140+G140</f>
        <v>0</v>
      </c>
      <c r="K139" s="370" t="s">
        <v>159</v>
      </c>
      <c r="L139" s="376">
        <v>38.62361111111111</v>
      </c>
      <c r="M139" s="362">
        <f>$N$134*N139/100</f>
        <v>105171.68803119047</v>
      </c>
      <c r="N139" s="369">
        <f>IFERROR(L139*$O$135/$L$135,0)</f>
        <v>81.275792328645423</v>
      </c>
    </row>
    <row r="140" spans="1:20" ht="16.5" thickBot="1">
      <c r="A140" s="321"/>
      <c r="B140" s="334"/>
      <c r="C140" s="335">
        <f t="shared" ref="C140:H140" si="21">IFERROR(C139/$B$139,0)</f>
        <v>0</v>
      </c>
      <c r="D140" s="335">
        <f t="shared" si="21"/>
        <v>0</v>
      </c>
      <c r="E140" s="335">
        <f t="shared" si="21"/>
        <v>0</v>
      </c>
      <c r="F140" s="335">
        <f t="shared" si="21"/>
        <v>0</v>
      </c>
      <c r="G140" s="335">
        <f t="shared" si="21"/>
        <v>0</v>
      </c>
      <c r="H140" s="335">
        <f t="shared" si="21"/>
        <v>0</v>
      </c>
      <c r="I140" s="326">
        <f t="shared" si="20"/>
        <v>0</v>
      </c>
      <c r="J140" s="1172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0"/>
        <v>0</v>
      </c>
      <c r="J141" s="1171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2">IFERROR(C141/$B$141,0)</f>
        <v>0</v>
      </c>
      <c r="D142" s="335">
        <f t="shared" si="22"/>
        <v>0</v>
      </c>
      <c r="E142" s="335">
        <f t="shared" si="22"/>
        <v>0</v>
      </c>
      <c r="F142" s="335">
        <f t="shared" si="22"/>
        <v>0</v>
      </c>
      <c r="G142" s="335">
        <f t="shared" si="22"/>
        <v>0</v>
      </c>
      <c r="H142" s="335">
        <f t="shared" si="22"/>
        <v>0</v>
      </c>
      <c r="I142" s="326">
        <f t="shared" si="20"/>
        <v>0</v>
      </c>
      <c r="J142" s="1172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0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8909</v>
      </c>
    </row>
    <row r="144" spans="1:20" ht="16.5" thickBot="1">
      <c r="A144" s="321"/>
      <c r="B144" s="336"/>
      <c r="C144" s="335">
        <f t="shared" ref="C144:H144" si="23">IFERROR(C143/$B$143,0)</f>
        <v>0</v>
      </c>
      <c r="D144" s="335">
        <f t="shared" si="23"/>
        <v>0</v>
      </c>
      <c r="E144" s="335">
        <f t="shared" si="23"/>
        <v>0</v>
      </c>
      <c r="F144" s="335">
        <f t="shared" si="23"/>
        <v>0</v>
      </c>
      <c r="G144" s="335">
        <f t="shared" si="23"/>
        <v>0</v>
      </c>
      <c r="H144" s="335">
        <f t="shared" si="23"/>
        <v>0</v>
      </c>
      <c r="I144" s="326">
        <f t="shared" si="20"/>
        <v>0</v>
      </c>
      <c r="J144" s="1172"/>
      <c r="K144" s="365"/>
      <c r="L144" s="366">
        <f>SUM(L145:L150)</f>
        <v>20.433611111111116</v>
      </c>
      <c r="M144" s="366">
        <f>SUM(M145:M150)</f>
        <v>8909</v>
      </c>
      <c r="N144" s="367"/>
      <c r="O144" s="382">
        <v>100</v>
      </c>
    </row>
    <row r="145" spans="1:14">
      <c r="A145" s="123" t="s">
        <v>190</v>
      </c>
      <c r="B145" s="344">
        <f>F19</f>
        <v>5426.5026960100158</v>
      </c>
      <c r="C145" s="337">
        <v>418.33808805531925</v>
      </c>
      <c r="D145" s="340"/>
      <c r="E145" s="340"/>
      <c r="F145" s="337">
        <v>0</v>
      </c>
      <c r="G145" s="337">
        <v>0</v>
      </c>
      <c r="H145" s="337">
        <v>5067.8561376108055</v>
      </c>
      <c r="I145" s="333">
        <f t="shared" si="20"/>
        <v>5486.194225666125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4">IFERROR(C145/$B$145,0)</f>
        <v>7.7091657645892944E-2</v>
      </c>
      <c r="D146" s="335">
        <f t="shared" si="24"/>
        <v>0</v>
      </c>
      <c r="E146" s="335">
        <f t="shared" si="24"/>
        <v>0</v>
      </c>
      <c r="F146" s="335">
        <f t="shared" si="24"/>
        <v>0</v>
      </c>
      <c r="G146" s="335">
        <f t="shared" si="24"/>
        <v>0</v>
      </c>
      <c r="H146" s="335">
        <f t="shared" si="24"/>
        <v>0.9339083423541068</v>
      </c>
      <c r="I146" s="326">
        <f t="shared" si="20"/>
        <v>1.0109999999999997</v>
      </c>
      <c r="J146" s="1172"/>
      <c r="K146" s="370" t="s">
        <v>86</v>
      </c>
      <c r="L146" s="376">
        <v>20.433611111111116</v>
      </c>
      <c r="M146" s="362">
        <f>$N$143*N146/100</f>
        <v>8909</v>
      </c>
      <c r="N146" s="369">
        <f>IFERROR(L146*$O$144/$L$144,0)</f>
        <v>100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0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5">IFERROR(C147/$B$147,0)</f>
        <v>0</v>
      </c>
      <c r="D148" s="335">
        <f t="shared" si="25"/>
        <v>0</v>
      </c>
      <c r="E148" s="335">
        <f t="shared" si="25"/>
        <v>0</v>
      </c>
      <c r="F148" s="335">
        <f t="shared" si="25"/>
        <v>0</v>
      </c>
      <c r="G148" s="335">
        <f t="shared" si="25"/>
        <v>0</v>
      </c>
      <c r="H148" s="335">
        <f t="shared" si="25"/>
        <v>0</v>
      </c>
      <c r="I148" s="326">
        <f t="shared" si="20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6">B139+B141+B143+B145+B147</f>
        <v>5426.5026960100158</v>
      </c>
      <c r="C149" s="349">
        <f t="shared" si="26"/>
        <v>418.33808805531925</v>
      </c>
      <c r="D149" s="349">
        <f t="shared" si="26"/>
        <v>0</v>
      </c>
      <c r="E149" s="349">
        <f>E139+E141+E143+E145+E147</f>
        <v>0</v>
      </c>
      <c r="F149" s="349">
        <f t="shared" si="26"/>
        <v>0</v>
      </c>
      <c r="G149" s="349">
        <f t="shared" si="26"/>
        <v>0</v>
      </c>
      <c r="H149" s="349">
        <f t="shared" si="26"/>
        <v>5067.8561376108055</v>
      </c>
      <c r="I149" s="324">
        <f t="shared" si="26"/>
        <v>5486.194225666125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7">IFERROR(C149/$B$149,0)</f>
        <v>7.7091657645892944E-2</v>
      </c>
      <c r="D150" s="335">
        <f t="shared" si="27"/>
        <v>0</v>
      </c>
      <c r="E150" s="335">
        <f t="shared" si="27"/>
        <v>0</v>
      </c>
      <c r="F150" s="335">
        <f t="shared" si="27"/>
        <v>0</v>
      </c>
      <c r="G150" s="335">
        <f t="shared" si="27"/>
        <v>0</v>
      </c>
      <c r="H150" s="335">
        <f t="shared" si="27"/>
        <v>0.9339083423541068</v>
      </c>
      <c r="I150" s="326">
        <f>SUM(C150:H150)</f>
        <v>1.0109999999999997</v>
      </c>
      <c r="K150" s="374"/>
      <c r="L150" s="375"/>
      <c r="M150" s="372"/>
      <c r="N150" s="373"/>
    </row>
  </sheetData>
  <mergeCells count="114">
    <mergeCell ref="J145:J146"/>
    <mergeCell ref="J147:J148"/>
    <mergeCell ref="O50:P50"/>
    <mergeCell ref="O52:P52"/>
    <mergeCell ref="O53:P53"/>
    <mergeCell ref="L99:M99"/>
    <mergeCell ref="N99:O99"/>
    <mergeCell ref="O54:P54"/>
    <mergeCell ref="O55:P55"/>
    <mergeCell ref="O56:P56"/>
    <mergeCell ref="O57:P57"/>
    <mergeCell ref="N78:O78"/>
    <mergeCell ref="O58:P58"/>
    <mergeCell ref="O59:P59"/>
    <mergeCell ref="O61:P61"/>
    <mergeCell ref="O62:P62"/>
    <mergeCell ref="O63:P63"/>
    <mergeCell ref="O64:P64"/>
    <mergeCell ref="O65:P65"/>
    <mergeCell ref="O66:P66"/>
    <mergeCell ref="O67:P67"/>
    <mergeCell ref="O68:P68"/>
    <mergeCell ref="O72:P72"/>
    <mergeCell ref="J143:J144"/>
    <mergeCell ref="A123:I123"/>
    <mergeCell ref="A124:A125"/>
    <mergeCell ref="B124:B125"/>
    <mergeCell ref="C124:C125"/>
    <mergeCell ref="D124:F124"/>
    <mergeCell ref="G124:I124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P78:P79"/>
    <mergeCell ref="O21:P21"/>
    <mergeCell ref="O23:P23"/>
    <mergeCell ref="O38:P38"/>
    <mergeCell ref="O39:P39"/>
    <mergeCell ref="O40:P40"/>
    <mergeCell ref="O41:P41"/>
    <mergeCell ref="O42:P42"/>
    <mergeCell ref="O43:P43"/>
    <mergeCell ref="O44:P44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30:P30"/>
    <mergeCell ref="O22:P22"/>
    <mergeCell ref="J106:K106"/>
    <mergeCell ref="J107:K107"/>
    <mergeCell ref="J111:K111"/>
    <mergeCell ref="J112:K112"/>
    <mergeCell ref="J114:K114"/>
    <mergeCell ref="A77:P77"/>
    <mergeCell ref="A78:A79"/>
    <mergeCell ref="O45:P45"/>
    <mergeCell ref="O46:P46"/>
    <mergeCell ref="B78:B79"/>
    <mergeCell ref="C78:C79"/>
    <mergeCell ref="D78:H78"/>
    <mergeCell ref="I78:M78"/>
    <mergeCell ref="O48:P48"/>
    <mergeCell ref="L96:P96"/>
    <mergeCell ref="O47:P47"/>
    <mergeCell ref="O49:P49"/>
    <mergeCell ref="O60:P60"/>
    <mergeCell ref="O69:P69"/>
    <mergeCell ref="O70:P70"/>
    <mergeCell ref="O71:P71"/>
    <mergeCell ref="N129:P129"/>
    <mergeCell ref="J129:J130"/>
    <mergeCell ref="K129:L129"/>
    <mergeCell ref="O73:P73"/>
    <mergeCell ref="K133:N133"/>
    <mergeCell ref="K142:N142"/>
    <mergeCell ref="A136:A138"/>
    <mergeCell ref="B136:B137"/>
    <mergeCell ref="C136:I136"/>
    <mergeCell ref="J139:J140"/>
    <mergeCell ref="J141:J142"/>
    <mergeCell ref="A96:K96"/>
    <mergeCell ref="A97:A99"/>
    <mergeCell ref="B97:B99"/>
    <mergeCell ref="C97:C99"/>
    <mergeCell ref="D97:F98"/>
    <mergeCell ref="G97:I98"/>
    <mergeCell ref="J97:K98"/>
    <mergeCell ref="J115:K115"/>
    <mergeCell ref="J101:K101"/>
    <mergeCell ref="J102:K102"/>
    <mergeCell ref="J103:K103"/>
    <mergeCell ref="J104:K104"/>
    <mergeCell ref="J105:K105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  <pageSetUpPr fitToPage="1"/>
  </sheetPr>
  <dimension ref="A1:Z150"/>
  <sheetViews>
    <sheetView tabSelected="1" view="pageBreakPreview" zoomScale="80" zoomScaleNormal="80" zoomScaleSheetLayoutView="80" workbookViewId="0">
      <pane xSplit="2" ySplit="4" topLeftCell="C5" activePane="bottomRight" state="frozen"/>
      <selection activeCell="Q2" sqref="Q2"/>
      <selection pane="topRight" activeCell="Q2" sqref="Q2"/>
      <selection pane="bottomLeft" activeCell="Q2" sqref="Q2"/>
      <selection pane="bottomRight" activeCell="F39" sqref="F39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03 ",Q1)</f>
        <v>Ежедневный отчет производства и отгрузки за 03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6335.2598477857</v>
      </c>
      <c r="G5" s="89">
        <f t="shared" si="0"/>
        <v>20100</v>
      </c>
      <c r="H5" s="89">
        <f t="shared" si="0"/>
        <v>16874.071396806572</v>
      </c>
      <c r="I5" s="90">
        <f>IFERROR((H5/G5),0)</f>
        <v>0.83950603964211801</v>
      </c>
      <c r="J5" s="749">
        <f>J6+J9</f>
        <v>3705.579796501117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118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E6+'02'!G6</f>
        <v>0</v>
      </c>
      <c r="H6" s="110">
        <f>F6+'02'!H6</f>
        <v>0</v>
      </c>
      <c r="I6" s="138"/>
      <c r="J6" s="750"/>
      <c r="K6" s="124">
        <f>J6+'02'!K6</f>
        <v>0</v>
      </c>
      <c r="L6" s="149">
        <f>D6+H6-K6-M6-N6</f>
        <v>15952.919765534218</v>
      </c>
      <c r="M6" s="101"/>
      <c r="N6" s="269">
        <v>0</v>
      </c>
      <c r="O6" s="1195"/>
      <c r="P6" s="1196"/>
      <c r="Q6" s="592"/>
      <c r="R6" s="590"/>
      <c r="S6" s="618"/>
      <c r="T6" s="118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F7+'02'!H7</f>
        <v>0</v>
      </c>
      <c r="I7" s="99"/>
      <c r="J7" s="750"/>
      <c r="K7" s="124">
        <f>J7+'02'!K7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F8+'02'!H8</f>
        <v>0</v>
      </c>
      <c r="I8" s="138"/>
      <c r="J8" s="750"/>
      <c r="K8" s="124">
        <f>J8+'02'!K8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6335.2598477857</v>
      </c>
      <c r="G9" s="177">
        <f>E9+'02'!G9</f>
        <v>20100</v>
      </c>
      <c r="H9" s="748">
        <f>F9+'02'!H9</f>
        <v>16874.071396806572</v>
      </c>
      <c r="I9" s="99">
        <f>IFERROR((H9/G9),0)</f>
        <v>0.83950603964211801</v>
      </c>
      <c r="J9" s="177">
        <f>J10+J11+J12+J13</f>
        <v>3705.579796501117</v>
      </c>
      <c r="K9" s="694">
        <f>K10+K11+K12+K13</f>
        <v>17027.103675312697</v>
      </c>
      <c r="L9" s="96">
        <f>D9+H9-K9+M9+N9</f>
        <v>126919.26148290596</v>
      </c>
      <c r="M9" s="101"/>
      <c r="N9" s="101">
        <v>0</v>
      </c>
      <c r="O9" s="1133"/>
      <c r="P9" s="1134"/>
      <c r="Q9" s="592"/>
      <c r="R9" s="590"/>
      <c r="S9" s="618"/>
      <c r="T9" s="118"/>
    </row>
    <row r="10" spans="1:20">
      <c r="A10" s="103" t="s">
        <v>64</v>
      </c>
      <c r="B10" s="119" t="s">
        <v>9</v>
      </c>
      <c r="C10" s="149"/>
      <c r="D10" s="149">
        <f>'01'!D10</f>
        <v>56300.273909357406</v>
      </c>
      <c r="E10" s="134"/>
      <c r="F10" s="110">
        <v>6335.2598477857</v>
      </c>
      <c r="G10" s="98">
        <f>E10+'02'!G10</f>
        <v>0</v>
      </c>
      <c r="H10" s="110">
        <f>F10+'02'!H10</f>
        <v>16874.071396806572</v>
      </c>
      <c r="I10" s="757"/>
      <c r="J10" s="178">
        <v>3705.579796501117</v>
      </c>
      <c r="K10" s="124">
        <f>J10+'02'!K10</f>
        <v>17027.103675312697</v>
      </c>
      <c r="L10" s="149">
        <f>D10+H10-K10+M10-N10</f>
        <v>56147.241630851277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119" t="s">
        <v>9</v>
      </c>
      <c r="C11" s="149"/>
      <c r="D11" s="149">
        <f>'01'!D11</f>
        <v>18224.01726010743</v>
      </c>
      <c r="E11" s="134"/>
      <c r="F11" s="110"/>
      <c r="G11" s="98">
        <f>E11+'02'!G11</f>
        <v>0</v>
      </c>
      <c r="H11" s="110">
        <f>F11+'02'!H11</f>
        <v>0</v>
      </c>
      <c r="I11" s="99"/>
      <c r="J11" s="178">
        <v>0</v>
      </c>
      <c r="K11" s="124">
        <f>J11+'02'!K11</f>
        <v>0</v>
      </c>
      <c r="L11" s="149">
        <f>D11+H11-K11+M11-N11</f>
        <v>18224.01726010743</v>
      </c>
      <c r="M11" s="101"/>
      <c r="N11" s="101"/>
      <c r="O11" s="1197"/>
      <c r="P11" s="1198"/>
      <c r="Q11" s="592"/>
      <c r="R11" s="590"/>
    </row>
    <row r="12" spans="1:20" outlineLevel="1">
      <c r="A12" s="103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E12+'02'!G12</f>
        <v>0</v>
      </c>
      <c r="H12" s="110">
        <f>F12+'02'!H12</f>
        <v>0</v>
      </c>
      <c r="I12" s="757"/>
      <c r="J12" s="178"/>
      <c r="K12" s="124">
        <f>J12+'02'!K12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F13+'02'!H13</f>
        <v>0</v>
      </c>
      <c r="I13" s="99"/>
      <c r="J13" s="178"/>
      <c r="K13" s="124">
        <f>J13+'02'!K13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6561.0000000000018</v>
      </c>
      <c r="F14" s="89">
        <f>SUM(F15:F21)</f>
        <v>4117.5268989230026</v>
      </c>
      <c r="G14" s="89">
        <f>SUM(G15:G21)</f>
        <v>16403</v>
      </c>
      <c r="H14" s="89">
        <f>SUM(H15:H21)</f>
        <v>18857.68830004807</v>
      </c>
      <c r="I14" s="90">
        <f t="shared" ref="I14:I21" si="1">IFERROR((H14/G14),0)</f>
        <v>1.1496487410868785</v>
      </c>
      <c r="J14" s="749">
        <f>SUM(J15:J21)</f>
        <v>4921.7599999999993</v>
      </c>
      <c r="K14" s="91">
        <f>SUM(K15:K21)</f>
        <v>16699.429999999993</v>
      </c>
      <c r="L14" s="87">
        <f>SUM(L15:L21)</f>
        <v>28062.872684234913</v>
      </c>
      <c r="M14" s="402"/>
      <c r="N14" s="104"/>
      <c r="O14" s="1115"/>
      <c r="P14" s="1116"/>
      <c r="Q14" s="593"/>
      <c r="R14" s="590"/>
      <c r="S14" s="703" t="s">
        <v>247</v>
      </c>
      <c r="T14" s="1042">
        <f>J5/F14</f>
        <v>0.89995278415069102</v>
      </c>
    </row>
    <row r="15" spans="1:20" hidden="1">
      <c r="A15" s="123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E15+'02'!G15</f>
        <v>0</v>
      </c>
      <c r="H15" s="110">
        <f>F15+'02'!H15</f>
        <v>0</v>
      </c>
      <c r="I15" s="138">
        <f t="shared" si="1"/>
        <v>0</v>
      </c>
      <c r="J15" s="178">
        <v>0</v>
      </c>
      <c r="K15" s="124">
        <f>J15+'02'!K15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07">
        <f>'01'!C16</f>
        <v>44352</v>
      </c>
      <c r="D16" s="170">
        <f>'01'!D16</f>
        <v>6069.3572595923979</v>
      </c>
      <c r="E16" s="134">
        <v>1491.9681706316655</v>
      </c>
      <c r="F16" s="110">
        <v>744.77178920812491</v>
      </c>
      <c r="G16" s="110">
        <f>E16+'02'!G16</f>
        <v>3730.0341263330602</v>
      </c>
      <c r="H16" s="110">
        <f>F16+'02'!H16</f>
        <v>3228.5002277343951</v>
      </c>
      <c r="I16" s="758">
        <f t="shared" si="1"/>
        <v>0.86554173993798944</v>
      </c>
      <c r="J16" s="751">
        <f>IFERROR(SUMIF(A101:A114,A16,E101:E114),0)+E111+E112+E113</f>
        <v>875.96</v>
      </c>
      <c r="K16" s="124">
        <f>J16+'02'!K16</f>
        <v>2894.23</v>
      </c>
      <c r="L16" s="397">
        <f t="shared" si="2"/>
        <v>6403.6274873267939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07">
        <f>'01'!C17</f>
        <v>0</v>
      </c>
      <c r="D17" s="170">
        <f>'01'!D17</f>
        <v>483.23739591927495</v>
      </c>
      <c r="E17" s="108">
        <v>0</v>
      </c>
      <c r="F17" s="109">
        <v>0</v>
      </c>
      <c r="G17" s="110">
        <f>E17+'02'!G17</f>
        <v>0</v>
      </c>
      <c r="H17" s="110">
        <f>F17+'02'!H17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J17+'02'!K17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>
        <f>O51/F5</f>
        <v>1.6327529641398599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>
        <v>0</v>
      </c>
      <c r="G18" s="110">
        <f>E18+'02'!G18</f>
        <v>0</v>
      </c>
      <c r="H18" s="110">
        <f>F18+'02'!H18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J18+'02'!K18</f>
        <v>0</v>
      </c>
      <c r="L18" s="127">
        <f t="shared" si="2"/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4903.5939807219038</v>
      </c>
      <c r="F19" s="131">
        <v>3372.755109714878</v>
      </c>
      <c r="G19" s="110">
        <f>E19+'02'!G19</f>
        <v>12259.358644380642</v>
      </c>
      <c r="H19" s="110">
        <f>F19+'02'!H19</f>
        <v>15629.188072313675</v>
      </c>
      <c r="I19" s="759">
        <f t="shared" si="1"/>
        <v>1.2748781176638202</v>
      </c>
      <c r="J19" s="751">
        <f>IFERROR(SUMIF(A102:A115,A19,E102:E115),0)+E117+E115+E122</f>
        <v>3703.1999999999989</v>
      </c>
      <c r="K19" s="124">
        <f>J19+'02'!K19</f>
        <v>13235.549999999994</v>
      </c>
      <c r="L19" s="127">
        <f t="shared" si="2"/>
        <v>15158.371784219647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119.68846390484003</v>
      </c>
      <c r="F20" s="110">
        <v>0</v>
      </c>
      <c r="G20" s="110">
        <f>E20+'02'!G20</f>
        <v>299.23028096800658</v>
      </c>
      <c r="H20" s="110">
        <f>F20+'02'!H20</f>
        <v>0</v>
      </c>
      <c r="I20" s="138">
        <f t="shared" si="1"/>
        <v>0</v>
      </c>
      <c r="J20" s="751">
        <f>IFERROR(SUMIF(A102:A115,A20,E102:E115),0)</f>
        <v>342.59999999999997</v>
      </c>
      <c r="K20" s="124">
        <f>J20+'02'!K20</f>
        <v>569.65</v>
      </c>
      <c r="L20" s="127">
        <f t="shared" si="2"/>
        <v>2834.3979510608046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45.749384741591463</v>
      </c>
      <c r="F21" s="110">
        <v>0</v>
      </c>
      <c r="G21" s="110">
        <f>E21+'02'!G21</f>
        <v>114.37694831829367</v>
      </c>
      <c r="H21" s="110">
        <f>F21+'02'!H21</f>
        <v>0</v>
      </c>
      <c r="I21" s="138">
        <f t="shared" si="1"/>
        <v>0</v>
      </c>
      <c r="J21" s="751">
        <f>IFERROR(SUMIF(A102:A115,A21,E102:E115),0)</f>
        <v>0</v>
      </c>
      <c r="K21" s="124">
        <f>J21+'02'!K21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2130.1044634377968</v>
      </c>
      <c r="G22" s="110">
        <f>E22+'02'!G22</f>
        <v>0</v>
      </c>
      <c r="H22" s="110">
        <f>F22+'02'!H22</f>
        <v>2130.1044634377968</v>
      </c>
      <c r="I22" s="99"/>
      <c r="J22" s="751">
        <f>IFERROR(SUMIF(A103:A123,A22,E103:E123),0)+E109</f>
        <v>73.45</v>
      </c>
      <c r="K22" s="124">
        <f>J22+'02'!K22</f>
        <v>733.25000000000011</v>
      </c>
      <c r="L22" s="127">
        <f t="shared" si="2"/>
        <v>4230.6050983199748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E23+'02'!G23</f>
        <v>0</v>
      </c>
      <c r="H23" s="98">
        <f>SUM(H24:H29)</f>
        <v>0</v>
      </c>
      <c r="I23" s="99">
        <f>IFERROR((H23/G23),0)</f>
        <v>0</v>
      </c>
      <c r="J23" s="177">
        <f>SUM(J24:J29)</f>
        <v>20</v>
      </c>
      <c r="K23" s="100">
        <f>J23+'02'!K23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E24+'02'!G24</f>
        <v>0</v>
      </c>
      <c r="H24" s="110">
        <f>F24+'02'!H24</f>
        <v>0</v>
      </c>
      <c r="I24" s="99"/>
      <c r="J24" s="752">
        <v>0</v>
      </c>
      <c r="K24" s="124">
        <f>J24+'02'!K24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E25+'02'!G25</f>
        <v>0</v>
      </c>
      <c r="H25" s="110">
        <f>F25+'02'!H25</f>
        <v>0</v>
      </c>
      <c r="I25" s="99"/>
      <c r="J25" s="752">
        <v>20</v>
      </c>
      <c r="K25" s="124">
        <f>J25+'02'!K25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E26+'02'!G26</f>
        <v>0</v>
      </c>
      <c r="H26" s="110">
        <f>F26+'02'!H26</f>
        <v>0</v>
      </c>
      <c r="I26" s="99"/>
      <c r="J26" s="752">
        <v>0</v>
      </c>
      <c r="K26" s="124">
        <f>J26+'02'!K26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E27+'02'!G27</f>
        <v>0</v>
      </c>
      <c r="H27" s="110">
        <f>F27+'02'!H27</f>
        <v>0</v>
      </c>
      <c r="I27" s="99"/>
      <c r="J27" s="752"/>
      <c r="K27" s="124">
        <f>J27+'02'!K27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E28+'02'!G28</f>
        <v>0</v>
      </c>
      <c r="H28" s="110">
        <f>F28+'02'!H28</f>
        <v>0</v>
      </c>
      <c r="I28" s="99"/>
      <c r="J28" s="752"/>
      <c r="K28" s="124">
        <f>J28+'02'!K28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E29+'02'!G29</f>
        <v>0</v>
      </c>
      <c r="H29" s="110">
        <f>F29+'02'!H29</f>
        <v>0</v>
      </c>
      <c r="I29" s="99"/>
      <c r="J29" s="752"/>
      <c r="K29" s="124">
        <f>J29+'02'!K29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E30+'02'!G30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212.96000000000004</v>
      </c>
      <c r="K30" s="100">
        <f>J30+'02'!K30</f>
        <v>894.07999999999993</v>
      </c>
      <c r="L30" s="583">
        <f t="shared" si="2"/>
        <v>1173.92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E31+'02'!G31</f>
        <v>0</v>
      </c>
      <c r="H31" s="110">
        <f>F31+'02'!H31</f>
        <v>0</v>
      </c>
      <c r="I31" s="99"/>
      <c r="J31" s="865">
        <v>0</v>
      </c>
      <c r="K31" s="124">
        <f>J31+'02'!K31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E32+'02'!G32</f>
        <v>0</v>
      </c>
      <c r="H32" s="110">
        <f>F32+'02'!H32</f>
        <v>554.40000000000009</v>
      </c>
      <c r="I32" s="99"/>
      <c r="J32" s="865">
        <v>212.96000000000004</v>
      </c>
      <c r="K32" s="124">
        <f>J32+'02'!K32</f>
        <v>894.07999999999993</v>
      </c>
      <c r="L32" s="127">
        <f t="shared" si="2"/>
        <v>1168.6400000000003</v>
      </c>
      <c r="M32" s="421"/>
      <c r="N32" s="438"/>
      <c r="O32" s="906"/>
      <c r="P32" s="907"/>
      <c r="Q32" s="594"/>
      <c r="R32" s="594"/>
      <c r="S32" s="620"/>
      <c r="T32" s="16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E33+'02'!G33</f>
        <v>0</v>
      </c>
      <c r="H33" s="110">
        <f>F33+'02'!H33</f>
        <v>0</v>
      </c>
      <c r="I33" s="99"/>
      <c r="J33" s="865">
        <v>0</v>
      </c>
      <c r="K33" s="124">
        <f>J33+'02'!K33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E34+'02'!G34</f>
        <v>0</v>
      </c>
      <c r="H34" s="110">
        <f>F34+'02'!H34</f>
        <v>0</v>
      </c>
      <c r="I34" s="99"/>
      <c r="J34" s="865"/>
      <c r="K34" s="124">
        <f>J34+'02'!K34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E35+'02'!G35</f>
        <v>0</v>
      </c>
      <c r="H35" s="110">
        <f>F35+'02'!H35</f>
        <v>0</v>
      </c>
      <c r="I35" s="99"/>
      <c r="J35" s="865"/>
      <c r="K35" s="124">
        <f>J35+'02'!K35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E36+'02'!G36</f>
        <v>0</v>
      </c>
      <c r="H36" s="110">
        <f>F36+'02'!H36</f>
        <v>0</v>
      </c>
      <c r="I36" s="99"/>
      <c r="J36" s="110">
        <v>0</v>
      </c>
      <c r="K36" s="124">
        <f>J36+'02'!K36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E37+'02'!G37</f>
        <v>0</v>
      </c>
      <c r="H37" s="110">
        <f>F37+'02'!H37</f>
        <v>0</v>
      </c>
      <c r="I37" s="99"/>
      <c r="J37" s="110">
        <v>0</v>
      </c>
      <c r="K37" s="124">
        <f>J37+'02'!K37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3124.3588564107249</v>
      </c>
      <c r="G38" s="676">
        <f>E38+'02'!G38</f>
        <v>14899.171650754866</v>
      </c>
      <c r="H38" s="676">
        <f>F38+'02'!H38</f>
        <v>9132.5707721894778</v>
      </c>
      <c r="I38" s="760">
        <f>IFERROR((H38/G38),0)</f>
        <v>0.6129582896460406</v>
      </c>
      <c r="J38" s="753">
        <f>SUM(J39:J40)</f>
        <v>4288.3588564107249</v>
      </c>
      <c r="K38" s="677">
        <f>J38+'02'!K38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2045.3588564107249</v>
      </c>
      <c r="G39" s="110"/>
      <c r="H39" s="110">
        <f>F39+'02'!H39</f>
        <v>6840.5707721894778</v>
      </c>
      <c r="I39" s="138"/>
      <c r="J39" s="178">
        <f>F39</f>
        <v>2045.3588564107249</v>
      </c>
      <c r="K39" s="124">
        <f>J39+'02'!K39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10">
        <v>1079</v>
      </c>
      <c r="G40" s="110"/>
      <c r="H40" s="110">
        <f>F40+'02'!H40</f>
        <v>2292</v>
      </c>
      <c r="I40" s="138"/>
      <c r="J40" s="178">
        <v>2243</v>
      </c>
      <c r="K40" s="124">
        <f>J40+'02'!K40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F41+'02'!H41</f>
        <v>0</v>
      </c>
      <c r="I41" s="138"/>
      <c r="J41" s="178"/>
      <c r="K41" s="124">
        <f>J41+'02'!K41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F42+'02'!H42</f>
        <v>0</v>
      </c>
      <c r="I42" s="138"/>
      <c r="J42" s="178"/>
      <c r="K42" s="124">
        <f>J42+'02'!K42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2410</v>
      </c>
      <c r="G43" s="110">
        <f>E43+'02'!G43</f>
        <v>9660.1878796744204</v>
      </c>
      <c r="H43" s="110">
        <f>F43+'02'!H43</f>
        <v>8403.7999999999993</v>
      </c>
      <c r="I43" s="138">
        <f>IFERROR((H43/G43),0)</f>
        <v>0.86994167242668929</v>
      </c>
      <c r="J43" s="178">
        <f>F43</f>
        <v>2410</v>
      </c>
      <c r="K43" s="124">
        <f>J43+'02'!K43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1582</v>
      </c>
      <c r="G44" s="110">
        <f>E44+'02'!G44</f>
        <v>4084.6933088751402</v>
      </c>
      <c r="H44" s="110">
        <f>F44+'02'!H44</f>
        <v>7255</v>
      </c>
      <c r="I44" s="138">
        <f>IFERROR((H44/G44),0)</f>
        <v>1.7761431401071117</v>
      </c>
      <c r="J44" s="178">
        <v>1656.5843701589388</v>
      </c>
      <c r="K44" s="124">
        <f>J44+'02'!K44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118"/>
    </row>
    <row r="45" spans="1:20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F45+'02'!H45</f>
        <v>0</v>
      </c>
      <c r="I45" s="138"/>
      <c r="J45" s="178"/>
      <c r="K45" s="124">
        <f>J45+'02'!K45</f>
        <v>0</v>
      </c>
      <c r="L45" s="149"/>
      <c r="M45" s="405"/>
      <c r="N45" s="116"/>
      <c r="O45" s="1189"/>
      <c r="P45" s="1190"/>
      <c r="Q45" s="595"/>
      <c r="R45" s="594"/>
      <c r="S45" s="618"/>
      <c r="T45" s="93"/>
    </row>
    <row r="46" spans="1:20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F46+'02'!H46</f>
        <v>0</v>
      </c>
      <c r="I46" s="138"/>
      <c r="J46" s="178"/>
      <c r="K46" s="124">
        <f>J46+'02'!K46</f>
        <v>0</v>
      </c>
      <c r="L46" s="149"/>
      <c r="M46" s="405"/>
      <c r="N46" s="116"/>
      <c r="O46" s="1189"/>
      <c r="P46" s="1190"/>
      <c r="Q46" s="595"/>
      <c r="R46" s="594"/>
      <c r="S46" s="618"/>
      <c r="T46" s="93"/>
    </row>
    <row r="47" spans="1:20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F47+'02'!H47</f>
        <v>0</v>
      </c>
      <c r="I47" s="138"/>
      <c r="J47" s="178"/>
      <c r="K47" s="124">
        <f>J47+'02'!K47</f>
        <v>0</v>
      </c>
      <c r="L47" s="149"/>
      <c r="M47" s="405"/>
      <c r="N47" s="116"/>
      <c r="O47" s="1189"/>
      <c r="P47" s="1190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71">
        <v>4455.3588564107249</v>
      </c>
      <c r="G48" s="110">
        <f>E48+'02'!G48</f>
        <v>23866.346526254449</v>
      </c>
      <c r="H48" s="110">
        <f>F48+'02'!H48</f>
        <v>15244.370772189477</v>
      </c>
      <c r="I48" s="138">
        <f>IFERROR((H48/G48),0)</f>
        <v>0.63873918680514141</v>
      </c>
      <c r="J48" s="750">
        <v>10439.768509417268</v>
      </c>
      <c r="K48" s="124">
        <f>J48+'02'!K48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11500</v>
      </c>
      <c r="F49" s="110">
        <f>SUM(F50:F51)</f>
        <v>11941.87510970487</v>
      </c>
      <c r="G49" s="110">
        <f>SUM(G50:G51)</f>
        <v>34500</v>
      </c>
      <c r="H49" s="110">
        <f>SUM(H50:H51)</f>
        <v>32176.186994748638</v>
      </c>
      <c r="I49" s="138">
        <f>IFERROR((H49/G49),0)</f>
        <v>0.93264310129706196</v>
      </c>
      <c r="J49" s="178">
        <f>SUM(J50:J51)</f>
        <v>9774.9990088395807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E50+'02'!G50</f>
        <v>0</v>
      </c>
      <c r="H50" s="110">
        <f>F50+'02'!H50</f>
        <v>0</v>
      </c>
      <c r="I50" s="138">
        <f>IFERROR((H50/G50),0)</f>
        <v>0</v>
      </c>
      <c r="J50" s="178"/>
      <c r="K50" s="124">
        <f>J50+'02'!K50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11500</v>
      </c>
      <c r="F51" s="110">
        <v>11941.87510970487</v>
      </c>
      <c r="G51" s="110">
        <f>E51+'02'!G51</f>
        <v>34500</v>
      </c>
      <c r="H51" s="110">
        <f>F51+'02'!H51</f>
        <v>32176.186994748638</v>
      </c>
      <c r="I51" s="138">
        <f>IFERROR((H51/G51),0)</f>
        <v>0.93264310129706196</v>
      </c>
      <c r="J51" s="178">
        <f>O51-P51</f>
        <v>9774.9990088395807</v>
      </c>
      <c r="K51" s="124">
        <f>J51+'02'!K51</f>
        <v>26069.180673341318</v>
      </c>
      <c r="L51" s="149">
        <f>D51+H51-K51+M51</f>
        <v>10674.168318391596</v>
      </c>
      <c r="M51" s="405"/>
      <c r="N51" s="121"/>
      <c r="O51" s="178">
        <v>10343.91429506834</v>
      </c>
      <c r="P51" s="668">
        <f>O51*0.055</f>
        <v>568.91528622875865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E53+'02'!G53</f>
        <v>0</v>
      </c>
      <c r="H53" s="110">
        <f>F53+'02'!H53</f>
        <v>0</v>
      </c>
      <c r="I53" s="759">
        <f t="shared" ref="I53:I58" si="4">IFERROR((H53/G53),0)</f>
        <v>0</v>
      </c>
      <c r="J53" s="754"/>
      <c r="K53" s="124">
        <f>J53+'02'!K53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E54+'02'!G54</f>
        <v>967.74193548387098</v>
      </c>
      <c r="H54" s="110">
        <f>F54+'02'!H54</f>
        <v>0</v>
      </c>
      <c r="I54" s="759">
        <f t="shared" si="4"/>
        <v>0</v>
      </c>
      <c r="J54" s="754">
        <v>313.06446152084038</v>
      </c>
      <c r="K54" s="124">
        <f>J54+'02'!K54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E55+'02'!G55</f>
        <v>1645.1612903225805</v>
      </c>
      <c r="H55" s="110">
        <f>F55+'02'!H55</f>
        <v>0</v>
      </c>
      <c r="I55" s="759">
        <f t="shared" si="4"/>
        <v>0</v>
      </c>
      <c r="J55" s="754">
        <v>474.01918693740856</v>
      </c>
      <c r="K55" s="124">
        <f>J55+'02'!K55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E56+'02'!G56</f>
        <v>0</v>
      </c>
      <c r="H56" s="110">
        <f>F56+'02'!H56</f>
        <v>0</v>
      </c>
      <c r="I56" s="759">
        <f t="shared" si="4"/>
        <v>0</v>
      </c>
      <c r="J56" s="754"/>
      <c r="K56" s="124">
        <f>J56+'02'!K56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E57+'02'!G57</f>
        <v>0</v>
      </c>
      <c r="H57" s="110">
        <f>F57+'02'!H57</f>
        <v>0</v>
      </c>
      <c r="I57" s="759">
        <f t="shared" si="4"/>
        <v>0</v>
      </c>
      <c r="J57" s="754"/>
      <c r="K57" s="124">
        <f>J57+'02'!K57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E58+'02'!G58</f>
        <v>0</v>
      </c>
      <c r="H58" s="110">
        <f>F58+'02'!H58</f>
        <v>0</v>
      </c>
      <c r="I58" s="759">
        <f t="shared" si="4"/>
        <v>0</v>
      </c>
      <c r="J58" s="754">
        <v>0</v>
      </c>
      <c r="K58" s="124">
        <f>J58+'02'!K58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F59+'02'!H59</f>
        <v>0</v>
      </c>
      <c r="I59" s="759"/>
      <c r="J59" s="754"/>
      <c r="K59" s="124">
        <f>J59+'02'!K59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F60+'02'!H60</f>
        <v>0</v>
      </c>
      <c r="I60" s="759"/>
      <c r="J60" s="754"/>
      <c r="K60" s="124">
        <f>J60+'02'!K60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F61+'02'!H61</f>
        <v>0</v>
      </c>
      <c r="I61" s="759"/>
      <c r="J61" s="754">
        <f>D139+D141</f>
        <v>0</v>
      </c>
      <c r="K61" s="124">
        <f>J61+'02'!K61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F62+'02'!H62</f>
        <v>0</v>
      </c>
      <c r="I62" s="522"/>
      <c r="J62" s="754">
        <v>0</v>
      </c>
      <c r="K62" s="124">
        <f>J62+'02'!K62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49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F63+'02'!H63</f>
        <v>3329.1499999999996</v>
      </c>
      <c r="I63" s="1059"/>
      <c r="J63" s="1068">
        <v>739.70008549828731</v>
      </c>
      <c r="K63" s="668">
        <f>J63+'02'!K63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F64+'02'!H64</f>
        <v>0</v>
      </c>
      <c r="I64" s="522"/>
      <c r="J64" s="754"/>
      <c r="K64" s="124">
        <f>J64+'02'!K64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F65+'02'!H65</f>
        <v>0</v>
      </c>
      <c r="I65" s="759"/>
      <c r="J65" s="754"/>
      <c r="K65" s="124">
        <f>J65+'02'!K65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F66+'02'!H66</f>
        <v>0</v>
      </c>
      <c r="I66" s="759"/>
      <c r="J66" s="754"/>
      <c r="K66" s="124">
        <f>J66+'02'!K66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F67+'02'!H67</f>
        <v>0</v>
      </c>
      <c r="I67" s="759"/>
      <c r="J67" s="754"/>
      <c r="K67" s="124">
        <f>J67+'02'!K67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F68+'02'!H68</f>
        <v>0</v>
      </c>
      <c r="I68" s="759"/>
      <c r="J68" s="754"/>
      <c r="K68" s="124">
        <f>J68+'02'!K68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F69+'02'!H69</f>
        <v>0</v>
      </c>
      <c r="I69" s="759"/>
      <c r="J69" s="754">
        <v>739.70008549828731</v>
      </c>
      <c r="K69" s="124">
        <f>J69+'02'!K69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>
        <v>0</v>
      </c>
      <c r="G70" s="110"/>
      <c r="H70" s="110">
        <f>F70+'02'!H70</f>
        <v>3329.1499999999996</v>
      </c>
      <c r="I70" s="759"/>
      <c r="J70" s="754"/>
      <c r="K70" s="124">
        <f>J70+'02'!K70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F71+'02'!H71</f>
        <v>0</v>
      </c>
      <c r="I71" s="759"/>
      <c r="J71" s="754"/>
      <c r="K71" s="124">
        <f>J71+'02'!K71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702.71508122337286</v>
      </c>
      <c r="G72" s="387"/>
      <c r="H72" s="387">
        <f>F72+'02'!H72</f>
        <v>1911.376034856974</v>
      </c>
      <c r="I72" s="388"/>
      <c r="J72" s="756">
        <f>K131</f>
        <v>697.34602007044703</v>
      </c>
      <c r="K72" s="395">
        <f>J72+'02'!K72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F73+'02'!H73</f>
        <v>0</v>
      </c>
      <c r="I73" s="944"/>
      <c r="J73" s="945"/>
      <c r="K73" s="935"/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24*3-K80</f>
        <v>72</v>
      </c>
      <c r="M80" s="139">
        <f t="shared" ref="M80:M94" si="11">K80/(24*3)</f>
        <v>0</v>
      </c>
      <c r="N80" s="965"/>
      <c r="O80" s="302">
        <f>N80+'02'!O80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24*3-K81</f>
        <v>72</v>
      </c>
      <c r="M81" s="139">
        <f t="shared" si="11"/>
        <v>0</v>
      </c>
      <c r="N81" s="965"/>
      <c r="O81" s="302">
        <f>N81+'02'!O81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2">IFERROR(N82/F82,0)</f>
        <v>44.188197247233923</v>
      </c>
      <c r="E82" s="138">
        <f t="shared" si="7"/>
        <v>0.9819599388274205</v>
      </c>
      <c r="F82" s="134">
        <v>15.902777777777779</v>
      </c>
      <c r="G82" s="110">
        <f t="shared" si="8"/>
        <v>8.0972222222222214</v>
      </c>
      <c r="H82" s="138">
        <f t="shared" si="9"/>
        <v>0.66261574074074081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F82+'02'!K82</f>
        <v>43.903888888888886</v>
      </c>
      <c r="L82" s="178">
        <f>24*3-K82</f>
        <v>28.096111111111114</v>
      </c>
      <c r="M82" s="139">
        <f t="shared" si="11"/>
        <v>0.6097762345679012</v>
      </c>
      <c r="N82" s="716">
        <v>702.71508122337286</v>
      </c>
      <c r="O82" s="303">
        <f>N82+'02'!O82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504.12474958298191</v>
      </c>
      <c r="E83" s="138">
        <f t="shared" si="7"/>
        <v>1.0082494991659638</v>
      </c>
      <c r="F83" s="134">
        <v>23.688333333333333</v>
      </c>
      <c r="G83" s="110">
        <f t="shared" si="8"/>
        <v>0.31166666666666742</v>
      </c>
      <c r="H83" s="138">
        <f t="shared" si="9"/>
        <v>0.98701388888888886</v>
      </c>
      <c r="I83" s="134">
        <f t="shared" si="13"/>
        <v>498.27193460328596</v>
      </c>
      <c r="J83" s="138">
        <f t="shared" si="10"/>
        <v>0.9965438692065719</v>
      </c>
      <c r="K83" s="134">
        <f>F83+'02'!K83</f>
        <v>64.575555555555553</v>
      </c>
      <c r="L83" s="178">
        <f>G83+'02'!L83</f>
        <v>7.4244444444444433</v>
      </c>
      <c r="M83" s="139">
        <f t="shared" si="11"/>
        <v>0.89688271604938263</v>
      </c>
      <c r="N83" s="716">
        <v>11941.87510970487</v>
      </c>
      <c r="O83" s="303">
        <f>N83+'02'!O83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263.96916032440419</v>
      </c>
      <c r="E84" s="138">
        <f t="shared" si="7"/>
        <v>0</v>
      </c>
      <c r="F84" s="134">
        <v>24</v>
      </c>
      <c r="G84" s="110">
        <f t="shared" si="8"/>
        <v>0</v>
      </c>
      <c r="H84" s="138">
        <f t="shared" si="9"/>
        <v>1</v>
      </c>
      <c r="I84" s="134">
        <f t="shared" si="13"/>
        <v>259.69099144791005</v>
      </c>
      <c r="J84" s="138">
        <f t="shared" si="10"/>
        <v>0</v>
      </c>
      <c r="K84" s="134">
        <f>F84+'02'!K84</f>
        <v>64.977499999999992</v>
      </c>
      <c r="L84" s="178">
        <f>G84+'02'!L84</f>
        <v>7.0225000000000009</v>
      </c>
      <c r="M84" s="139">
        <f t="shared" si="11"/>
        <v>0.90246527777777763</v>
      </c>
      <c r="N84" s="716">
        <v>6335.2598477857</v>
      </c>
      <c r="O84" s="303">
        <f>N84+'02'!O84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F85+'02'!K85</f>
        <v>0</v>
      </c>
      <c r="L85" s="178">
        <f>G85+'02'!L85</f>
        <v>72</v>
      </c>
      <c r="M85" s="139">
        <f t="shared" si="11"/>
        <v>0</v>
      </c>
      <c r="N85" s="965">
        <v>0</v>
      </c>
      <c r="O85" s="302">
        <f>N85+'02'!O85</f>
        <v>0</v>
      </c>
      <c r="P85" s="719"/>
      <c r="Q85" s="140"/>
      <c r="R85" s="140"/>
      <c r="T85" s="93"/>
    </row>
    <row r="86" spans="1:20" hidden="1" outlineLevel="1">
      <c r="A86" s="132" t="s">
        <v>56</v>
      </c>
      <c r="B86" s="106" t="s">
        <v>17</v>
      </c>
      <c r="C86" s="141">
        <v>37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F86+'02'!K86</f>
        <v>0</v>
      </c>
      <c r="L86" s="178">
        <f>G86+'02'!L86</f>
        <v>72</v>
      </c>
      <c r="M86" s="139">
        <f t="shared" si="11"/>
        <v>0</v>
      </c>
      <c r="N86" s="965">
        <v>0</v>
      </c>
      <c r="O86" s="303">
        <f>N86+'02'!O86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41">
        <v>37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F87+'02'!K87</f>
        <v>0</v>
      </c>
      <c r="L87" s="178">
        <f>G87+'02'!L87</f>
        <v>72</v>
      </c>
      <c r="M87" s="139">
        <f t="shared" si="11"/>
        <v>0</v>
      </c>
      <c r="N87" s="965">
        <v>0</v>
      </c>
      <c r="O87" s="302">
        <f>N87+'02'!O87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F88+'02'!K88</f>
        <v>0</v>
      </c>
      <c r="L88" s="178">
        <f>G88+'02'!L88</f>
        <v>72</v>
      </c>
      <c r="M88" s="139">
        <f t="shared" si="11"/>
        <v>0</v>
      </c>
      <c r="N88" s="716">
        <v>0</v>
      </c>
      <c r="O88" s="303">
        <f>N88+'02'!O88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33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F89+'02'!K89</f>
        <v>1.6950000000000001</v>
      </c>
      <c r="L89" s="178">
        <f>G89+'02'!L89</f>
        <v>70.305000000000007</v>
      </c>
      <c r="M89" s="139">
        <f t="shared" si="11"/>
        <v>2.3541666666666669E-2</v>
      </c>
      <c r="N89" s="1001">
        <v>0</v>
      </c>
      <c r="O89" s="303">
        <f>N89+'02'!O89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33">
        <f>'01'!C90</f>
        <v>47</v>
      </c>
      <c r="D90" s="134">
        <f t="shared" si="12"/>
        <v>51.07340137730143</v>
      </c>
      <c r="E90" s="138">
        <f t="shared" si="7"/>
        <v>1.0866681144106687</v>
      </c>
      <c r="F90" s="134">
        <v>13.173611111111111</v>
      </c>
      <c r="G90" s="110">
        <f t="shared" si="8"/>
        <v>10.826388888888889</v>
      </c>
      <c r="H90" s="138">
        <f t="shared" si="9"/>
        <v>0.54890046296296291</v>
      </c>
      <c r="I90" s="134">
        <f t="shared" si="13"/>
        <v>48.591763261195744</v>
      </c>
      <c r="J90" s="138">
        <f t="shared" si="10"/>
        <v>1.0338673034296968</v>
      </c>
      <c r="K90" s="134">
        <f>F90+'02'!K90</f>
        <v>32.664166666666674</v>
      </c>
      <c r="L90" s="178">
        <f>G90+'02'!L90</f>
        <v>39.335833333333326</v>
      </c>
      <c r="M90" s="139">
        <f t="shared" si="11"/>
        <v>0.4536689814814816</v>
      </c>
      <c r="N90" s="1001">
        <v>672.82112786625567</v>
      </c>
      <c r="O90" s="303">
        <f>N90+'02'!O90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41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F91+'02'!K91</f>
        <v>0</v>
      </c>
      <c r="L91" s="178">
        <f>G91+'02'!L91</f>
        <v>72</v>
      </c>
      <c r="M91" s="139">
        <f t="shared" si="11"/>
        <v>0</v>
      </c>
      <c r="N91" s="716">
        <v>0</v>
      </c>
      <c r="O91" s="303">
        <f>N91+'02'!O91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140.53146290478659</v>
      </c>
      <c r="E92" s="138">
        <f t="shared" si="7"/>
        <v>0.89851023906166894</v>
      </c>
      <c r="F92" s="134">
        <v>24</v>
      </c>
      <c r="G92" s="110">
        <f t="shared" si="8"/>
        <v>0</v>
      </c>
      <c r="H92" s="138">
        <f t="shared" si="9"/>
        <v>1</v>
      </c>
      <c r="I92" s="134">
        <f>IFERROR(O92/K92,0)</f>
        <v>140.11316982515353</v>
      </c>
      <c r="J92" s="138">
        <f t="shared" si="10"/>
        <v>0.89583581578868565</v>
      </c>
      <c r="K92" s="134">
        <f>F92+'02'!K92</f>
        <v>71.521666666666675</v>
      </c>
      <c r="L92" s="178">
        <f>G92+'02'!L92</f>
        <v>0.47833333333333172</v>
      </c>
      <c r="M92" s="139">
        <f t="shared" si="11"/>
        <v>0.99335648148148159</v>
      </c>
      <c r="N92" s="716">
        <v>3372.755109714878</v>
      </c>
      <c r="O92" s="303">
        <f>N92+'02'!O92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135.18986424063846</v>
      </c>
      <c r="E93" s="138">
        <f t="shared" si="7"/>
        <v>0.88241581775876399</v>
      </c>
      <c r="F93" s="134">
        <v>16.288611111111109</v>
      </c>
      <c r="G93" s="110">
        <f t="shared" si="8"/>
        <v>7.7113888888888908</v>
      </c>
      <c r="H93" s="138">
        <f t="shared" si="9"/>
        <v>0.67869212962962955</v>
      </c>
      <c r="I93" s="134">
        <f>IFERROR(O93/K93,0)</f>
        <v>144.80399190974401</v>
      </c>
      <c r="J93" s="138">
        <f t="shared" si="10"/>
        <v>0.94516947445354405</v>
      </c>
      <c r="K93" s="134">
        <f>F93+'02'!K93</f>
        <v>64.288611111111109</v>
      </c>
      <c r="L93" s="178">
        <f>G93+'02'!L93</f>
        <v>7.7113888888888908</v>
      </c>
      <c r="M93" s="139">
        <f t="shared" si="11"/>
        <v>0.89289737654320989</v>
      </c>
      <c r="N93" s="716">
        <v>2202.0551247796661</v>
      </c>
      <c r="O93" s="303">
        <f>N93+'02'!O93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45.230000000000004</v>
      </c>
      <c r="E94" s="746">
        <f t="shared" si="7"/>
        <v>0.75383333333333336</v>
      </c>
      <c r="F94" s="765">
        <v>15</v>
      </c>
      <c r="G94" s="521">
        <f t="shared" si="8"/>
        <v>9</v>
      </c>
      <c r="H94" s="746">
        <f t="shared" si="9"/>
        <v>0.625</v>
      </c>
      <c r="I94" s="765">
        <f>IFERROR(O94/K94,0)</f>
        <v>80.693749999999994</v>
      </c>
      <c r="J94" s="746">
        <f t="shared" si="10"/>
        <v>1.3448958333333332</v>
      </c>
      <c r="K94" s="765">
        <f>F94+'02'!K94</f>
        <v>32</v>
      </c>
      <c r="L94" s="869">
        <f>G94+'02'!L94</f>
        <v>40</v>
      </c>
      <c r="M94" s="880">
        <f t="shared" si="11"/>
        <v>0.44444444444444442</v>
      </c>
      <c r="N94" s="966">
        <f>E111+E120+E121+E122</f>
        <v>678.45</v>
      </c>
      <c r="O94" s="871">
        <f>N94+'02'!O94</f>
        <v>2582.1999999999998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53.240000000000009</v>
      </c>
      <c r="E95" s="444">
        <f>IFERROR(D95/C95,0)</f>
        <v>0</v>
      </c>
      <c r="F95" s="443">
        <v>4</v>
      </c>
      <c r="G95" s="387">
        <f>24-F95</f>
        <v>20</v>
      </c>
      <c r="H95" s="444">
        <f>F95/24</f>
        <v>0.16666666666666666</v>
      </c>
      <c r="I95" s="443">
        <f>IFERROR(O95/K95,0)</f>
        <v>127.72571428571428</v>
      </c>
      <c r="J95" s="444">
        <f>IFERROR(I95/C95,0)</f>
        <v>0</v>
      </c>
      <c r="K95" s="443">
        <f>F95+'02'!K95</f>
        <v>7</v>
      </c>
      <c r="L95" s="554">
        <f>G95+'02'!L95</f>
        <v>65</v>
      </c>
      <c r="M95" s="723">
        <f>K95/(24*3)</f>
        <v>9.7222222222222224E-2</v>
      </c>
      <c r="N95" s="967">
        <f>E112+E114+E115+E118+E119</f>
        <v>212.96000000000004</v>
      </c>
      <c r="O95" s="713">
        <f>N95+'02'!O95</f>
        <v>894.07999999999993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4863</v>
      </c>
      <c r="E100" s="89">
        <f>E101+E110</f>
        <v>4995.2099999999991</v>
      </c>
      <c r="F100" s="90">
        <f t="shared" ref="F100:F122" si="14">IFERROR((E100/D100),0)</f>
        <v>1.0271869216533003</v>
      </c>
      <c r="G100" s="88">
        <f>G101+G110</f>
        <v>16453</v>
      </c>
      <c r="H100" s="89">
        <f>H101+H110</f>
        <v>17432.679999999993</v>
      </c>
      <c r="I100" s="90">
        <f t="shared" ref="I100:I122" si="15">IFERROR((H100/G100),0)</f>
        <v>1.0595441560809575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4863</v>
      </c>
      <c r="E101" s="98">
        <f>SUM(E102:E109)</f>
        <v>4083.7999999999988</v>
      </c>
      <c r="F101" s="99">
        <f t="shared" si="14"/>
        <v>0.83976968949208286</v>
      </c>
      <c r="G101" s="169">
        <f>SUM(G102:G109)</f>
        <v>10782</v>
      </c>
      <c r="H101" s="98">
        <f>SUM(H102:H109)</f>
        <v>13936.399999999994</v>
      </c>
      <c r="I101" s="99">
        <f t="shared" si="15"/>
        <v>1.292561676868855</v>
      </c>
      <c r="J101" s="1148"/>
      <c r="K101" s="1149"/>
      <c r="L101" s="197" t="s">
        <v>82</v>
      </c>
      <c r="M101" s="255">
        <v>65</v>
      </c>
      <c r="N101" s="197" t="s">
        <v>82</v>
      </c>
      <c r="O101" s="255">
        <v>84.69</v>
      </c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D102+'02'!G102</f>
        <v>0</v>
      </c>
      <c r="H102" s="110">
        <f>E102+'02'!H102</f>
        <v>0</v>
      </c>
      <c r="I102" s="138">
        <f t="shared" si="15"/>
        <v>0</v>
      </c>
      <c r="J102" s="1148"/>
      <c r="K102" s="1150"/>
      <c r="N102" s="253"/>
      <c r="O102" s="253"/>
      <c r="P102" s="143"/>
      <c r="T102" s="93"/>
    </row>
    <row r="103" spans="1:20">
      <c r="A103" s="254" t="s">
        <v>262</v>
      </c>
      <c r="B103" s="825" t="s">
        <v>9</v>
      </c>
      <c r="C103" s="149">
        <f>'01'!C103</f>
        <v>11500</v>
      </c>
      <c r="D103" s="165">
        <v>345</v>
      </c>
      <c r="E103" s="166">
        <v>0</v>
      </c>
      <c r="F103" s="138">
        <f t="shared" si="14"/>
        <v>0</v>
      </c>
      <c r="G103" s="742">
        <f>D103+'02'!G103</f>
        <v>805</v>
      </c>
      <c r="H103" s="168">
        <f>E103+'02'!H103</f>
        <v>0</v>
      </c>
      <c r="I103" s="138">
        <f t="shared" si="15"/>
        <v>0</v>
      </c>
      <c r="J103" s="1187"/>
      <c r="K103" s="1188"/>
      <c r="L103" s="253"/>
      <c r="M103" s="253"/>
      <c r="N103" s="148"/>
      <c r="O103" s="148"/>
      <c r="P103" s="143"/>
      <c r="T103" s="93"/>
    </row>
    <row r="104" spans="1:20" outlineLevel="1">
      <c r="A104" s="254" t="s">
        <v>159</v>
      </c>
      <c r="B104" s="825" t="s">
        <v>9</v>
      </c>
      <c r="C104" s="149">
        <f>'01'!C104</f>
        <v>127150</v>
      </c>
      <c r="D104" s="134">
        <v>4430</v>
      </c>
      <c r="E104" s="110">
        <v>3369.6499999999987</v>
      </c>
      <c r="F104" s="138">
        <f t="shared" si="14"/>
        <v>0.76064334085778751</v>
      </c>
      <c r="G104" s="134">
        <f>D104+'02'!G104</f>
        <v>9614</v>
      </c>
      <c r="H104" s="110">
        <f>E104+'02'!H104</f>
        <v>11545.899999999994</v>
      </c>
      <c r="I104" s="138">
        <f t="shared" si="15"/>
        <v>1.2009465363012268</v>
      </c>
      <c r="J104" s="1148"/>
      <c r="K104" s="1150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825" t="s">
        <v>9</v>
      </c>
      <c r="C105" s="149">
        <f>'01'!C105</f>
        <v>0</v>
      </c>
      <c r="D105" s="134">
        <v>0</v>
      </c>
      <c r="E105" s="110">
        <v>23.8</v>
      </c>
      <c r="F105" s="138">
        <f t="shared" si="14"/>
        <v>0</v>
      </c>
      <c r="G105" s="134">
        <f>D105+'02'!G105</f>
        <v>0</v>
      </c>
      <c r="H105" s="110">
        <f>E105+'02'!H105</f>
        <v>451.65000000000003</v>
      </c>
      <c r="I105" s="138">
        <f t="shared" si="15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>
      <c r="A106" s="123" t="s">
        <v>254</v>
      </c>
      <c r="B106" s="825" t="s">
        <v>9</v>
      </c>
      <c r="C106" s="149">
        <f>'01'!C106</f>
        <v>0</v>
      </c>
      <c r="D106" s="134">
        <v>0</v>
      </c>
      <c r="E106" s="110">
        <v>298.09999999999997</v>
      </c>
      <c r="F106" s="138">
        <f t="shared" si="14"/>
        <v>0</v>
      </c>
      <c r="G106" s="134">
        <f>D106+'02'!G106</f>
        <v>0</v>
      </c>
      <c r="H106" s="110">
        <f>E106+'02'!H106</f>
        <v>1087.5999999999999</v>
      </c>
      <c r="I106" s="138">
        <f t="shared" si="15"/>
        <v>0</v>
      </c>
      <c r="J106" s="1148"/>
      <c r="K106" s="1150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825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D107+'02'!G107</f>
        <v>0</v>
      </c>
      <c r="H107" s="110">
        <f>E107+'02'!H107</f>
        <v>0</v>
      </c>
      <c r="I107" s="138">
        <f t="shared" si="15"/>
        <v>0</v>
      </c>
      <c r="J107" s="1148"/>
      <c r="K107" s="1150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825" t="s">
        <v>9</v>
      </c>
      <c r="C108" s="149">
        <f>'01'!C108</f>
        <v>3558</v>
      </c>
      <c r="D108" s="134">
        <v>63</v>
      </c>
      <c r="E108" s="110">
        <v>342.59999999999997</v>
      </c>
      <c r="F108" s="138">
        <f t="shared" si="14"/>
        <v>5.4380952380952374</v>
      </c>
      <c r="G108" s="134">
        <f>D108+'02'!G108</f>
        <v>313</v>
      </c>
      <c r="H108" s="110">
        <f>E108+'02'!H108</f>
        <v>569.65</v>
      </c>
      <c r="I108" s="138">
        <f t="shared" si="15"/>
        <v>1.8199680511182108</v>
      </c>
      <c r="J108" s="797"/>
      <c r="K108" s="798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825" t="s">
        <v>9</v>
      </c>
      <c r="C109" s="149">
        <f>'01'!C109</f>
        <v>1100</v>
      </c>
      <c r="D109" s="134">
        <v>25</v>
      </c>
      <c r="E109" s="110">
        <v>49.65</v>
      </c>
      <c r="F109" s="138">
        <f t="shared" si="14"/>
        <v>1.986</v>
      </c>
      <c r="G109" s="134">
        <f>D109+'02'!G109</f>
        <v>50</v>
      </c>
      <c r="H109" s="110">
        <f>E109+'02'!H109</f>
        <v>281.59999999999997</v>
      </c>
      <c r="I109" s="138">
        <f t="shared" si="15"/>
        <v>5.6319999999999997</v>
      </c>
      <c r="J109" s="797"/>
      <c r="K109" s="798"/>
      <c r="L109" s="253"/>
      <c r="M109" s="253"/>
      <c r="N109" s="143"/>
      <c r="R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1723</v>
      </c>
      <c r="E110" s="98">
        <f>SUM(E111:E122)</f>
        <v>911.41000000000008</v>
      </c>
      <c r="F110" s="1053">
        <f>IFERROR((E110/D110),0)</f>
        <v>0.52896691816598962</v>
      </c>
      <c r="G110" s="1051">
        <f>SUM(G111:G122)</f>
        <v>5671</v>
      </c>
      <c r="H110" s="98">
        <f>SUM(H111:H122)</f>
        <v>3496.2799999999997</v>
      </c>
      <c r="I110" s="1053">
        <f>IFERROR((H110/G110),0)</f>
        <v>0.61651913242814316</v>
      </c>
      <c r="J110" s="797"/>
      <c r="K110" s="798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344.9</v>
      </c>
      <c r="F111" s="138">
        <f>IFERROR((E111/D111),0)</f>
        <v>0</v>
      </c>
      <c r="G111" s="134">
        <f>D111+'02'!G111</f>
        <v>0</v>
      </c>
      <c r="H111" s="110">
        <f>E111+'02'!H111</f>
        <v>892.55</v>
      </c>
      <c r="I111" s="138">
        <f>IFERROR((H111/G111),0)</f>
        <v>0</v>
      </c>
      <c r="J111" s="1148"/>
      <c r="K111" s="1150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212.96000000000004</v>
      </c>
      <c r="F112" s="138">
        <f>IFERROR((E112/D112),0)</f>
        <v>0</v>
      </c>
      <c r="G112" s="134">
        <f>D112+'02'!G112</f>
        <v>0</v>
      </c>
      <c r="H112" s="110">
        <f>E112+'02'!H112</f>
        <v>894.07999999999993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20</v>
      </c>
      <c r="F113" s="138">
        <f t="shared" si="14"/>
        <v>0</v>
      </c>
      <c r="G113" s="134">
        <f>D113+'02'!G113</f>
        <v>0</v>
      </c>
      <c r="H113" s="110">
        <f>E113+'02'!H113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 outlineLevel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D114+'02'!G114</f>
        <v>48</v>
      </c>
      <c r="H114" s="110">
        <f>E114+'02'!H114</f>
        <v>0</v>
      </c>
      <c r="I114" s="167">
        <f t="shared" si="15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 outlineLevel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D115+'02'!G115</f>
        <v>0</v>
      </c>
      <c r="H115" s="110">
        <f>E115+'02'!H115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 outlineLevel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D116+'02'!G116</f>
        <v>0</v>
      </c>
      <c r="H116" s="110">
        <f>E116+'02'!H116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 outlineLevel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D117+'02'!G117</f>
        <v>0</v>
      </c>
      <c r="H117" s="110">
        <f>E117+'02'!H117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 outlineLevel="1">
      <c r="A118" s="254" t="s">
        <v>222</v>
      </c>
      <c r="B118" s="119" t="s">
        <v>9</v>
      </c>
      <c r="C118" s="149">
        <f>'01'!C118</f>
        <v>10700</v>
      </c>
      <c r="D118" s="134">
        <v>325</v>
      </c>
      <c r="E118" s="110">
        <v>0</v>
      </c>
      <c r="F118" s="138">
        <f t="shared" si="14"/>
        <v>0</v>
      </c>
      <c r="G118" s="134">
        <f>D118+'02'!G118</f>
        <v>1065</v>
      </c>
      <c r="H118" s="110">
        <f>E118+'02'!H118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 outlineLevel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D119+'02'!G119</f>
        <v>0</v>
      </c>
      <c r="H119" s="110">
        <f>E119+'02'!H119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 outlineLevel="1">
      <c r="A120" s="254" t="s">
        <v>256</v>
      </c>
      <c r="B120" s="119" t="s">
        <v>9</v>
      </c>
      <c r="C120" s="149">
        <f>'01'!C120</f>
        <v>22152</v>
      </c>
      <c r="D120" s="134">
        <v>982</v>
      </c>
      <c r="E120" s="110">
        <v>0</v>
      </c>
      <c r="F120" s="138">
        <f t="shared" si="14"/>
        <v>0</v>
      </c>
      <c r="G120" s="134">
        <f>D120+'02'!G120</f>
        <v>2134</v>
      </c>
      <c r="H120" s="110">
        <f>E120+'02'!H120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 outlineLevel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D121+'02'!G121</f>
        <v>272</v>
      </c>
      <c r="H121" s="110">
        <f>E121+'02'!H121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 outlineLevel="1">
      <c r="A122" s="246" t="s">
        <v>206</v>
      </c>
      <c r="B122" s="119" t="s">
        <v>9</v>
      </c>
      <c r="C122" s="149">
        <f>'01'!C122</f>
        <v>18120</v>
      </c>
      <c r="D122" s="134">
        <v>400</v>
      </c>
      <c r="E122" s="110">
        <v>333.55</v>
      </c>
      <c r="F122" s="138">
        <f t="shared" si="14"/>
        <v>0.83387500000000003</v>
      </c>
      <c r="G122" s="134">
        <f>D122+'02'!G122</f>
        <v>2152</v>
      </c>
      <c r="H122" s="110">
        <f>E122+'02'!H122</f>
        <v>1689.6499999999999</v>
      </c>
      <c r="I122" s="138">
        <f t="shared" si="15"/>
        <v>0.78515334572490703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672.82112786625567</v>
      </c>
      <c r="K125" s="305">
        <f>N92+N93</f>
        <v>5574.8102344945437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978">
        <v>40.5</v>
      </c>
      <c r="E126" s="268">
        <v>45.843542181638952</v>
      </c>
      <c r="F126" s="157">
        <f>IFERROR(E126/D126,0)</f>
        <v>1.1319393131268878</v>
      </c>
      <c r="G126" s="204">
        <v>40.5</v>
      </c>
      <c r="H126" s="200">
        <v>41.317300648563766</v>
      </c>
      <c r="I126" s="157">
        <f>IFERROR(H126/G126,0)</f>
        <v>1.0201802629275003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978">
        <v>17</v>
      </c>
      <c r="E127" s="268">
        <v>14.604871356390822</v>
      </c>
      <c r="F127" s="157">
        <f t="shared" ref="F127:F132" si="16">IFERROR(E127/D127,0)</f>
        <v>0.85911007978769538</v>
      </c>
      <c r="G127" s="204">
        <v>17</v>
      </c>
      <c r="H127" s="200">
        <v>18.078160108715114</v>
      </c>
      <c r="I127" s="157">
        <f t="shared" ref="I127:I132" si="17">IFERROR(H127/G127,0)</f>
        <v>1.0634211828655948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978">
        <v>3</v>
      </c>
      <c r="E128" s="268">
        <f>P131</f>
        <v>2.7172373867297339</v>
      </c>
      <c r="F128" s="157">
        <f t="shared" si="16"/>
        <v>0.90574579557657797</v>
      </c>
      <c r="G128" s="204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978">
        <v>21</v>
      </c>
      <c r="E129" s="268">
        <v>19.899319935450251</v>
      </c>
      <c r="F129" s="157">
        <f t="shared" si="16"/>
        <v>0.94758666359286914</v>
      </c>
      <c r="G129" s="204">
        <v>21</v>
      </c>
      <c r="H129" s="200">
        <v>19.375661696679366</v>
      </c>
      <c r="I129" s="157">
        <f t="shared" si="17"/>
        <v>0.92265055698473175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978">
        <v>42</v>
      </c>
      <c r="E130" s="268">
        <v>24.919108136600506</v>
      </c>
      <c r="F130" s="157">
        <f t="shared" si="16"/>
        <v>0.59331209849048827</v>
      </c>
      <c r="G130" s="204">
        <v>42</v>
      </c>
      <c r="H130" s="200">
        <v>25.096957461931634</v>
      </c>
      <c r="I130" s="157">
        <f t="shared" si="17"/>
        <v>0.59754660623646749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978">
        <v>35</v>
      </c>
      <c r="E131" s="256">
        <v>1.4423878042911495</v>
      </c>
      <c r="F131" s="157">
        <f t="shared" si="16"/>
        <v>4.1211080122604271E-2</v>
      </c>
      <c r="G131" s="204">
        <v>35</v>
      </c>
      <c r="H131" s="200">
        <v>8.4153761103360463</v>
      </c>
      <c r="I131" s="157">
        <f t="shared" si="17"/>
        <v>0.24043931743817276</v>
      </c>
      <c r="J131" s="178">
        <f>F5</f>
        <v>6335.2598477857</v>
      </c>
      <c r="K131" s="110">
        <v>697.34602007044703</v>
      </c>
      <c r="L131" s="316">
        <f>IFERROR(K131/J131,0)</f>
        <v>0.11007378336883583</v>
      </c>
      <c r="M131" s="110">
        <v>5900</v>
      </c>
      <c r="N131" s="704">
        <f>M131+'02'!N131</f>
        <v>17700</v>
      </c>
      <c r="O131" s="110">
        <f>M131*4.184*K131/1000</f>
        <v>17214.404913051028</v>
      </c>
      <c r="P131" s="628">
        <f>IFERROR(O131/J131,0)</f>
        <v>2.7172373867297339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979">
        <v>100.69</v>
      </c>
      <c r="E132" s="682">
        <v>56.426705861272644</v>
      </c>
      <c r="F132" s="684">
        <f t="shared" si="16"/>
        <v>0.56040029656641821</v>
      </c>
      <c r="G132" s="975">
        <v>100.69</v>
      </c>
      <c r="H132" s="683">
        <v>62.891705392843363</v>
      </c>
      <c r="I132" s="684">
        <f t="shared" si="17"/>
        <v>0.62460726380815734</v>
      </c>
      <c r="N132" s="728" t="s">
        <v>188</v>
      </c>
      <c r="O132" s="704">
        <f>O131+'02'!O132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132576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40.288611111111109</v>
      </c>
      <c r="M135" s="366">
        <f>SUM(M136:M140)</f>
        <v>132576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J136" s="479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0.43083333333333329</v>
      </c>
      <c r="M137" s="362">
        <f>$N$134*N137/100</f>
        <v>1417.7247223160666</v>
      </c>
      <c r="N137" s="369">
        <f>IFERROR(L137*$O$135/$L$135,0)</f>
        <v>1.0693675494177428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171">
        <f>D140+E140+F140+G140</f>
        <v>0</v>
      </c>
      <c r="K139" s="370" t="s">
        <v>159</v>
      </c>
      <c r="L139" s="376">
        <v>24.000555555555554</v>
      </c>
      <c r="M139" s="362">
        <f>$N$134*N139/100</f>
        <v>78977.596039685872</v>
      </c>
      <c r="N139" s="369">
        <f>IFERROR(L139*$O$135/$L$135,0)</f>
        <v>59.571563510504063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172"/>
      <c r="K140" s="371" t="s">
        <v>192</v>
      </c>
      <c r="L140" s="762">
        <v>15.857222222222223</v>
      </c>
      <c r="M140" s="372">
        <f>$N$134*N140/100</f>
        <v>52180.679237998069</v>
      </c>
      <c r="N140" s="373">
        <f>IFERROR(L140*$O$135/$L$135,0)</f>
        <v>39.359068940078195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171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172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8086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172"/>
      <c r="K144" s="365"/>
      <c r="L144" s="366">
        <f>SUM(L145:L150)</f>
        <v>13.173611111111111</v>
      </c>
      <c r="M144" s="366">
        <f>SUM(M145:M150)</f>
        <v>8086</v>
      </c>
      <c r="N144" s="367"/>
      <c r="O144" s="382">
        <v>100</v>
      </c>
    </row>
    <row r="145" spans="1:14">
      <c r="A145" s="123" t="s">
        <v>190</v>
      </c>
      <c r="B145" s="344">
        <f>F19</f>
        <v>3372.755109714878</v>
      </c>
      <c r="C145" s="337">
        <v>261.68309023009408</v>
      </c>
      <c r="D145" s="340"/>
      <c r="E145" s="340"/>
      <c r="F145" s="337">
        <v>0</v>
      </c>
      <c r="G145" s="337">
        <v>0</v>
      </c>
      <c r="H145" s="337">
        <v>3148.1723256916471</v>
      </c>
      <c r="I145" s="333">
        <f t="shared" si="18"/>
        <v>3409.855415921741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7.7587337864033643E-2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0.93341266213596619</v>
      </c>
      <c r="I146" s="326">
        <f t="shared" si="18"/>
        <v>1.0109999999999999</v>
      </c>
      <c r="J146" s="1172"/>
      <c r="K146" s="370" t="s">
        <v>86</v>
      </c>
      <c r="L146" s="376">
        <v>13.173611111111111</v>
      </c>
      <c r="M146" s="362">
        <f>$N$143*N146/100</f>
        <v>8086</v>
      </c>
      <c r="N146" s="369">
        <f>IFERROR(L146*$O$144/$L$144,0)</f>
        <v>100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3372.755109714878</v>
      </c>
      <c r="C149" s="349">
        <f t="shared" si="24"/>
        <v>261.68309023009408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3148.1723256916471</v>
      </c>
      <c r="I149" s="324">
        <f t="shared" si="24"/>
        <v>3409.855415921741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7.7587337864033643E-2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0.93341266213596619</v>
      </c>
      <c r="I150" s="326">
        <f>SUM(C150:H150)</f>
        <v>1.0109999999999999</v>
      </c>
      <c r="K150" s="374"/>
      <c r="L150" s="375"/>
      <c r="M150" s="372"/>
      <c r="N150" s="373"/>
    </row>
  </sheetData>
  <mergeCells count="113">
    <mergeCell ref="K142:N142"/>
    <mergeCell ref="O62:P62"/>
    <mergeCell ref="O63:P63"/>
    <mergeCell ref="O49:P49"/>
    <mergeCell ref="O50:P50"/>
    <mergeCell ref="O52:P52"/>
    <mergeCell ref="O53:P53"/>
    <mergeCell ref="O59:P59"/>
    <mergeCell ref="O67:P67"/>
    <mergeCell ref="N129:P129"/>
    <mergeCell ref="O69:P69"/>
    <mergeCell ref="O70:P70"/>
    <mergeCell ref="O71:P71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J101:K101"/>
    <mergeCell ref="J102:K102"/>
    <mergeCell ref="J103:K103"/>
    <mergeCell ref="J104:K104"/>
    <mergeCell ref="J114:K114"/>
    <mergeCell ref="L99:M99"/>
    <mergeCell ref="N99:O99"/>
    <mergeCell ref="J105:K105"/>
    <mergeCell ref="J106:K106"/>
    <mergeCell ref="J107:K107"/>
    <mergeCell ref="J111:K111"/>
    <mergeCell ref="O66:P66"/>
    <mergeCell ref="K133:N133"/>
    <mergeCell ref="A123:I123"/>
    <mergeCell ref="A124:A125"/>
    <mergeCell ref="B124:B125"/>
    <mergeCell ref="C124:C125"/>
    <mergeCell ref="D124:F124"/>
    <mergeCell ref="G124:I124"/>
    <mergeCell ref="J112:K112"/>
    <mergeCell ref="O9:P9"/>
    <mergeCell ref="O10:P10"/>
    <mergeCell ref="O68:P68"/>
    <mergeCell ref="O72:P72"/>
    <mergeCell ref="O73:P73"/>
    <mergeCell ref="O60:P60"/>
    <mergeCell ref="A97:A99"/>
    <mergeCell ref="B97:B99"/>
    <mergeCell ref="C97:C99"/>
    <mergeCell ref="D97:F98"/>
    <mergeCell ref="G97:I98"/>
    <mergeCell ref="O23:P23"/>
    <mergeCell ref="O38:P38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47:P47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30:P30"/>
    <mergeCell ref="O22:P22"/>
    <mergeCell ref="B78:B79"/>
    <mergeCell ref="C78:C79"/>
    <mergeCell ref="D78:H78"/>
    <mergeCell ref="I78:M78"/>
    <mergeCell ref="P78:P79"/>
    <mergeCell ref="N78:O78"/>
    <mergeCell ref="A96:K96"/>
    <mergeCell ref="O64:P64"/>
    <mergeCell ref="O65:P65"/>
    <mergeCell ref="J129:J130"/>
    <mergeCell ref="K129:L129"/>
    <mergeCell ref="A136:A138"/>
    <mergeCell ref="B136:B137"/>
    <mergeCell ref="C136:I136"/>
    <mergeCell ref="J139:J140"/>
    <mergeCell ref="J141:J142"/>
    <mergeCell ref="O5:P5"/>
    <mergeCell ref="O6:P6"/>
    <mergeCell ref="O7:P7"/>
    <mergeCell ref="O8:P8"/>
    <mergeCell ref="A77:P77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21:P21"/>
    <mergeCell ref="A78:A7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0" tint="-0.14999847407452621"/>
    <pageSetUpPr fitToPage="1"/>
  </sheetPr>
  <dimension ref="A1:Z150"/>
  <sheetViews>
    <sheetView view="pageBreakPreview" zoomScale="70" zoomScaleNormal="40" zoomScaleSheetLayoutView="70" workbookViewId="0">
      <pane xSplit="2" ySplit="4" topLeftCell="C102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60.14062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04 ",Q1)</f>
        <v>Ежедневный отчет производства и отгрузки за 04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26800</v>
      </c>
      <c r="H5" s="89">
        <f t="shared" si="0"/>
        <v>16874.071396806572</v>
      </c>
      <c r="I5" s="90">
        <f>IFERROR((H5/G5),0)</f>
        <v>0.62962952973158848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118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E6+'03'!G6</f>
        <v>0</v>
      </c>
      <c r="H6" s="110">
        <f>F6+'03'!H6</f>
        <v>0</v>
      </c>
      <c r="I6" s="138"/>
      <c r="J6" s="750"/>
      <c r="K6" s="124">
        <f>J6+'03'!K6</f>
        <v>0</v>
      </c>
      <c r="L6" s="149">
        <f>D6+H6-K6-M6-N6</f>
        <v>15952.919765534218</v>
      </c>
      <c r="M6" s="101"/>
      <c r="N6" s="101">
        <v>0</v>
      </c>
      <c r="O6" s="1133"/>
      <c r="P6" s="1134"/>
      <c r="Q6" s="592"/>
      <c r="R6" s="590"/>
      <c r="S6" s="700"/>
      <c r="T6" s="118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F7+'03'!H7</f>
        <v>0</v>
      </c>
      <c r="I7" s="138"/>
      <c r="J7" s="750"/>
      <c r="K7" s="124">
        <f>J7+'03'!K7</f>
        <v>0</v>
      </c>
      <c r="L7" s="149">
        <f>D7+H7-K7-M7-N7</f>
        <v>0</v>
      </c>
      <c r="M7" s="101"/>
      <c r="N7" s="101"/>
      <c r="O7" s="1199"/>
      <c r="P7" s="1200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96"/>
      <c r="D8" s="96">
        <f>'01'!D8</f>
        <v>0</v>
      </c>
      <c r="E8" s="97"/>
      <c r="F8" s="98"/>
      <c r="G8" s="98"/>
      <c r="H8" s="110">
        <f>F8+'03'!H8</f>
        <v>0</v>
      </c>
      <c r="I8" s="138"/>
      <c r="J8" s="947"/>
      <c r="K8" s="124">
        <f>J8+'03'!K8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s="120" customFormat="1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E9+'03'!G9</f>
        <v>26800</v>
      </c>
      <c r="H9" s="98">
        <f>F9+'03'!H9</f>
        <v>16874.071396806572</v>
      </c>
      <c r="I9" s="138">
        <f>IFERROR((H9/G9),0)</f>
        <v>0.62962952973158848</v>
      </c>
      <c r="J9" s="177">
        <f>J10+J11+J12+J13</f>
        <v>0</v>
      </c>
      <c r="K9" s="100">
        <f>J9+'03'!K9</f>
        <v>17027.103675312697</v>
      </c>
      <c r="L9" s="96">
        <f>D9+H9-K9+M9+N9</f>
        <v>126919.26148290596</v>
      </c>
      <c r="M9" s="102"/>
      <c r="N9" s="102">
        <v>0</v>
      </c>
      <c r="O9" s="1201"/>
      <c r="P9" s="1202"/>
      <c r="Q9" s="592">
        <v>-23266.571785975502</v>
      </c>
      <c r="R9" s="590">
        <f>J9-Q9</f>
        <v>23266.571785975502</v>
      </c>
      <c r="S9" s="618"/>
      <c r="T9" s="1000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E10+'03'!G10</f>
        <v>0</v>
      </c>
      <c r="H10" s="110">
        <f>F10+'03'!H10</f>
        <v>16874.071396806572</v>
      </c>
      <c r="I10" s="138"/>
      <c r="J10" s="178">
        <v>0</v>
      </c>
      <c r="K10" s="124">
        <f>J10+'03'!K10</f>
        <v>17027.103675312697</v>
      </c>
      <c r="L10" s="149">
        <f>D10+H10-K10+M10-N10</f>
        <v>56147.241630851277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E11+'03'!G11</f>
        <v>0</v>
      </c>
      <c r="H11" s="110">
        <f>F11+'03'!H11</f>
        <v>0</v>
      </c>
      <c r="I11" s="138"/>
      <c r="J11" s="178">
        <v>0</v>
      </c>
      <c r="K11" s="124">
        <f>J11+'03'!K11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E12+'03'!G12</f>
        <v>0</v>
      </c>
      <c r="H12" s="110">
        <f>F12+'03'!H12</f>
        <v>0</v>
      </c>
      <c r="I12" s="757">
        <f>IFERROR((H12/G12),0)</f>
        <v>0</v>
      </c>
      <c r="J12" s="178"/>
      <c r="K12" s="124">
        <f>J12+'03'!K12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E13+'03'!G13</f>
        <v>0</v>
      </c>
      <c r="H13" s="110">
        <f>F13+'03'!H13</f>
        <v>0</v>
      </c>
      <c r="I13" s="138"/>
      <c r="J13" s="178"/>
      <c r="K13" s="124">
        <f>J13+'03'!K13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6606.9999999999991</v>
      </c>
      <c r="F14" s="89">
        <f>SUM(F15:F21)</f>
        <v>0</v>
      </c>
      <c r="G14" s="89">
        <f>SUM(G15:G21)</f>
        <v>23009.999999999996</v>
      </c>
      <c r="H14" s="89">
        <f>SUM(H15:H21)</f>
        <v>18857.68830004807</v>
      </c>
      <c r="I14" s="90">
        <f t="shared" ref="I14:I21" si="1">IFERROR((H14/G14),0)</f>
        <v>0.81954316818983364</v>
      </c>
      <c r="J14" s="749">
        <f>SUM(J15:J21)</f>
        <v>2251.6200000000003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123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110">
        <f>E15+'03'!G15</f>
        <v>0</v>
      </c>
      <c r="H15" s="110">
        <f>F15+'03'!H15</f>
        <v>0</v>
      </c>
      <c r="I15" s="138">
        <f t="shared" si="1"/>
        <v>0</v>
      </c>
      <c r="J15" s="178">
        <v>0</v>
      </c>
      <c r="K15" s="124">
        <f>J15+'03'!K15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1502.4285479901559</v>
      </c>
      <c r="F16" s="110">
        <v>0</v>
      </c>
      <c r="G16" s="110">
        <f>E16+'03'!G16</f>
        <v>5232.4626743232166</v>
      </c>
      <c r="H16" s="110">
        <f>F16+'03'!H16</f>
        <v>3228.5002277343951</v>
      </c>
      <c r="I16" s="758">
        <f t="shared" si="1"/>
        <v>0.61701352282498212</v>
      </c>
      <c r="J16" s="751">
        <f>IFERROR(SUMIF(A101:A114,A16,E101:E114),0)+E111+E112+E113</f>
        <v>426.61999999999995</v>
      </c>
      <c r="K16" s="124">
        <f>J16+'03'!K16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09">
        <v>0</v>
      </c>
      <c r="G17" s="110">
        <f>E17+'03'!G17</f>
        <v>0</v>
      </c>
      <c r="H17" s="110">
        <f>F17+'03'!H17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J17+'03'!K17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>
        <v>0</v>
      </c>
      <c r="G18" s="110">
        <f>E18+'03'!G18</f>
        <v>0</v>
      </c>
      <c r="H18" s="110">
        <f>F18+'03'!H18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J18+'03'!K18</f>
        <v>0</v>
      </c>
      <c r="L18" s="127">
        <f t="shared" si="2"/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4937.9736977030352</v>
      </c>
      <c r="F19" s="131">
        <v>0</v>
      </c>
      <c r="G19" s="110">
        <f>E19+'03'!G19</f>
        <v>17197.332342083675</v>
      </c>
      <c r="H19" s="110">
        <f>F19+'03'!H19</f>
        <v>15629.188072313675</v>
      </c>
      <c r="I19" s="759">
        <f t="shared" si="1"/>
        <v>0.90881467901084945</v>
      </c>
      <c r="J19" s="751">
        <f>IFERROR(SUMIF(A102:A115,A19,E102:E115),0)+E117+E115+E122</f>
        <v>1568.0500000000006</v>
      </c>
      <c r="K19" s="124">
        <f>J19+'03'!K19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120.52761484823625</v>
      </c>
      <c r="F20" s="110">
        <v>0</v>
      </c>
      <c r="G20" s="110">
        <f>E20+'03'!G20</f>
        <v>419.75789581624281</v>
      </c>
      <c r="H20" s="110">
        <f>F20+'03'!H20</f>
        <v>0</v>
      </c>
      <c r="I20" s="138">
        <f t="shared" si="1"/>
        <v>0</v>
      </c>
      <c r="J20" s="751">
        <f>IFERROR(SUMIF(A102:A115,A20,E102:E115),0)</f>
        <v>256.95</v>
      </c>
      <c r="K20" s="124">
        <f>J20+'03'!K20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46.070139458572598</v>
      </c>
      <c r="F21" s="110">
        <v>0</v>
      </c>
      <c r="G21" s="110">
        <f>E21+'03'!G21</f>
        <v>160.44708777686628</v>
      </c>
      <c r="H21" s="110">
        <f>F21+'03'!H21</f>
        <v>0</v>
      </c>
      <c r="I21" s="138">
        <f t="shared" si="1"/>
        <v>0</v>
      </c>
      <c r="J21" s="751">
        <f>IFERROR(SUMIF(A102:A115,A21,E102:E115),0)</f>
        <v>0</v>
      </c>
      <c r="K21" s="124">
        <f>J21+'03'!K21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E22+'03'!G22</f>
        <v>0</v>
      </c>
      <c r="H22" s="110">
        <f>F22+'03'!H22</f>
        <v>2130.1044634377968</v>
      </c>
      <c r="I22" s="99"/>
      <c r="J22" s="751">
        <f>IFERROR(SUMIF(A103:A123,A22,E103:E123),0)+E109</f>
        <v>23.95</v>
      </c>
      <c r="K22" s="124">
        <f>J22+'03'!K22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E23+'03'!G23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J23+'03'!K23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E24+'03'!G24</f>
        <v>0</v>
      </c>
      <c r="H24" s="110">
        <f>F24+'03'!H24</f>
        <v>0</v>
      </c>
      <c r="I24" s="99"/>
      <c r="J24" s="752">
        <v>0</v>
      </c>
      <c r="K24" s="124">
        <f>J24+'03'!K24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E25+'03'!G25</f>
        <v>0</v>
      </c>
      <c r="H25" s="110">
        <f>F25+'03'!H25</f>
        <v>0</v>
      </c>
      <c r="I25" s="99"/>
      <c r="J25" s="752">
        <v>0</v>
      </c>
      <c r="K25" s="124">
        <f>J25+'03'!K25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E26+'03'!G26</f>
        <v>0</v>
      </c>
      <c r="H26" s="110">
        <f>F26+'03'!H26</f>
        <v>0</v>
      </c>
      <c r="I26" s="99"/>
      <c r="J26" s="752">
        <v>0</v>
      </c>
      <c r="K26" s="124">
        <f>J26+'03'!K26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E27+'03'!G27</f>
        <v>0</v>
      </c>
      <c r="H27" s="110">
        <f>F27+'03'!H27</f>
        <v>0</v>
      </c>
      <c r="I27" s="99"/>
      <c r="J27" s="752"/>
      <c r="K27" s="124">
        <f>J27+'03'!K27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E28+'03'!G28</f>
        <v>0</v>
      </c>
      <c r="H28" s="110">
        <f>F28+'03'!H28</f>
        <v>0</v>
      </c>
      <c r="I28" s="99"/>
      <c r="J28" s="752"/>
      <c r="K28" s="124">
        <f>J28+'03'!K28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E29+'03'!G29</f>
        <v>0</v>
      </c>
      <c r="H29" s="110">
        <f>F29+'03'!H29</f>
        <v>0</v>
      </c>
      <c r="I29" s="99"/>
      <c r="J29" s="752"/>
      <c r="K29" s="124">
        <f>J29+'03'!K29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E30+'03'!G30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100.32</v>
      </c>
      <c r="K30" s="100">
        <f>J30+'03'!K30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E31+'03'!G31</f>
        <v>0</v>
      </c>
      <c r="H31" s="110">
        <f>F31+'03'!H31</f>
        <v>0</v>
      </c>
      <c r="I31" s="99"/>
      <c r="J31" s="865">
        <v>0</v>
      </c>
      <c r="K31" s="124">
        <f>J31+'03'!K31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E32+'03'!G32</f>
        <v>0</v>
      </c>
      <c r="H32" s="110">
        <f>F32+'03'!H32</f>
        <v>554.40000000000009</v>
      </c>
      <c r="I32" s="99"/>
      <c r="J32" s="865">
        <v>100.32</v>
      </c>
      <c r="K32" s="124">
        <f>J32+'03'!K32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E33+'03'!G33</f>
        <v>0</v>
      </c>
      <c r="H33" s="110">
        <f>F33+'03'!H33</f>
        <v>0</v>
      </c>
      <c r="I33" s="99"/>
      <c r="J33" s="865">
        <v>0</v>
      </c>
      <c r="K33" s="124">
        <f>J33+'03'!K33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E34+'03'!G34</f>
        <v>0</v>
      </c>
      <c r="H34" s="110">
        <f>F34+'03'!H34</f>
        <v>0</v>
      </c>
      <c r="I34" s="99"/>
      <c r="J34" s="865"/>
      <c r="K34" s="124">
        <f>J34+'03'!K34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E35+'03'!G35</f>
        <v>0</v>
      </c>
      <c r="H35" s="110">
        <f>F35+'03'!H35</f>
        <v>0</v>
      </c>
      <c r="I35" s="99"/>
      <c r="J35" s="865"/>
      <c r="K35" s="124">
        <f>J35+'03'!K35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E36+'03'!G36</f>
        <v>0</v>
      </c>
      <c r="H36" s="110">
        <f>F36+'03'!H36</f>
        <v>0</v>
      </c>
      <c r="I36" s="99"/>
      <c r="J36" s="110">
        <v>0</v>
      </c>
      <c r="K36" s="124">
        <f>J36+'03'!K36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E37+'03'!G37</f>
        <v>0</v>
      </c>
      <c r="H37" s="110">
        <f>F37+'03'!H37</f>
        <v>0</v>
      </c>
      <c r="I37" s="99"/>
      <c r="J37" s="110">
        <v>0</v>
      </c>
      <c r="K37" s="124">
        <f>J37+'03'!K37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0" s="120" customFormat="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E38+'03'!G38</f>
        <v>19865.562201006487</v>
      </c>
      <c r="H38" s="676">
        <f>F38+'03'!H38</f>
        <v>9132.5707721894778</v>
      </c>
      <c r="I38" s="760">
        <f>IFERROR((H38/G38),0)</f>
        <v>0.45971871723453045</v>
      </c>
      <c r="J38" s="753">
        <f>SUM(J39:J40)</f>
        <v>0</v>
      </c>
      <c r="K38" s="677">
        <f>J38+'03'!K38</f>
        <v>9083.5707721894778</v>
      </c>
      <c r="L38" s="311">
        <f>D38+H38-K38</f>
        <v>1805.9829593932955</v>
      </c>
      <c r="M38" s="198"/>
      <c r="N38" s="117"/>
      <c r="O38" s="1203"/>
      <c r="P38" s="1126"/>
      <c r="Q38" s="595"/>
      <c r="R38" s="590"/>
      <c r="S38" s="618"/>
      <c r="T38" s="93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F39+'03'!H39</f>
        <v>6840.5707721894778</v>
      </c>
      <c r="I39" s="138"/>
      <c r="J39" s="750">
        <f>F39</f>
        <v>0</v>
      </c>
      <c r="K39" s="124">
        <f>J39+'03'!K39</f>
        <v>6840.5707721894778</v>
      </c>
      <c r="L39" s="149">
        <f>D39+H39-K39</f>
        <v>0</v>
      </c>
      <c r="M39" s="198"/>
      <c r="N39" s="117"/>
      <c r="O39" s="1125"/>
      <c r="P39" s="1126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71">
        <v>0</v>
      </c>
      <c r="G40" s="110"/>
      <c r="H40" s="110">
        <f>F40+'03'!H40</f>
        <v>2292</v>
      </c>
      <c r="I40" s="138"/>
      <c r="J40" s="178">
        <v>0</v>
      </c>
      <c r="K40" s="124">
        <f>J40+'03'!K40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F41+'03'!H41</f>
        <v>0</v>
      </c>
      <c r="I41" s="138"/>
      <c r="J41" s="178"/>
      <c r="K41" s="124">
        <f>J41+'03'!K41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F42+'03'!H42</f>
        <v>0</v>
      </c>
      <c r="I42" s="138"/>
      <c r="J42" s="178"/>
      <c r="K42" s="124">
        <f>J42+'03'!K42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E43+'03'!G43</f>
        <v>12880.25050623256</v>
      </c>
      <c r="H43" s="110">
        <f>F43+'03'!H43</f>
        <v>8403.7999999999993</v>
      </c>
      <c r="I43" s="138">
        <f>IFERROR((H43/G43),0)</f>
        <v>0.65245625432001708</v>
      </c>
      <c r="J43" s="178">
        <f>F43</f>
        <v>0</v>
      </c>
      <c r="K43" s="124">
        <f>J43+'03'!K43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E44+'03'!G44</f>
        <v>5446.257745166854</v>
      </c>
      <c r="H44" s="110">
        <f>F44+'03'!H44</f>
        <v>7255</v>
      </c>
      <c r="I44" s="138">
        <f>IFERROR((H44/G44),0)</f>
        <v>1.3321073550803337</v>
      </c>
      <c r="J44" s="178">
        <v>0</v>
      </c>
      <c r="K44" s="124">
        <f>J44+'03'!K44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F45+'03'!H45</f>
        <v>0</v>
      </c>
      <c r="I45" s="138"/>
      <c r="J45" s="178"/>
      <c r="K45" s="124">
        <f>J45+'03'!K45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F46+'03'!H46</f>
        <v>0</v>
      </c>
      <c r="I46" s="138"/>
      <c r="J46" s="178"/>
      <c r="K46" s="124">
        <f>J46+'03'!K46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F47+'03'!H47</f>
        <v>0</v>
      </c>
      <c r="I47" s="138"/>
      <c r="J47" s="178"/>
      <c r="K47" s="124">
        <f>J47+'03'!K47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E48+'03'!G48</f>
        <v>31821.795368339266</v>
      </c>
      <c r="H48" s="110">
        <f>F48+'03'!H48</f>
        <v>15244.370772189477</v>
      </c>
      <c r="I48" s="138">
        <f>IFERROR((H48/G48),0)</f>
        <v>0.47905439010385603</v>
      </c>
      <c r="J48" s="750">
        <v>0</v>
      </c>
      <c r="K48" s="124">
        <f>J48+'03'!K48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118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11500</v>
      </c>
      <c r="F49" s="110">
        <f>SUM(F50:F51)</f>
        <v>0</v>
      </c>
      <c r="G49" s="110">
        <f>SUM(G50:G51)</f>
        <v>46000</v>
      </c>
      <c r="H49" s="110">
        <f>SUM(H50:H51)</f>
        <v>32176.186994748638</v>
      </c>
      <c r="I49" s="138">
        <f>IFERROR((H49/G49),0)</f>
        <v>0.69948232597279647</v>
      </c>
      <c r="J49" s="178">
        <f>SUM(J50:J51)</f>
        <v>0</v>
      </c>
      <c r="K49" s="124">
        <f>J49+'03'!K49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E50+'03'!G50</f>
        <v>0</v>
      </c>
      <c r="H50" s="110">
        <f>F50+'03'!H50</f>
        <v>0</v>
      </c>
      <c r="I50" s="138">
        <f>IFERROR((H50/G50),0)</f>
        <v>0</v>
      </c>
      <c r="J50" s="178"/>
      <c r="K50" s="124">
        <f>J50+'03'!K50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11500</v>
      </c>
      <c r="F51" s="110">
        <v>0</v>
      </c>
      <c r="G51" s="110">
        <f>E51+'03'!G51</f>
        <v>46000</v>
      </c>
      <c r="H51" s="110">
        <f>F51+'03'!H51</f>
        <v>32176.186994748638</v>
      </c>
      <c r="I51" s="138">
        <f>IFERROR((H51/G51),0)</f>
        <v>0.69948232597279647</v>
      </c>
      <c r="J51" s="178">
        <f>O51-P51</f>
        <v>0</v>
      </c>
      <c r="K51" s="124">
        <f>J51+'03'!K51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E53+'03'!G53</f>
        <v>0</v>
      </c>
      <c r="H53" s="110">
        <f>F53+'03'!H53</f>
        <v>0</v>
      </c>
      <c r="I53" s="759">
        <f t="shared" ref="I53:I58" si="4">IFERROR((H53/G53),0)</f>
        <v>0</v>
      </c>
      <c r="J53" s="754"/>
      <c r="K53" s="124">
        <f>J53+'03'!K53</f>
        <v>0</v>
      </c>
      <c r="L53" s="127">
        <f t="shared" ref="L53:L58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E54+'03'!G54</f>
        <v>1290.3225806451612</v>
      </c>
      <c r="H54" s="110">
        <f>F54+'03'!H54</f>
        <v>0</v>
      </c>
      <c r="I54" s="759">
        <f t="shared" si="4"/>
        <v>0</v>
      </c>
      <c r="J54" s="754">
        <v>0</v>
      </c>
      <c r="K54" s="124">
        <f>J54+'03'!K54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E55+'03'!G55</f>
        <v>2193.5483870967741</v>
      </c>
      <c r="H55" s="110">
        <f>F55+'03'!H55</f>
        <v>0</v>
      </c>
      <c r="I55" s="759">
        <f t="shared" si="4"/>
        <v>0</v>
      </c>
      <c r="J55" s="754">
        <v>0</v>
      </c>
      <c r="K55" s="124">
        <f>J55+'03'!K55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E56+'03'!G56</f>
        <v>0</v>
      </c>
      <c r="H56" s="110">
        <f>F56+'03'!H56</f>
        <v>0</v>
      </c>
      <c r="I56" s="759">
        <f t="shared" si="4"/>
        <v>0</v>
      </c>
      <c r="J56" s="754"/>
      <c r="K56" s="124">
        <f>J56+'03'!K56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E57+'03'!G57</f>
        <v>0</v>
      </c>
      <c r="H57" s="110">
        <f>F57+'03'!H57</f>
        <v>0</v>
      </c>
      <c r="I57" s="759">
        <f t="shared" si="4"/>
        <v>0</v>
      </c>
      <c r="J57" s="754"/>
      <c r="K57" s="124">
        <f>J57+'03'!K57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E58+'03'!G58</f>
        <v>0</v>
      </c>
      <c r="H58" s="110">
        <f>F58+'03'!H58</f>
        <v>0</v>
      </c>
      <c r="I58" s="759">
        <f t="shared" si="4"/>
        <v>0</v>
      </c>
      <c r="J58" s="754">
        <v>0</v>
      </c>
      <c r="K58" s="124">
        <f>J58+'03'!K58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F59+'03'!H59</f>
        <v>0</v>
      </c>
      <c r="I59" s="759"/>
      <c r="J59" s="754"/>
      <c r="K59" s="124">
        <f>J59+'03'!K59</f>
        <v>0</v>
      </c>
      <c r="L59" s="127">
        <f t="shared" ref="L59:L66" si="6">D59+H59-K59</f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F60+'03'!H60</f>
        <v>0</v>
      </c>
      <c r="I60" s="759"/>
      <c r="J60" s="754"/>
      <c r="K60" s="124">
        <f>J60+'03'!K60</f>
        <v>0</v>
      </c>
      <c r="L60" s="127">
        <f t="shared" si="6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F61+'03'!H61</f>
        <v>0</v>
      </c>
      <c r="I61" s="759"/>
      <c r="J61" s="754">
        <f>D139+D141</f>
        <v>0</v>
      </c>
      <c r="K61" s="124">
        <f>J61+'03'!K61</f>
        <v>0</v>
      </c>
      <c r="L61" s="127">
        <f t="shared" si="6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F62+'03'!H62</f>
        <v>0</v>
      </c>
      <c r="I62" s="522"/>
      <c r="J62" s="754">
        <v>0</v>
      </c>
      <c r="K62" s="523">
        <f>J62+'03'!K62</f>
        <v>0</v>
      </c>
      <c r="L62" s="127">
        <f t="shared" si="6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F63+'03'!H63</f>
        <v>3329.1499999999996</v>
      </c>
      <c r="I63" s="1059"/>
      <c r="J63" s="1068">
        <v>0</v>
      </c>
      <c r="K63" s="668">
        <f>J63+'03'!K63</f>
        <v>2011.9747735336571</v>
      </c>
      <c r="L63" s="149">
        <f t="shared" si="6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F64+'03'!H64</f>
        <v>0</v>
      </c>
      <c r="I64" s="522"/>
      <c r="J64" s="754"/>
      <c r="K64" s="523">
        <f>J64+'03'!K64</f>
        <v>0</v>
      </c>
      <c r="L64" s="127">
        <f t="shared" si="6"/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t="18.75" hidden="1" customHeight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F65+'03'!H65</f>
        <v>0</v>
      </c>
      <c r="I65" s="759"/>
      <c r="J65" s="754"/>
      <c r="K65" s="124">
        <f>J65+'03'!K65</f>
        <v>0</v>
      </c>
      <c r="L65" s="127">
        <f t="shared" si="6"/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F66+'03'!H66</f>
        <v>0</v>
      </c>
      <c r="I66" s="759"/>
      <c r="J66" s="754"/>
      <c r="K66" s="124">
        <f>J66+'03'!K66</f>
        <v>0</v>
      </c>
      <c r="L66" s="127">
        <f t="shared" si="6"/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F67+'03'!H67</f>
        <v>0</v>
      </c>
      <c r="I67" s="759"/>
      <c r="J67" s="754"/>
      <c r="K67" s="124">
        <f>J67+'03'!K67</f>
        <v>0</v>
      </c>
      <c r="L67" s="127">
        <f t="shared" ref="L67:L73" si="7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F68+'03'!H68</f>
        <v>0</v>
      </c>
      <c r="I68" s="759"/>
      <c r="J68" s="754"/>
      <c r="K68" s="124">
        <f>J68+'03'!K68</f>
        <v>0</v>
      </c>
      <c r="L68" s="127">
        <f t="shared" si="7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F69+'03'!H69</f>
        <v>0</v>
      </c>
      <c r="I69" s="759"/>
      <c r="J69" s="754">
        <v>0</v>
      </c>
      <c r="K69" s="124">
        <f>J69+'03'!K69</f>
        <v>2011.9747735336571</v>
      </c>
      <c r="L69" s="127">
        <f t="shared" si="7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>
        <v>0</v>
      </c>
      <c r="G70" s="110"/>
      <c r="H70" s="110">
        <f>F70+'03'!H70</f>
        <v>3329.1499999999996</v>
      </c>
      <c r="I70" s="759"/>
      <c r="J70" s="754"/>
      <c r="K70" s="124">
        <f>J70+'03'!K70</f>
        <v>0</v>
      </c>
      <c r="L70" s="127">
        <f t="shared" si="7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F71+'03'!H71</f>
        <v>0</v>
      </c>
      <c r="I71" s="759"/>
      <c r="J71" s="754"/>
      <c r="K71" s="124">
        <f>J71+'03'!K71</f>
        <v>0</v>
      </c>
      <c r="L71" s="127">
        <f t="shared" si="7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F72+'03'!H72</f>
        <v>1911.376034856974</v>
      </c>
      <c r="I72" s="388"/>
      <c r="J72" s="756">
        <f>K131</f>
        <v>0</v>
      </c>
      <c r="K72" s="395">
        <f>J72+'03'!K72</f>
        <v>1866.56160653087</v>
      </c>
      <c r="L72" s="552">
        <f t="shared" si="7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F73+'03'!H73</f>
        <v>0</v>
      </c>
      <c r="I73" s="934"/>
      <c r="J73" s="931"/>
      <c r="K73" s="935">
        <f>J73+'03'!K73</f>
        <v>0</v>
      </c>
      <c r="L73" s="936">
        <f t="shared" si="7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8">IFERROR(D80/C80,0)</f>
        <v>0</v>
      </c>
      <c r="F80" s="136">
        <v>0</v>
      </c>
      <c r="G80" s="137">
        <f t="shared" ref="G80:G94" si="9">24-F80</f>
        <v>24</v>
      </c>
      <c r="H80" s="138">
        <f t="shared" ref="H80:H94" si="10">F80/24</f>
        <v>0</v>
      </c>
      <c r="I80" s="134" t="e">
        <v>#DIV/0!</v>
      </c>
      <c r="J80" s="138">
        <f t="shared" ref="J80:J94" si="11">IFERROR(I80/C80,0)</f>
        <v>0</v>
      </c>
      <c r="K80" s="136">
        <v>0</v>
      </c>
      <c r="L80" s="137">
        <f>24*4-K80</f>
        <v>96</v>
      </c>
      <c r="M80" s="139">
        <f t="shared" ref="M80:M94" si="12">K80/(24*4)</f>
        <v>0</v>
      </c>
      <c r="N80" s="965"/>
      <c r="O80" s="302">
        <f>N80+'03'!O80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8"/>
        <v>0</v>
      </c>
      <c r="F81" s="136">
        <v>0</v>
      </c>
      <c r="G81" s="137">
        <f t="shared" si="9"/>
        <v>24</v>
      </c>
      <c r="H81" s="138">
        <f t="shared" si="10"/>
        <v>0</v>
      </c>
      <c r="I81" s="134" t="e">
        <v>#DIV/0!</v>
      </c>
      <c r="J81" s="138">
        <f t="shared" si="11"/>
        <v>0</v>
      </c>
      <c r="K81" s="136">
        <v>0</v>
      </c>
      <c r="L81" s="137">
        <f>24*4-K81</f>
        <v>96</v>
      </c>
      <c r="M81" s="139">
        <f t="shared" si="12"/>
        <v>0</v>
      </c>
      <c r="N81" s="965"/>
      <c r="O81" s="302">
        <f>N81+'03'!O81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3">IFERROR(N82/F82,0)</f>
        <v>0</v>
      </c>
      <c r="E82" s="138">
        <f t="shared" si="8"/>
        <v>0</v>
      </c>
      <c r="F82" s="134">
        <v>0</v>
      </c>
      <c r="G82" s="110">
        <f t="shared" si="9"/>
        <v>24</v>
      </c>
      <c r="H82" s="138">
        <f t="shared" si="10"/>
        <v>0</v>
      </c>
      <c r="I82" s="134">
        <f t="shared" ref="I82:I90" si="14">IFERROR(O82/K82,0)</f>
        <v>43.535460826585258</v>
      </c>
      <c r="J82" s="138">
        <f t="shared" si="11"/>
        <v>0.96745468503522791</v>
      </c>
      <c r="K82" s="134">
        <f>F82+'03'!K82</f>
        <v>43.903888888888886</v>
      </c>
      <c r="L82" s="110">
        <f>24*4-K82</f>
        <v>52.096111111111114</v>
      </c>
      <c r="M82" s="139">
        <f t="shared" si="12"/>
        <v>0.4573321759259259</v>
      </c>
      <c r="N82" s="716">
        <v>0</v>
      </c>
      <c r="O82" s="303">
        <f>N82+'03'!O82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3"/>
        <v>0</v>
      </c>
      <c r="E83" s="138">
        <f t="shared" si="8"/>
        <v>0</v>
      </c>
      <c r="F83" s="134">
        <v>0</v>
      </c>
      <c r="G83" s="110">
        <f t="shared" si="9"/>
        <v>24</v>
      </c>
      <c r="H83" s="138">
        <f t="shared" si="10"/>
        <v>0</v>
      </c>
      <c r="I83" s="134">
        <f t="shared" si="14"/>
        <v>498.27193460328596</v>
      </c>
      <c r="J83" s="138">
        <f t="shared" si="11"/>
        <v>0.9965438692065719</v>
      </c>
      <c r="K83" s="134">
        <f>F83+'03'!K83</f>
        <v>64.575555555555553</v>
      </c>
      <c r="L83" s="134">
        <f>G83+'03'!L83</f>
        <v>31.424444444444443</v>
      </c>
      <c r="M83" s="139">
        <f t="shared" si="12"/>
        <v>0.67266203703703698</v>
      </c>
      <c r="N83" s="716">
        <v>0</v>
      </c>
      <c r="O83" s="303">
        <f>N83+'03'!O83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3"/>
        <v>0</v>
      </c>
      <c r="E84" s="138">
        <f t="shared" si="8"/>
        <v>0</v>
      </c>
      <c r="F84" s="134">
        <v>0</v>
      </c>
      <c r="G84" s="110">
        <f t="shared" si="9"/>
        <v>24</v>
      </c>
      <c r="H84" s="138">
        <f t="shared" si="10"/>
        <v>0</v>
      </c>
      <c r="I84" s="134">
        <f t="shared" si="14"/>
        <v>259.69099144791005</v>
      </c>
      <c r="J84" s="138">
        <f t="shared" si="11"/>
        <v>0</v>
      </c>
      <c r="K84" s="134">
        <f>F84+'03'!K84</f>
        <v>64.977499999999992</v>
      </c>
      <c r="L84" s="134">
        <f>G84+'03'!L84</f>
        <v>31.022500000000001</v>
      </c>
      <c r="M84" s="139">
        <f t="shared" si="12"/>
        <v>0.67684895833333325</v>
      </c>
      <c r="N84" s="716">
        <v>0</v>
      </c>
      <c r="O84" s="303">
        <f>N84+'03'!O84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t="15" hidden="1" customHeight="1" outlineLevel="1">
      <c r="A85" s="132" t="s">
        <v>55</v>
      </c>
      <c r="B85" s="106" t="s">
        <v>17</v>
      </c>
      <c r="C85" s="133">
        <f>'01'!C85</f>
        <v>0</v>
      </c>
      <c r="D85" s="134">
        <f t="shared" si="13"/>
        <v>0</v>
      </c>
      <c r="E85" s="138">
        <f t="shared" si="8"/>
        <v>0</v>
      </c>
      <c r="F85" s="134">
        <v>0</v>
      </c>
      <c r="G85" s="110">
        <f t="shared" si="9"/>
        <v>24</v>
      </c>
      <c r="H85" s="138">
        <f t="shared" si="10"/>
        <v>0</v>
      </c>
      <c r="I85" s="134">
        <f t="shared" si="14"/>
        <v>0</v>
      </c>
      <c r="J85" s="138">
        <f t="shared" si="11"/>
        <v>0</v>
      </c>
      <c r="K85" s="134">
        <f>F85+'03'!K85</f>
        <v>0</v>
      </c>
      <c r="L85" s="134">
        <f>G85+'03'!L85</f>
        <v>96</v>
      </c>
      <c r="M85" s="139">
        <f t="shared" si="12"/>
        <v>0</v>
      </c>
      <c r="N85" s="965">
        <v>0</v>
      </c>
      <c r="O85" s="303">
        <f>N85+'03'!O85</f>
        <v>0</v>
      </c>
      <c r="P85" s="719"/>
      <c r="Q85" s="140"/>
      <c r="R85" s="140"/>
      <c r="T85" s="93"/>
    </row>
    <row r="86" spans="1:20" hidden="1" outlineLevel="1">
      <c r="A86" s="132" t="s">
        <v>56</v>
      </c>
      <c r="B86" s="106" t="s">
        <v>17</v>
      </c>
      <c r="C86" s="141">
        <v>37</v>
      </c>
      <c r="D86" s="134">
        <f t="shared" si="13"/>
        <v>0</v>
      </c>
      <c r="E86" s="138">
        <f t="shared" si="8"/>
        <v>0</v>
      </c>
      <c r="F86" s="134">
        <v>0</v>
      </c>
      <c r="G86" s="110">
        <f t="shared" si="9"/>
        <v>24</v>
      </c>
      <c r="H86" s="138">
        <f t="shared" si="10"/>
        <v>0</v>
      </c>
      <c r="I86" s="134">
        <f t="shared" si="14"/>
        <v>0</v>
      </c>
      <c r="J86" s="138">
        <f t="shared" si="11"/>
        <v>0</v>
      </c>
      <c r="K86" s="134">
        <f>F86+'02'!K86</f>
        <v>0</v>
      </c>
      <c r="L86" s="134">
        <f>G86+'02'!L86</f>
        <v>72</v>
      </c>
      <c r="M86" s="139">
        <f t="shared" ref="M86:M91" si="15">K86/(24*3)</f>
        <v>0</v>
      </c>
      <c r="N86" s="965">
        <v>0</v>
      </c>
      <c r="O86" s="303">
        <f>N86+'02'!O86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41">
        <v>37</v>
      </c>
      <c r="D87" s="134">
        <f t="shared" si="13"/>
        <v>0</v>
      </c>
      <c r="E87" s="138">
        <f t="shared" si="8"/>
        <v>0</v>
      </c>
      <c r="F87" s="134">
        <v>0</v>
      </c>
      <c r="G87" s="110">
        <f t="shared" si="9"/>
        <v>24</v>
      </c>
      <c r="H87" s="138">
        <f t="shared" si="10"/>
        <v>0</v>
      </c>
      <c r="I87" s="134">
        <f t="shared" si="14"/>
        <v>0</v>
      </c>
      <c r="J87" s="138">
        <f t="shared" si="11"/>
        <v>0</v>
      </c>
      <c r="K87" s="134">
        <f>F87+'02'!K87</f>
        <v>0</v>
      </c>
      <c r="L87" s="134">
        <f>G87+'02'!L87</f>
        <v>72</v>
      </c>
      <c r="M87" s="139">
        <f t="shared" si="15"/>
        <v>0</v>
      </c>
      <c r="N87" s="965">
        <v>0</v>
      </c>
      <c r="O87" s="302">
        <f>N87+'02'!O87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3"/>
        <v>0</v>
      </c>
      <c r="E88" s="138">
        <f t="shared" si="8"/>
        <v>0</v>
      </c>
      <c r="F88" s="134">
        <v>0</v>
      </c>
      <c r="G88" s="110">
        <f t="shared" si="9"/>
        <v>24</v>
      </c>
      <c r="H88" s="138">
        <f t="shared" si="10"/>
        <v>0</v>
      </c>
      <c r="I88" s="134">
        <f t="shared" si="14"/>
        <v>0</v>
      </c>
      <c r="J88" s="138">
        <f t="shared" si="11"/>
        <v>0</v>
      </c>
      <c r="K88" s="134">
        <f>F88+'02'!K88</f>
        <v>0</v>
      </c>
      <c r="L88" s="134">
        <f>G88+'02'!L88</f>
        <v>72</v>
      </c>
      <c r="M88" s="139">
        <f t="shared" si="15"/>
        <v>0</v>
      </c>
      <c r="N88" s="716">
        <v>0</v>
      </c>
      <c r="O88" s="303">
        <f>N88+'02'!O88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33">
        <f>'01'!C89</f>
        <v>47</v>
      </c>
      <c r="D89" s="134">
        <f t="shared" si="13"/>
        <v>0</v>
      </c>
      <c r="E89" s="138">
        <f t="shared" si="8"/>
        <v>0</v>
      </c>
      <c r="F89" s="134">
        <v>0</v>
      </c>
      <c r="G89" s="110">
        <f t="shared" si="9"/>
        <v>24</v>
      </c>
      <c r="H89" s="138">
        <f t="shared" si="10"/>
        <v>0</v>
      </c>
      <c r="I89" s="134">
        <f t="shared" si="14"/>
        <v>41.420860547642825</v>
      </c>
      <c r="J89" s="138">
        <f t="shared" si="11"/>
        <v>0.88129490526899623</v>
      </c>
      <c r="K89" s="134">
        <f>F89+'02'!K89</f>
        <v>1.6950000000000001</v>
      </c>
      <c r="L89" s="134">
        <f>G89+'03'!L89</f>
        <v>94.305000000000007</v>
      </c>
      <c r="M89" s="139">
        <f t="shared" si="15"/>
        <v>2.3541666666666669E-2</v>
      </c>
      <c r="N89" s="1001">
        <v>0</v>
      </c>
      <c r="O89" s="303">
        <f>N89+'02'!O89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33">
        <f>'01'!C90</f>
        <v>47</v>
      </c>
      <c r="D90" s="134">
        <f t="shared" si="13"/>
        <v>0</v>
      </c>
      <c r="E90" s="138">
        <f t="shared" si="8"/>
        <v>0</v>
      </c>
      <c r="F90" s="134">
        <v>0</v>
      </c>
      <c r="G90" s="110">
        <f t="shared" si="9"/>
        <v>24</v>
      </c>
      <c r="H90" s="138">
        <f t="shared" si="10"/>
        <v>0</v>
      </c>
      <c r="I90" s="134">
        <f t="shared" si="14"/>
        <v>48.591763261195744</v>
      </c>
      <c r="J90" s="138">
        <f t="shared" si="11"/>
        <v>1.0338673034296968</v>
      </c>
      <c r="K90" s="134">
        <f>F90+'03'!K90</f>
        <v>32.664166666666674</v>
      </c>
      <c r="L90" s="134">
        <f>G90+'03'!L90</f>
        <v>63.335833333333326</v>
      </c>
      <c r="M90" s="139">
        <f t="shared" si="15"/>
        <v>0.4536689814814816</v>
      </c>
      <c r="N90" s="1001">
        <v>0</v>
      </c>
      <c r="O90" s="303">
        <f>N90+'03'!O90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41">
        <f>'01'!C91</f>
        <v>0</v>
      </c>
      <c r="D91" s="134">
        <f>IFERROR(N91/F91,0)</f>
        <v>0</v>
      </c>
      <c r="E91" s="138">
        <f t="shared" si="8"/>
        <v>0</v>
      </c>
      <c r="F91" s="134">
        <v>0</v>
      </c>
      <c r="G91" s="110">
        <f t="shared" si="9"/>
        <v>24</v>
      </c>
      <c r="H91" s="138">
        <f t="shared" si="10"/>
        <v>0</v>
      </c>
      <c r="I91" s="134">
        <f>IFERROR(O91/K91,0)</f>
        <v>0</v>
      </c>
      <c r="J91" s="138">
        <f t="shared" si="11"/>
        <v>0</v>
      </c>
      <c r="K91" s="134">
        <f>F91+'02'!K91</f>
        <v>0</v>
      </c>
      <c r="L91" s="134">
        <f>G91+'03'!L91</f>
        <v>96</v>
      </c>
      <c r="M91" s="139">
        <f t="shared" si="15"/>
        <v>0</v>
      </c>
      <c r="N91" s="716">
        <v>0</v>
      </c>
      <c r="O91" s="303">
        <f>N91+'02'!O91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8"/>
        <v>0</v>
      </c>
      <c r="F92" s="134">
        <v>0</v>
      </c>
      <c r="G92" s="110">
        <f t="shared" si="9"/>
        <v>24</v>
      </c>
      <c r="H92" s="138">
        <f t="shared" si="10"/>
        <v>0</v>
      </c>
      <c r="I92" s="134">
        <f>IFERROR(O92/K92,0)</f>
        <v>140.11316982515353</v>
      </c>
      <c r="J92" s="138">
        <f t="shared" si="11"/>
        <v>0.89583581578868565</v>
      </c>
      <c r="K92" s="134">
        <f>F92+'03'!K92</f>
        <v>71.521666666666675</v>
      </c>
      <c r="L92" s="134">
        <f>G92+'03'!L92</f>
        <v>24.478333333333332</v>
      </c>
      <c r="M92" s="139">
        <f t="shared" si="12"/>
        <v>0.74501736111111116</v>
      </c>
      <c r="N92" s="716">
        <v>0</v>
      </c>
      <c r="O92" s="303">
        <f>N92+'03'!O92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8"/>
        <v>0</v>
      </c>
      <c r="F93" s="134">
        <v>0</v>
      </c>
      <c r="G93" s="110">
        <f t="shared" si="9"/>
        <v>24</v>
      </c>
      <c r="H93" s="138">
        <f t="shared" si="10"/>
        <v>0</v>
      </c>
      <c r="I93" s="134">
        <f>IFERROR(O93/K93,0)</f>
        <v>144.80399190974401</v>
      </c>
      <c r="J93" s="138">
        <f t="shared" si="11"/>
        <v>0.94516947445354405</v>
      </c>
      <c r="K93" s="134">
        <f>F93+'03'!K93</f>
        <v>64.288611111111109</v>
      </c>
      <c r="L93" s="134">
        <f>G93+'03'!L93</f>
        <v>31.711388888888891</v>
      </c>
      <c r="M93" s="139">
        <f t="shared" si="12"/>
        <v>0.66967303240740739</v>
      </c>
      <c r="N93" s="716">
        <v>0</v>
      </c>
      <c r="O93" s="303">
        <f>N93+'03'!O93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8"/>
        <v>0</v>
      </c>
      <c r="F94" s="765"/>
      <c r="G94" s="521">
        <f t="shared" si="9"/>
        <v>24</v>
      </c>
      <c r="H94" s="746">
        <f t="shared" si="10"/>
        <v>0</v>
      </c>
      <c r="I94" s="765">
        <f>IFERROR(O94/K94,0)</f>
        <v>89.046875</v>
      </c>
      <c r="J94" s="746">
        <f t="shared" si="11"/>
        <v>1.4841145833333333</v>
      </c>
      <c r="K94" s="765">
        <f>F94+'03'!K94</f>
        <v>32</v>
      </c>
      <c r="L94" s="765">
        <f>G94+'03'!L94</f>
        <v>64</v>
      </c>
      <c r="M94" s="880">
        <f t="shared" si="12"/>
        <v>0.33333333333333331</v>
      </c>
      <c r="N94" s="966">
        <f>E111+E120+E121+E122</f>
        <v>267.29999999999995</v>
      </c>
      <c r="O94" s="871">
        <f>N94+'03'!O94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F95+'03'!K95</f>
        <v>7</v>
      </c>
      <c r="L95" s="443">
        <f>G95+'03'!L95</f>
        <v>89</v>
      </c>
      <c r="M95" s="723">
        <f>K95/(24*4)</f>
        <v>7.2916666666666671E-2</v>
      </c>
      <c r="N95" s="967">
        <f>E112+E114+E115+E118+E119</f>
        <v>100.32</v>
      </c>
      <c r="O95" s="713">
        <f>N95+'03'!O95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L97" s="199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L98" s="19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201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4871</v>
      </c>
      <c r="E100" s="89">
        <f>E101+E110</f>
        <v>2275.5700000000006</v>
      </c>
      <c r="F100" s="90">
        <f t="shared" ref="F100:F122" si="16">IFERROR((E100/D100),0)</f>
        <v>0.46716690617942941</v>
      </c>
      <c r="G100" s="88">
        <f>G101+G110</f>
        <v>23135</v>
      </c>
      <c r="H100" s="89">
        <f>H101+H110</f>
        <v>19708.249999999993</v>
      </c>
      <c r="I100" s="90">
        <f t="shared" ref="I100:I122" si="17">IFERROR((H100/G100),0)</f>
        <v>0.85188026799221928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4871</v>
      </c>
      <c r="E101" s="98">
        <f>SUM(E102:E109)</f>
        <v>1907.9500000000007</v>
      </c>
      <c r="F101" s="99">
        <f t="shared" si="16"/>
        <v>0.39169575035926929</v>
      </c>
      <c r="G101" s="169">
        <f>SUM(G102:G109)</f>
        <v>15653</v>
      </c>
      <c r="H101" s="98">
        <f>SUM(H102:H109)</f>
        <v>15844.349999999995</v>
      </c>
      <c r="I101" s="99">
        <f t="shared" si="17"/>
        <v>1.0122244937072762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6"/>
        <v>0</v>
      </c>
      <c r="G102" s="134">
        <f>D102+'03'!G102</f>
        <v>0</v>
      </c>
      <c r="H102" s="110">
        <f>E102+'03'!H102</f>
        <v>0</v>
      </c>
      <c r="I102" s="138">
        <f t="shared" si="17"/>
        <v>0</v>
      </c>
      <c r="J102" s="1148"/>
      <c r="K102" s="1150"/>
      <c r="N102" s="253"/>
      <c r="O102" s="253"/>
      <c r="P102" s="143"/>
      <c r="T102" s="93"/>
    </row>
    <row r="103" spans="1:20">
      <c r="A103" s="254" t="s">
        <v>262</v>
      </c>
      <c r="B103" s="119" t="s">
        <v>9</v>
      </c>
      <c r="C103" s="149">
        <f>'01'!C103</f>
        <v>11500</v>
      </c>
      <c r="D103" s="134">
        <v>295</v>
      </c>
      <c r="E103" s="166">
        <v>0</v>
      </c>
      <c r="F103" s="138">
        <f t="shared" si="16"/>
        <v>0</v>
      </c>
      <c r="G103" s="445">
        <f>D103+'03'!G103</f>
        <v>1100</v>
      </c>
      <c r="H103" s="150">
        <f>E103+'03'!H103</f>
        <v>0</v>
      </c>
      <c r="I103" s="138">
        <f t="shared" si="17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4414</v>
      </c>
      <c r="E104" s="110">
        <v>1434.3500000000006</v>
      </c>
      <c r="F104" s="138">
        <f t="shared" si="16"/>
        <v>0.32495468962392399</v>
      </c>
      <c r="G104" s="134">
        <f>D104+'03'!G104</f>
        <v>14028</v>
      </c>
      <c r="H104" s="110">
        <f>E104+'03'!H104</f>
        <v>12980.249999999995</v>
      </c>
      <c r="I104" s="138">
        <f t="shared" si="17"/>
        <v>0.92531009409751885</v>
      </c>
      <c r="J104" s="1148"/>
      <c r="K104" s="1150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23.95</v>
      </c>
      <c r="F105" s="138">
        <f t="shared" si="16"/>
        <v>0</v>
      </c>
      <c r="G105" s="134">
        <f>D105+'03'!G105</f>
        <v>0</v>
      </c>
      <c r="H105" s="110">
        <f>E105+'03'!H105</f>
        <v>475.6</v>
      </c>
      <c r="I105" s="138">
        <f t="shared" si="17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192.7</v>
      </c>
      <c r="F106" s="138">
        <f t="shared" si="16"/>
        <v>0</v>
      </c>
      <c r="G106" s="445">
        <f>D106+'03'!G106</f>
        <v>0</v>
      </c>
      <c r="H106" s="146">
        <f>E106+'03'!H106</f>
        <v>1280.3</v>
      </c>
      <c r="I106" s="138">
        <f t="shared" si="17"/>
        <v>0</v>
      </c>
      <c r="J106" s="1148"/>
      <c r="K106" s="1150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6"/>
        <v>0</v>
      </c>
      <c r="G107" s="445">
        <f>D107+'03'!G107</f>
        <v>0</v>
      </c>
      <c r="H107" s="110">
        <f>E107+'03'!H107</f>
        <v>0</v>
      </c>
      <c r="I107" s="138">
        <f t="shared" si="17"/>
        <v>0</v>
      </c>
      <c r="J107" s="1148"/>
      <c r="K107" s="1150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87</v>
      </c>
      <c r="E108" s="110">
        <v>256.95</v>
      </c>
      <c r="F108" s="138">
        <f t="shared" si="16"/>
        <v>2.953448275862069</v>
      </c>
      <c r="G108" s="445">
        <f>D108+'03'!G108</f>
        <v>400</v>
      </c>
      <c r="H108" s="110">
        <f>E108+'03'!H108</f>
        <v>826.59999999999991</v>
      </c>
      <c r="I108" s="138">
        <f t="shared" si="17"/>
        <v>2.0664999999999996</v>
      </c>
      <c r="J108" s="797"/>
      <c r="K108" s="798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75</v>
      </c>
      <c r="E109" s="110">
        <v>0</v>
      </c>
      <c r="F109" s="138">
        <f t="shared" si="16"/>
        <v>0</v>
      </c>
      <c r="G109" s="445">
        <f>D109+'03'!G109</f>
        <v>125</v>
      </c>
      <c r="H109" s="110">
        <f>E109+'03'!H109</f>
        <v>281.59999999999997</v>
      </c>
      <c r="I109" s="138">
        <f t="shared" si="17"/>
        <v>2.2527999999999997</v>
      </c>
      <c r="J109" s="797"/>
      <c r="K109" s="798"/>
      <c r="L109" s="253"/>
      <c r="M109" s="253"/>
      <c r="N109" s="143"/>
      <c r="R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1811</v>
      </c>
      <c r="E110" s="98">
        <f>SUM(E111:E122)</f>
        <v>367.62</v>
      </c>
      <c r="F110" s="1053">
        <f>IFERROR((E110/D110),0)</f>
        <v>0.20299282164549973</v>
      </c>
      <c r="G110" s="1051">
        <f>SUM(G111:G122)</f>
        <v>7482</v>
      </c>
      <c r="H110" s="98">
        <f>SUM(H111:H122)</f>
        <v>3863.8999999999996</v>
      </c>
      <c r="I110" s="1053">
        <f>IFERROR((H110/G110),0)</f>
        <v>0.51642608928094091</v>
      </c>
      <c r="J110" s="797"/>
      <c r="K110" s="798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133.6</v>
      </c>
      <c r="F111" s="138">
        <f>IFERROR((E111/D111),0)</f>
        <v>0</v>
      </c>
      <c r="G111" s="134">
        <f>D111+'03'!G111</f>
        <v>0</v>
      </c>
      <c r="H111" s="110">
        <f>E111+'03'!H111</f>
        <v>1026.1499999999999</v>
      </c>
      <c r="I111" s="138">
        <f>IFERROR((H111/G111),0)</f>
        <v>0</v>
      </c>
      <c r="J111" s="1148"/>
      <c r="K111" s="1150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100.32</v>
      </c>
      <c r="F112" s="138">
        <f>IFERROR((E112/D112),0)</f>
        <v>0</v>
      </c>
      <c r="G112" s="134">
        <f>D112+'03'!G112</f>
        <v>0</v>
      </c>
      <c r="H112" s="110">
        <f>E112+'03'!H112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6"/>
        <v>0</v>
      </c>
      <c r="G113" s="134">
        <f>D113+'03'!G113</f>
        <v>0</v>
      </c>
      <c r="H113" s="110">
        <f>E113+'03'!H113</f>
        <v>20</v>
      </c>
      <c r="I113" s="138">
        <f t="shared" si="17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 outlineLevel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6"/>
        <v>0</v>
      </c>
      <c r="G114" s="134">
        <f>D114+'03'!G114</f>
        <v>64</v>
      </c>
      <c r="H114" s="110">
        <f>E114+'03'!H114</f>
        <v>0</v>
      </c>
      <c r="I114" s="167">
        <f t="shared" si="17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 outlineLevel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6"/>
        <v>0</v>
      </c>
      <c r="G115" s="134">
        <f>D115+'03'!G115</f>
        <v>0</v>
      </c>
      <c r="H115" s="110">
        <f>E115+'03'!H115</f>
        <v>0</v>
      </c>
      <c r="I115" s="138">
        <f t="shared" si="17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 outlineLevel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6"/>
        <v>0</v>
      </c>
      <c r="G116" s="134">
        <f>D116+'03'!G116</f>
        <v>0</v>
      </c>
      <c r="H116" s="110">
        <f>E116+'03'!H116</f>
        <v>0</v>
      </c>
      <c r="I116" s="138">
        <f t="shared" si="17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 outlineLevel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6"/>
        <v>0</v>
      </c>
      <c r="G117" s="134">
        <f>D117+'03'!G117</f>
        <v>0</v>
      </c>
      <c r="H117" s="110">
        <f>E117+'03'!H117</f>
        <v>0</v>
      </c>
      <c r="I117" s="138">
        <f t="shared" si="17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 outlineLevel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>
        <f t="shared" si="16"/>
        <v>0</v>
      </c>
      <c r="G118" s="134">
        <f>D118+'03'!G118</f>
        <v>1410</v>
      </c>
      <c r="H118" s="110">
        <f>E118+'03'!H118</f>
        <v>0</v>
      </c>
      <c r="I118" s="138">
        <f t="shared" si="17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 outlineLevel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6"/>
        <v>0</v>
      </c>
      <c r="G119" s="134">
        <f>D119+'03'!G119</f>
        <v>0</v>
      </c>
      <c r="H119" s="110">
        <f>E119+'03'!H119</f>
        <v>0</v>
      </c>
      <c r="I119" s="138">
        <f t="shared" si="17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 outlineLevel="1">
      <c r="A120" s="254" t="s">
        <v>256</v>
      </c>
      <c r="B120" s="119" t="s">
        <v>9</v>
      </c>
      <c r="C120" s="149">
        <f>'01'!C120</f>
        <v>22152</v>
      </c>
      <c r="D120" s="134">
        <v>778</v>
      </c>
      <c r="E120" s="110">
        <v>0</v>
      </c>
      <c r="F120" s="138">
        <f t="shared" si="16"/>
        <v>0</v>
      </c>
      <c r="G120" s="134">
        <f>D120+'03'!G120</f>
        <v>2912</v>
      </c>
      <c r="H120" s="110">
        <f>E120+'03'!H120</f>
        <v>0</v>
      </c>
      <c r="I120" s="138">
        <f t="shared" si="17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 outlineLevel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6"/>
        <v>0</v>
      </c>
      <c r="G121" s="134">
        <f>D121+'03'!G121</f>
        <v>272</v>
      </c>
      <c r="H121" s="110">
        <f>E121+'03'!H121</f>
        <v>0</v>
      </c>
      <c r="I121" s="138">
        <f t="shared" si="17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 outlineLevel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133.69999999999999</v>
      </c>
      <c r="F122" s="138">
        <f t="shared" si="16"/>
        <v>0.19895833333333332</v>
      </c>
      <c r="G122" s="134">
        <f>D122+'03'!G122</f>
        <v>2824</v>
      </c>
      <c r="H122" s="110">
        <f>E122+'03'!H122</f>
        <v>1823.35</v>
      </c>
      <c r="I122" s="138">
        <f t="shared" si="17"/>
        <v>0.64566218130311614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976">
        <v>40.5</v>
      </c>
      <c r="E126" s="268">
        <v>36.970303640120058</v>
      </c>
      <c r="F126" s="157">
        <f>IFERROR(E126/D126,0)</f>
        <v>0.91284700345975456</v>
      </c>
      <c r="G126" s="204">
        <v>40.5</v>
      </c>
      <c r="H126" s="200">
        <v>40.169075643250103</v>
      </c>
      <c r="I126" s="157">
        <f>IFERROR(H126/G126,0)</f>
        <v>0.99182902822839758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976">
        <v>17</v>
      </c>
      <c r="E127" s="268">
        <v>11.313074888568929</v>
      </c>
      <c r="F127" s="157">
        <f t="shared" ref="F127:F132" si="18">IFERROR(E127/D127,0)</f>
        <v>0.66547499344523109</v>
      </c>
      <c r="G127" s="204">
        <v>17</v>
      </c>
      <c r="H127" s="200">
        <v>16.299196430623674</v>
      </c>
      <c r="I127" s="157">
        <f t="shared" ref="I127:I132" si="19">IFERROR(H127/G127,0)</f>
        <v>0.95877626062492194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136">
        <v>3</v>
      </c>
      <c r="E128" s="256">
        <f>P131</f>
        <v>0</v>
      </c>
      <c r="F128" s="157">
        <f t="shared" si="18"/>
        <v>0</v>
      </c>
      <c r="G128" s="267">
        <v>3</v>
      </c>
      <c r="H128" s="256">
        <f>P132</f>
        <v>2.7306506005953359</v>
      </c>
      <c r="I128" s="157">
        <f t="shared" si="19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976">
        <v>21</v>
      </c>
      <c r="E129" s="268">
        <v>19.857493296720396</v>
      </c>
      <c r="F129" s="157">
        <f t="shared" si="18"/>
        <v>0.94559491889144742</v>
      </c>
      <c r="G129" s="204">
        <v>21</v>
      </c>
      <c r="H129" s="200">
        <v>19.496134889109285</v>
      </c>
      <c r="I129" s="157">
        <f t="shared" si="19"/>
        <v>0.92838737567187068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976">
        <v>42</v>
      </c>
      <c r="E130" s="268">
        <v>4.2196697096597546</v>
      </c>
      <c r="F130" s="157">
        <f t="shared" si="18"/>
        <v>0.10046832642047035</v>
      </c>
      <c r="G130" s="204">
        <v>42</v>
      </c>
      <c r="H130" s="200">
        <v>15.647711506155794</v>
      </c>
      <c r="I130" s="157">
        <f t="shared" si="19"/>
        <v>0.37256455967037605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976">
        <v>35</v>
      </c>
      <c r="E131" s="256">
        <v>13.91424287870367</v>
      </c>
      <c r="F131" s="157">
        <f t="shared" si="18"/>
        <v>0.39754979653439054</v>
      </c>
      <c r="G131" s="204">
        <v>35</v>
      </c>
      <c r="H131" s="200">
        <v>10.16380981321541</v>
      </c>
      <c r="I131" s="157">
        <f t="shared" si="19"/>
        <v>0.29039456609186887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4">
        <f>M131+'03'!N131</f>
        <v>17700</v>
      </c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977">
        <v>100.69</v>
      </c>
      <c r="E132" s="682">
        <v>48.143538014300447</v>
      </c>
      <c r="F132" s="684">
        <f t="shared" si="18"/>
        <v>0.47813624008640826</v>
      </c>
      <c r="G132" s="688">
        <v>100.69</v>
      </c>
      <c r="H132" s="683">
        <v>56.770638333547446</v>
      </c>
      <c r="I132" s="684">
        <f t="shared" si="19"/>
        <v>0.56381605257272271</v>
      </c>
      <c r="N132" s="728" t="s">
        <v>188</v>
      </c>
      <c r="O132" s="725">
        <f>'01'!O131+'02'!O131+'03'!O131+'04'!O131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  <c r="O133" s="115"/>
      <c r="P133" s="83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132162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J136" s="479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0">SUM(C139:H139)</f>
        <v>0</v>
      </c>
      <c r="J139" s="1171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1">IFERROR(C139/$B$139,0)</f>
        <v>0</v>
      </c>
      <c r="D140" s="335">
        <f t="shared" si="21"/>
        <v>0</v>
      </c>
      <c r="E140" s="335">
        <f t="shared" si="21"/>
        <v>0</v>
      </c>
      <c r="F140" s="335">
        <f t="shared" si="21"/>
        <v>0</v>
      </c>
      <c r="G140" s="335">
        <f t="shared" si="21"/>
        <v>0</v>
      </c>
      <c r="H140" s="335">
        <f t="shared" si="21"/>
        <v>0</v>
      </c>
      <c r="I140" s="326">
        <f t="shared" si="20"/>
        <v>0</v>
      </c>
      <c r="J140" s="1172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0"/>
        <v>0</v>
      </c>
      <c r="J141" s="1171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2">IFERROR(C141/$B$141,0)</f>
        <v>0</v>
      </c>
      <c r="D142" s="335">
        <f t="shared" si="22"/>
        <v>0</v>
      </c>
      <c r="E142" s="335">
        <f t="shared" si="22"/>
        <v>0</v>
      </c>
      <c r="F142" s="335">
        <f t="shared" si="22"/>
        <v>0</v>
      </c>
      <c r="G142" s="335">
        <f t="shared" si="22"/>
        <v>0</v>
      </c>
      <c r="H142" s="335">
        <f t="shared" si="22"/>
        <v>0</v>
      </c>
      <c r="I142" s="326">
        <f t="shared" si="20"/>
        <v>0</v>
      </c>
      <c r="J142" s="1172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0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100122</v>
      </c>
    </row>
    <row r="144" spans="1:20" ht="16.5" thickBot="1">
      <c r="A144" s="321"/>
      <c r="B144" s="336"/>
      <c r="C144" s="335">
        <f t="shared" ref="C144:H144" si="23">IFERROR(C143/$B$143,0)</f>
        <v>0</v>
      </c>
      <c r="D144" s="335">
        <f t="shared" si="23"/>
        <v>0</v>
      </c>
      <c r="E144" s="335">
        <f t="shared" si="23"/>
        <v>0</v>
      </c>
      <c r="F144" s="335">
        <f t="shared" si="23"/>
        <v>0</v>
      </c>
      <c r="G144" s="335">
        <f t="shared" si="23"/>
        <v>0</v>
      </c>
      <c r="H144" s="335">
        <f t="shared" si="23"/>
        <v>0</v>
      </c>
      <c r="I144" s="326">
        <f t="shared" si="20"/>
        <v>0</v>
      </c>
      <c r="J144" s="1172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0"/>
        <v>0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4">IFERROR(C145/$B$145,0)</f>
        <v>0</v>
      </c>
      <c r="D146" s="335">
        <f t="shared" si="24"/>
        <v>0</v>
      </c>
      <c r="E146" s="335">
        <f t="shared" si="24"/>
        <v>0</v>
      </c>
      <c r="F146" s="335">
        <f t="shared" si="24"/>
        <v>0</v>
      </c>
      <c r="G146" s="335">
        <f t="shared" si="24"/>
        <v>0</v>
      </c>
      <c r="H146" s="335">
        <f t="shared" si="24"/>
        <v>0</v>
      </c>
      <c r="I146" s="326">
        <f t="shared" si="20"/>
        <v>0</v>
      </c>
      <c r="J146" s="1172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0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5">IFERROR(C147/$B$147,0)</f>
        <v>0</v>
      </c>
      <c r="D148" s="335">
        <f t="shared" si="25"/>
        <v>0</v>
      </c>
      <c r="E148" s="335">
        <f t="shared" si="25"/>
        <v>0</v>
      </c>
      <c r="F148" s="335">
        <f t="shared" si="25"/>
        <v>0</v>
      </c>
      <c r="G148" s="335">
        <f t="shared" si="25"/>
        <v>0</v>
      </c>
      <c r="H148" s="335">
        <f t="shared" si="25"/>
        <v>0</v>
      </c>
      <c r="I148" s="326">
        <f t="shared" si="20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6">B139+B141+B143+B145+B147</f>
        <v>0</v>
      </c>
      <c r="C149" s="349">
        <f t="shared" si="26"/>
        <v>0</v>
      </c>
      <c r="D149" s="349">
        <f t="shared" si="26"/>
        <v>0</v>
      </c>
      <c r="E149" s="349">
        <f>E139+E141+E143+E145+E147</f>
        <v>0</v>
      </c>
      <c r="F149" s="349">
        <f t="shared" si="26"/>
        <v>0</v>
      </c>
      <c r="G149" s="349">
        <f t="shared" si="26"/>
        <v>0</v>
      </c>
      <c r="H149" s="349">
        <f t="shared" si="26"/>
        <v>0</v>
      </c>
      <c r="I149" s="324">
        <f t="shared" si="26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7">IFERROR(C149/$B$149,0)</f>
        <v>0</v>
      </c>
      <c r="D150" s="335">
        <f t="shared" si="27"/>
        <v>0</v>
      </c>
      <c r="E150" s="335">
        <f t="shared" si="27"/>
        <v>0</v>
      </c>
      <c r="F150" s="335">
        <f t="shared" si="27"/>
        <v>0</v>
      </c>
      <c r="G150" s="335">
        <f t="shared" si="27"/>
        <v>0</v>
      </c>
      <c r="H150" s="335">
        <f t="shared" si="27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K133:N133"/>
    <mergeCell ref="K142:N142"/>
    <mergeCell ref="O62:P62"/>
    <mergeCell ref="O63:P63"/>
    <mergeCell ref="O49:P49"/>
    <mergeCell ref="O50:P50"/>
    <mergeCell ref="O52:P52"/>
    <mergeCell ref="O53:P53"/>
    <mergeCell ref="O59:P59"/>
    <mergeCell ref="O67:P67"/>
    <mergeCell ref="N129:P129"/>
    <mergeCell ref="O69:P69"/>
    <mergeCell ref="O70:P70"/>
    <mergeCell ref="O71:P71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14:K114"/>
    <mergeCell ref="L99:M99"/>
    <mergeCell ref="N99:O99"/>
    <mergeCell ref="J105:K105"/>
    <mergeCell ref="J106:K106"/>
    <mergeCell ref="J107:K107"/>
    <mergeCell ref="J111:K111"/>
    <mergeCell ref="O66:P66"/>
    <mergeCell ref="A123:I123"/>
    <mergeCell ref="A124:A125"/>
    <mergeCell ref="B124:B125"/>
    <mergeCell ref="C124:C125"/>
    <mergeCell ref="D124:F124"/>
    <mergeCell ref="G124:I124"/>
    <mergeCell ref="J112:K112"/>
    <mergeCell ref="O9:P9"/>
    <mergeCell ref="O10:P10"/>
    <mergeCell ref="O68:P68"/>
    <mergeCell ref="O72:P72"/>
    <mergeCell ref="O73:P73"/>
    <mergeCell ref="O60:P60"/>
    <mergeCell ref="A97:A99"/>
    <mergeCell ref="B97:B99"/>
    <mergeCell ref="C97:C99"/>
    <mergeCell ref="D97:F98"/>
    <mergeCell ref="G97:I98"/>
    <mergeCell ref="O23:P23"/>
    <mergeCell ref="O38:P38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47:P47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30:P30"/>
    <mergeCell ref="O22:P22"/>
    <mergeCell ref="B78:B79"/>
    <mergeCell ref="C78:C79"/>
    <mergeCell ref="D78:H78"/>
    <mergeCell ref="I78:M78"/>
    <mergeCell ref="P78:P79"/>
    <mergeCell ref="N78:O78"/>
    <mergeCell ref="A96:K96"/>
    <mergeCell ref="O64:P64"/>
    <mergeCell ref="O65:P65"/>
    <mergeCell ref="J129:J130"/>
    <mergeCell ref="K129:L129"/>
    <mergeCell ref="A136:A138"/>
    <mergeCell ref="B136:B137"/>
    <mergeCell ref="C136:I136"/>
    <mergeCell ref="J139:J140"/>
    <mergeCell ref="J141:J142"/>
    <mergeCell ref="O5:P5"/>
    <mergeCell ref="O6:P6"/>
    <mergeCell ref="O7:P7"/>
    <mergeCell ref="O8:P8"/>
    <mergeCell ref="A77:P77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21:P21"/>
    <mergeCell ref="A78:A79"/>
  </mergeCells>
  <pageMargins left="0.15748031496062992" right="0.15748031496062992" top="0.23622047244094491" bottom="0.19685039370078741" header="0.23622047244094491" footer="0.19685039370078741"/>
  <pageSetup paperSize="8" scale="45" orientation="portrait" r:id="rId1"/>
  <rowBreaks count="1" manualBreakCount="1">
    <brk id="95" max="16" man="1"/>
  </row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38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05 ",Q1)</f>
        <v>Ежедневный отчет производства и отгрузки за 05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33500</v>
      </c>
      <c r="H5" s="89">
        <f t="shared" si="0"/>
        <v>16874.071396806572</v>
      </c>
      <c r="I5" s="90">
        <f>IFERROR((H5/G5),0)</f>
        <v>0.50370362378527078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97">
        <v>0</v>
      </c>
      <c r="F6" s="110"/>
      <c r="G6" s="98">
        <f>E6+'04'!G6</f>
        <v>0</v>
      </c>
      <c r="H6" s="110">
        <f>F6+'04'!H6</f>
        <v>0</v>
      </c>
      <c r="I6" s="99"/>
      <c r="J6" s="750"/>
      <c r="K6" s="124">
        <f>J6+'04'!K6</f>
        <v>0</v>
      </c>
      <c r="L6" s="149">
        <f>D6+H6-K6-M6-N6</f>
        <v>15952.919765534218</v>
      </c>
      <c r="M6" s="101"/>
      <c r="N6" s="101"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95" t="s">
        <v>9</v>
      </c>
      <c r="C7" s="96"/>
      <c r="D7" s="149">
        <f>'01'!D7</f>
        <v>0</v>
      </c>
      <c r="E7" s="97"/>
      <c r="F7" s="98">
        <v>0</v>
      </c>
      <c r="G7" s="98"/>
      <c r="H7" s="98">
        <f>F7+'04'!H7</f>
        <v>0</v>
      </c>
      <c r="I7" s="99"/>
      <c r="J7" s="947"/>
      <c r="K7" s="100">
        <f>J7+'04'!K7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95" t="s">
        <v>9</v>
      </c>
      <c r="C8" s="96"/>
      <c r="D8" s="149">
        <f>'01'!D8</f>
        <v>0</v>
      </c>
      <c r="E8" s="97"/>
      <c r="F8" s="98"/>
      <c r="G8" s="98"/>
      <c r="H8" s="98">
        <f>F8+'04'!H8</f>
        <v>0</v>
      </c>
      <c r="I8" s="99"/>
      <c r="J8" s="947"/>
      <c r="K8" s="100">
        <f>J8+'04'!K8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E9+'04'!G9</f>
        <v>33500</v>
      </c>
      <c r="H9" s="98">
        <f>F9+'04'!H9</f>
        <v>16874.071396806572</v>
      </c>
      <c r="I9" s="99">
        <f>IFERROR((H9/G9),0)</f>
        <v>0.50370362378527078</v>
      </c>
      <c r="J9" s="177">
        <f>J10+J11+J12+J13</f>
        <v>0</v>
      </c>
      <c r="K9" s="100">
        <f>J9+'04'!K9</f>
        <v>17027.103675312697</v>
      </c>
      <c r="L9" s="96">
        <f>D9+H9-K9+M9+N9</f>
        <v>126919.26148290596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E10+'04'!G10</f>
        <v>0</v>
      </c>
      <c r="H10" s="110">
        <f>F10+'04'!H10</f>
        <v>16874.071396806572</v>
      </c>
      <c r="I10" s="99"/>
      <c r="J10" s="750">
        <v>0</v>
      </c>
      <c r="K10" s="124">
        <f>J10+'04'!K10</f>
        <v>17027.103675312697</v>
      </c>
      <c r="L10" s="149">
        <f>D10+H10-K10+M10-N10</f>
        <v>56147.241630851277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E11+'04'!G11</f>
        <v>0</v>
      </c>
      <c r="H11" s="110">
        <f>F11+'04'!H11</f>
        <v>0</v>
      </c>
      <c r="I11" s="99"/>
      <c r="J11" s="178">
        <v>0</v>
      </c>
      <c r="K11" s="124">
        <f>J11+'04'!K11</f>
        <v>0</v>
      </c>
      <c r="L11" s="149">
        <f>D11+H11-K11+M11-N11</f>
        <v>18224.01726010743</v>
      </c>
      <c r="M11" s="101"/>
      <c r="N11" s="101"/>
      <c r="O11" s="1199"/>
      <c r="P11" s="1200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E12+'04'!G12</f>
        <v>0</v>
      </c>
      <c r="H12" s="110">
        <f>F12+'04'!H12</f>
        <v>0</v>
      </c>
      <c r="I12" s="757">
        <f>IFERROR((H12/G12),0)</f>
        <v>0</v>
      </c>
      <c r="J12" s="178"/>
      <c r="K12" s="124">
        <f>J12+'04'!K12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F13+'04'!H13</f>
        <v>0</v>
      </c>
      <c r="I13" s="99"/>
      <c r="J13" s="178"/>
      <c r="K13" s="124">
        <f>J13+'04'!K13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6749</v>
      </c>
      <c r="F14" s="89">
        <f>SUM(F15:F21)</f>
        <v>0</v>
      </c>
      <c r="G14" s="89">
        <f>SUM(G15:G21)</f>
        <v>29759.000000000004</v>
      </c>
      <c r="H14" s="89">
        <f>SUM(H15:H21)</f>
        <v>18857.68830004807</v>
      </c>
      <c r="I14" s="90">
        <f t="shared" ref="I14:I21" si="1">IFERROR((H14/G14),0)</f>
        <v>0.63368017406660393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E15+'04'!G15</f>
        <v>0</v>
      </c>
      <c r="H15" s="110">
        <f>F15+'04'!H15</f>
        <v>0</v>
      </c>
      <c r="I15" s="138">
        <f t="shared" si="1"/>
        <v>0</v>
      </c>
      <c r="J15" s="178">
        <v>0</v>
      </c>
      <c r="K15" s="100">
        <f>J15+'04'!K15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1534.7192780968007</v>
      </c>
      <c r="F16" s="110">
        <v>0</v>
      </c>
      <c r="G16" s="110">
        <f>E16+'04'!G16</f>
        <v>6767.1819524200173</v>
      </c>
      <c r="H16" s="110">
        <f>F16+'04'!H16</f>
        <v>3228.5002277343951</v>
      </c>
      <c r="I16" s="758">
        <f t="shared" si="1"/>
        <v>0.47708193017920092</v>
      </c>
      <c r="J16" s="751">
        <f>IFERROR(SUMIF(A101:A114,A16,E101:E114),0)+E111+E112+E113</f>
        <v>0</v>
      </c>
      <c r="K16" s="124">
        <f>J16+'04'!K16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09">
        <v>0</v>
      </c>
      <c r="G17" s="110">
        <f>E17+'04'!G17</f>
        <v>0</v>
      </c>
      <c r="H17" s="110">
        <f>F17+'04'!H17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J17+'04'!K17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/>
      <c r="G18" s="110">
        <f>E18+'04'!G18</f>
        <v>0</v>
      </c>
      <c r="H18" s="110">
        <f>F18+'04'!H18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J18+'04'!K18</f>
        <v>0</v>
      </c>
      <c r="L18" s="127">
        <f t="shared" si="2"/>
        <v>3183.2380657083054</v>
      </c>
      <c r="M18" s="101"/>
      <c r="N18" s="423"/>
      <c r="O18" s="1121"/>
      <c r="P18" s="1122"/>
      <c r="Q18" s="590"/>
      <c r="R18" s="590"/>
    </row>
    <row r="19" spans="1:20" s="114" customFormat="1" ht="18" customHeigh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5044.1023892534868</v>
      </c>
      <c r="F19" s="131">
        <v>0</v>
      </c>
      <c r="G19" s="110">
        <f>E19+'04'!G19</f>
        <v>22241.434731337162</v>
      </c>
      <c r="H19" s="110">
        <f>F19+'04'!H19</f>
        <v>15629.188072313675</v>
      </c>
      <c r="I19" s="759">
        <f t="shared" si="1"/>
        <v>0.70270592977047763</v>
      </c>
      <c r="J19" s="751">
        <f>IFERROR(SUMIF(A102:A115,A19,E102:E115),0)+E117+E115+E122</f>
        <v>0</v>
      </c>
      <c r="K19" s="124">
        <f>J19+'04'!K19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 ht="15.75" customHeight="1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123.1180373256768</v>
      </c>
      <c r="F20" s="110">
        <v>0</v>
      </c>
      <c r="G20" s="110">
        <f>E20+'04'!G20</f>
        <v>542.87593314191963</v>
      </c>
      <c r="H20" s="110">
        <f>F20+'04'!H20</f>
        <v>0</v>
      </c>
      <c r="I20" s="138">
        <f t="shared" si="1"/>
        <v>0</v>
      </c>
      <c r="J20" s="751">
        <f>IFERROR(SUMIF(A102:A115,A20,E102:E115),0)</f>
        <v>0</v>
      </c>
      <c r="K20" s="124">
        <f>J20+'04'!K20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47.06029532403609</v>
      </c>
      <c r="F21" s="110">
        <v>0</v>
      </c>
      <c r="G21" s="110">
        <f>E21+'04'!G21</f>
        <v>207.50738310090236</v>
      </c>
      <c r="H21" s="110">
        <f>F21+'04'!H21</f>
        <v>0</v>
      </c>
      <c r="I21" s="138">
        <f t="shared" si="1"/>
        <v>0</v>
      </c>
      <c r="J21" s="751">
        <f>IFERROR(SUMIF(A102:A115,A21,E102:E115),0)</f>
        <v>0</v>
      </c>
      <c r="K21" s="124">
        <f>J21+'04'!K21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E22+'04'!G22</f>
        <v>0</v>
      </c>
      <c r="H22" s="110">
        <f>F22+'04'!H22</f>
        <v>2130.1044634377968</v>
      </c>
      <c r="I22" s="99"/>
      <c r="J22" s="751">
        <f>IFERROR(SUMIF(A103:A123,A22,E103:E123),0)+E109</f>
        <v>0</v>
      </c>
      <c r="K22" s="124">
        <f>J22+'04'!K22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E23+'04'!G23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J23+'04'!K23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E24+'04'!G24</f>
        <v>0</v>
      </c>
      <c r="H24" s="110">
        <f>F24+'04'!H24</f>
        <v>0</v>
      </c>
      <c r="I24" s="99"/>
      <c r="J24" s="752">
        <v>0</v>
      </c>
      <c r="K24" s="124">
        <f>J24+'04'!K24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E25+'04'!G25</f>
        <v>0</v>
      </c>
      <c r="H25" s="110">
        <f>F25+'04'!H25</f>
        <v>0</v>
      </c>
      <c r="I25" s="99"/>
      <c r="J25" s="752">
        <v>0</v>
      </c>
      <c r="K25" s="124">
        <f>J25+'04'!K25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E26+'04'!G26</f>
        <v>0</v>
      </c>
      <c r="H26" s="110">
        <f>F26+'04'!H26</f>
        <v>0</v>
      </c>
      <c r="I26" s="99"/>
      <c r="J26" s="752">
        <v>0</v>
      </c>
      <c r="K26" s="124">
        <f>J26+'04'!K26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E27+'04'!G27</f>
        <v>0</v>
      </c>
      <c r="H27" s="110">
        <f>F27+'04'!H27</f>
        <v>0</v>
      </c>
      <c r="I27" s="99"/>
      <c r="J27" s="752"/>
      <c r="K27" s="124">
        <f>J27+'04'!K27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E28+'04'!G28</f>
        <v>0</v>
      </c>
      <c r="H28" s="110">
        <f>F28+'04'!H28</f>
        <v>0</v>
      </c>
      <c r="I28" s="99"/>
      <c r="J28" s="752"/>
      <c r="K28" s="124">
        <f>J28+'04'!K28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E29+'04'!G29</f>
        <v>0</v>
      </c>
      <c r="H29" s="110">
        <f>F29+'04'!H29</f>
        <v>0</v>
      </c>
      <c r="I29" s="99"/>
      <c r="J29" s="752"/>
      <c r="K29" s="124">
        <f>J29+'04'!K29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E30+'04'!G30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J30+'04'!K30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E31+'04'!G31</f>
        <v>0</v>
      </c>
      <c r="H31" s="110">
        <f>F31+'04'!H31</f>
        <v>0</v>
      </c>
      <c r="I31" s="99"/>
      <c r="J31" s="865">
        <v>0</v>
      </c>
      <c r="K31" s="124">
        <f>J31+'04'!K31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E32+'04'!G32</f>
        <v>0</v>
      </c>
      <c r="H32" s="110">
        <f>F32+'04'!H32</f>
        <v>554.40000000000009</v>
      </c>
      <c r="I32" s="99"/>
      <c r="J32" s="865">
        <v>0</v>
      </c>
      <c r="K32" s="124">
        <f>J32+'04'!K32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1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E33+'04'!G33</f>
        <v>0</v>
      </c>
      <c r="H33" s="110">
        <f>F33+'04'!H33</f>
        <v>0</v>
      </c>
      <c r="I33" s="99"/>
      <c r="J33" s="865">
        <v>0</v>
      </c>
      <c r="K33" s="124">
        <f>J33+'04'!K33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1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E34+'04'!G34</f>
        <v>0</v>
      </c>
      <c r="H34" s="110">
        <f>F34+'04'!H34</f>
        <v>0</v>
      </c>
      <c r="I34" s="99"/>
      <c r="J34" s="865"/>
      <c r="K34" s="124">
        <f>J34+'04'!K34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1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E35+'04'!G35</f>
        <v>0</v>
      </c>
      <c r="H35" s="110">
        <f>F35+'04'!H35</f>
        <v>0</v>
      </c>
      <c r="I35" s="99"/>
      <c r="J35" s="865"/>
      <c r="K35" s="124">
        <f>J35+'04'!K35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1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E36+'04'!G36</f>
        <v>0</v>
      </c>
      <c r="H36" s="110">
        <f>F36+'04'!H36</f>
        <v>0</v>
      </c>
      <c r="I36" s="99"/>
      <c r="J36" s="110">
        <v>0</v>
      </c>
      <c r="K36" s="124">
        <f>J36+'04'!K36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1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E37+'04'!G37</f>
        <v>0</v>
      </c>
      <c r="H37" s="110">
        <f>F37+'04'!H37</f>
        <v>0</v>
      </c>
      <c r="I37" s="99"/>
      <c r="J37" s="110">
        <v>0</v>
      </c>
      <c r="K37" s="124">
        <f>J37+'04'!K37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E38+'04'!G38</f>
        <v>24831.952751258108</v>
      </c>
      <c r="H38" s="676">
        <f>F38+'04'!H38</f>
        <v>9132.5707721894778</v>
      </c>
      <c r="I38" s="760">
        <f>IFERROR((H38/G38),0)</f>
        <v>0.36777497378762436</v>
      </c>
      <c r="J38" s="753">
        <f>SUM(J39:J40)</f>
        <v>0</v>
      </c>
      <c r="K38" s="677">
        <f>J38+'04'!K38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1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F39+'04'!H39</f>
        <v>6840.5707721894778</v>
      </c>
      <c r="I39" s="138"/>
      <c r="J39" s="750">
        <f>F39</f>
        <v>0</v>
      </c>
      <c r="K39" s="124">
        <f>J39+'04'!K39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  <c r="U39" s="115">
        <v>-2130.104463437794</v>
      </c>
    </row>
    <row r="40" spans="1:21" ht="15.75" customHeight="1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F40+'04'!H40</f>
        <v>2292</v>
      </c>
      <c r="I40" s="138"/>
      <c r="J40" s="178">
        <v>0</v>
      </c>
      <c r="K40" s="124">
        <f>J40+'04'!K40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1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F41+'04'!H41</f>
        <v>0</v>
      </c>
      <c r="I41" s="138"/>
      <c r="J41" s="178"/>
      <c r="K41" s="124">
        <f>J41+'04'!K41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1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F42+'04'!H42</f>
        <v>0</v>
      </c>
      <c r="I42" s="138"/>
      <c r="J42" s="178"/>
      <c r="K42" s="124">
        <f>J42+'04'!K42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1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E43+'04'!G43</f>
        <v>16100.313132790699</v>
      </c>
      <c r="H43" s="110">
        <f>F43+'04'!H43</f>
        <v>8403.7999999999993</v>
      </c>
      <c r="I43" s="138">
        <f>IFERROR((H43/G43),0)</f>
        <v>0.5219650034560136</v>
      </c>
      <c r="J43" s="178">
        <f>F43</f>
        <v>0</v>
      </c>
      <c r="K43" s="124">
        <f>J43+'04'!K43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1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E44+'04'!G44</f>
        <v>6807.8221814585677</v>
      </c>
      <c r="H44" s="110">
        <f>F44+'04'!H44</f>
        <v>7255</v>
      </c>
      <c r="I44" s="138">
        <f>IFERROR((H44/G44),0)</f>
        <v>1.0656858840642669</v>
      </c>
      <c r="J44" s="178">
        <v>0</v>
      </c>
      <c r="K44" s="124">
        <f>J44+'04'!K44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1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F45+'04'!H45</f>
        <v>0</v>
      </c>
      <c r="I45" s="138"/>
      <c r="J45" s="178"/>
      <c r="K45" s="124">
        <f>J45+'04'!K45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1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F46+'04'!H46</f>
        <v>0</v>
      </c>
      <c r="I46" s="138"/>
      <c r="J46" s="178"/>
      <c r="K46" s="124">
        <f>J46+'04'!K46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1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F47+'04'!H47</f>
        <v>0</v>
      </c>
      <c r="I47" s="138"/>
      <c r="J47" s="178"/>
      <c r="K47" s="124">
        <f>J47+'04'!K47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1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E48+'04'!G48</f>
        <v>39777.244210424084</v>
      </c>
      <c r="H48" s="110">
        <f>F48+'04'!H48</f>
        <v>15244.370772189477</v>
      </c>
      <c r="I48" s="138">
        <f>IFERROR((H48/G48),0)</f>
        <v>0.38324351208308477</v>
      </c>
      <c r="J48" s="750">
        <v>0</v>
      </c>
      <c r="K48" s="124">
        <f>J48+'04'!K48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11500</v>
      </c>
      <c r="F49" s="110">
        <f>SUM(F50:F51)</f>
        <v>0</v>
      </c>
      <c r="G49" s="110">
        <f>SUM(G50:G51)</f>
        <v>57500</v>
      </c>
      <c r="H49" s="110">
        <f>SUM(H50:H51)</f>
        <v>32176.186994748638</v>
      </c>
      <c r="I49" s="138">
        <f>IFERROR((H49/G49),0)</f>
        <v>0.55958586077823713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E50+'04'!G50</f>
        <v>0</v>
      </c>
      <c r="H50" s="110">
        <f>F50+'04'!H50</f>
        <v>0</v>
      </c>
      <c r="I50" s="138">
        <f>IFERROR((H50/G50),0)</f>
        <v>0</v>
      </c>
      <c r="J50" s="178"/>
      <c r="K50" s="124">
        <f>J50+'04'!K50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11500</v>
      </c>
      <c r="F51" s="110">
        <v>0</v>
      </c>
      <c r="G51" s="110">
        <f>E51+'04'!G51</f>
        <v>57500</v>
      </c>
      <c r="H51" s="110">
        <f>F51+'04'!H51</f>
        <v>32176.186994748638</v>
      </c>
      <c r="I51" s="138">
        <f>IFERROR((H51/G51),0)</f>
        <v>0.55958586077823713</v>
      </c>
      <c r="J51" s="178">
        <f>O51-P51</f>
        <v>0</v>
      </c>
      <c r="K51" s="124">
        <f>J51+'04'!K51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E53+'04'!G53</f>
        <v>0</v>
      </c>
      <c r="H53" s="110">
        <f>F53+'04'!H53</f>
        <v>0</v>
      </c>
      <c r="I53" s="759">
        <f t="shared" ref="I53:I58" si="4">IFERROR((H53/G53),0)</f>
        <v>0</v>
      </c>
      <c r="J53" s="754"/>
      <c r="K53" s="124">
        <f>J53+'04'!K53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E54+'04'!G54</f>
        <v>1612.9032258064515</v>
      </c>
      <c r="H54" s="110">
        <f>F54+'04'!H54</f>
        <v>0</v>
      </c>
      <c r="I54" s="759">
        <f t="shared" si="4"/>
        <v>0</v>
      </c>
      <c r="J54" s="754">
        <v>0</v>
      </c>
      <c r="K54" s="124">
        <f>J54+'04'!K54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E55+'04'!G55</f>
        <v>2741.9354838709678</v>
      </c>
      <c r="H55" s="110">
        <f>F55+'04'!H55</f>
        <v>0</v>
      </c>
      <c r="I55" s="759">
        <f t="shared" si="4"/>
        <v>0</v>
      </c>
      <c r="J55" s="754">
        <v>0</v>
      </c>
      <c r="K55" s="124">
        <f>J55+'04'!K55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E56+'04'!G56</f>
        <v>0</v>
      </c>
      <c r="H56" s="110">
        <f>F56+'04'!H56</f>
        <v>0</v>
      </c>
      <c r="I56" s="759">
        <f t="shared" si="4"/>
        <v>0</v>
      </c>
      <c r="J56" s="754"/>
      <c r="K56" s="124">
        <f>J56+'04'!K56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E57+'04'!G57</f>
        <v>0</v>
      </c>
      <c r="H57" s="110">
        <f>F57+'04'!H57</f>
        <v>0</v>
      </c>
      <c r="I57" s="759">
        <f t="shared" si="4"/>
        <v>0</v>
      </c>
      <c r="J57" s="754"/>
      <c r="K57" s="124">
        <f>J57+'04'!K57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E58+'04'!G58</f>
        <v>0</v>
      </c>
      <c r="H58" s="110">
        <f>F58+'04'!H58</f>
        <v>0</v>
      </c>
      <c r="I58" s="759">
        <f t="shared" si="4"/>
        <v>0</v>
      </c>
      <c r="J58" s="754">
        <v>0</v>
      </c>
      <c r="K58" s="124">
        <f>J58+'04'!K58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F59+'04'!H59</f>
        <v>0</v>
      </c>
      <c r="I59" s="759"/>
      <c r="J59" s="754"/>
      <c r="K59" s="124">
        <f>J59+'04'!K59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F60+'04'!H60</f>
        <v>0</v>
      </c>
      <c r="I60" s="759"/>
      <c r="J60" s="754"/>
      <c r="K60" s="124">
        <f>J60+'04'!K60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F61+'04'!H61</f>
        <v>0</v>
      </c>
      <c r="I61" s="759"/>
      <c r="J61" s="754">
        <f>D139+D141</f>
        <v>0</v>
      </c>
      <c r="K61" s="124">
        <f>J61+'04'!K61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F62+'04'!H62</f>
        <v>0</v>
      </c>
      <c r="I62" s="522"/>
      <c r="J62" s="754">
        <v>0</v>
      </c>
      <c r="K62" s="124">
        <f>J62+'04'!K62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F63+'04'!H63</f>
        <v>3329.1499999999996</v>
      </c>
      <c r="I63" s="1059"/>
      <c r="J63" s="1068">
        <v>0</v>
      </c>
      <c r="K63" s="668">
        <f>J63+'04'!K63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F64+'04'!H64</f>
        <v>0</v>
      </c>
      <c r="I64" s="522"/>
      <c r="J64" s="754"/>
      <c r="K64" s="124">
        <f>J64+'04'!K64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F65+'04'!H65</f>
        <v>0</v>
      </c>
      <c r="I65" s="759"/>
      <c r="J65" s="754"/>
      <c r="K65" s="124">
        <f>J65+'04'!K65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F66+'04'!H66</f>
        <v>0</v>
      </c>
      <c r="I66" s="759"/>
      <c r="J66" s="754"/>
      <c r="K66" s="124">
        <f>J66+'04'!K66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F67+'04'!H67</f>
        <v>0</v>
      </c>
      <c r="I67" s="759"/>
      <c r="J67" s="754"/>
      <c r="K67" s="124">
        <f>J67+'04'!K67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F68+'04'!H68</f>
        <v>0</v>
      </c>
      <c r="I68" s="759"/>
      <c r="J68" s="754"/>
      <c r="K68" s="124">
        <f>J68+'04'!K68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F69+'04'!H69</f>
        <v>0</v>
      </c>
      <c r="I69" s="759"/>
      <c r="J69" s="754">
        <v>0</v>
      </c>
      <c r="K69" s="124">
        <f>J69+'04'!K69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F70+'04'!H70</f>
        <v>3329.1499999999996</v>
      </c>
      <c r="I70" s="759"/>
      <c r="J70" s="754"/>
      <c r="K70" s="124">
        <f>J70+'04'!K70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F71+'04'!H71</f>
        <v>0</v>
      </c>
      <c r="I71" s="759"/>
      <c r="J71" s="754"/>
      <c r="K71" s="124">
        <f>J71+'04'!K71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F72+'04'!H72</f>
        <v>1911.376034856974</v>
      </c>
      <c r="I72" s="388"/>
      <c r="J72" s="756">
        <f>K131</f>
        <v>0</v>
      </c>
      <c r="K72" s="395">
        <f>J72+'04'!K72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F73+'04'!H73</f>
        <v>0</v>
      </c>
      <c r="I73" s="934"/>
      <c r="J73" s="931"/>
      <c r="K73" s="935">
        <f>J73+'04'!K73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24*5-K80</f>
        <v>120</v>
      </c>
      <c r="M80" s="139">
        <f t="shared" ref="M80:M94" si="11">K80/(24*5)</f>
        <v>0</v>
      </c>
      <c r="N80" s="965"/>
      <c r="O80" s="302">
        <f>N80+'04'!O80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24*5-K81</f>
        <v>120</v>
      </c>
      <c r="M81" s="139">
        <f t="shared" si="11"/>
        <v>0</v>
      </c>
      <c r="N81" s="965"/>
      <c r="O81" s="302">
        <f>N81+'04'!O81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1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F82+'04'!K82</f>
        <v>43.903888888888886</v>
      </c>
      <c r="L82" s="110">
        <f>24*5-K82</f>
        <v>76.096111111111114</v>
      </c>
      <c r="M82" s="139">
        <f t="shared" si="11"/>
        <v>0.36586574074074074</v>
      </c>
      <c r="N82" s="716">
        <v>0</v>
      </c>
      <c r="O82" s="303">
        <f>N82+'04'!O82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F83+'04'!K83</f>
        <v>64.575555555555553</v>
      </c>
      <c r="L83" s="134">
        <f>G83+'04'!L83</f>
        <v>55.424444444444447</v>
      </c>
      <c r="M83" s="139">
        <f t="shared" si="11"/>
        <v>0.53812962962962962</v>
      </c>
      <c r="N83" s="716">
        <v>0</v>
      </c>
      <c r="O83" s="303">
        <f>N83+'04'!O83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F84+'04'!K84</f>
        <v>64.977499999999992</v>
      </c>
      <c r="L84" s="134">
        <f>G84+'04'!L84</f>
        <v>55.022500000000001</v>
      </c>
      <c r="M84" s="139">
        <f t="shared" si="11"/>
        <v>0.54147916666666662</v>
      </c>
      <c r="N84" s="716">
        <v>0</v>
      </c>
      <c r="O84" s="303">
        <f>N84+'04'!O84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F85+'04'!K85</f>
        <v>0</v>
      </c>
      <c r="L85" s="134">
        <f>G85+'04'!L85</f>
        <v>120</v>
      </c>
      <c r="M85" s="139">
        <f t="shared" si="11"/>
        <v>0</v>
      </c>
      <c r="N85" s="965">
        <v>0</v>
      </c>
      <c r="O85" s="303">
        <f>N85+'04'!O85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06" t="s">
        <v>17</v>
      </c>
      <c r="C86" s="133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F86+'04'!K86</f>
        <v>0</v>
      </c>
      <c r="L86" s="134">
        <f>G86+'04'!L86</f>
        <v>96</v>
      </c>
      <c r="M86" s="139">
        <f t="shared" si="11"/>
        <v>0</v>
      </c>
      <c r="N86" s="965">
        <v>0</v>
      </c>
      <c r="O86" s="303">
        <f>N86+'04'!O86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06" t="s">
        <v>17</v>
      </c>
      <c r="C87" s="133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F87+'04'!K87</f>
        <v>0</v>
      </c>
      <c r="L87" s="134">
        <f>G87+'04'!L87</f>
        <v>96</v>
      </c>
      <c r="M87" s="139">
        <f t="shared" si="11"/>
        <v>0</v>
      </c>
      <c r="N87" s="965">
        <v>0</v>
      </c>
      <c r="O87" s="303">
        <f>N87+'04'!O87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F88+'04'!K88</f>
        <v>0</v>
      </c>
      <c r="L88" s="134">
        <f>G88+'04'!L88</f>
        <v>96</v>
      </c>
      <c r="M88" s="139">
        <f t="shared" si="11"/>
        <v>0</v>
      </c>
      <c r="N88" s="716">
        <v>0</v>
      </c>
      <c r="O88" s="303">
        <f>N88+'04'!O88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F89+'04'!K89</f>
        <v>1.6950000000000001</v>
      </c>
      <c r="L89" s="134">
        <f>G89+'04'!L89</f>
        <v>118.30500000000001</v>
      </c>
      <c r="M89" s="139">
        <f t="shared" si="11"/>
        <v>1.4125E-2</v>
      </c>
      <c r="N89" s="1001">
        <v>0</v>
      </c>
      <c r="O89" s="303">
        <f>N89+'04'!O89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F90+'04'!K90</f>
        <v>32.664166666666674</v>
      </c>
      <c r="L90" s="134">
        <f>G90+'04'!L90</f>
        <v>87.335833333333326</v>
      </c>
      <c r="M90" s="139">
        <f t="shared" si="11"/>
        <v>0.27220138888888895</v>
      </c>
      <c r="N90" s="1001">
        <v>0</v>
      </c>
      <c r="O90" s="303">
        <f>N90+'04'!O90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 t="shared" si="12"/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F91+'04'!K91</f>
        <v>0</v>
      </c>
      <c r="L91" s="134">
        <f>G91+'04'!L91</f>
        <v>120</v>
      </c>
      <c r="M91" s="139">
        <f t="shared" si="11"/>
        <v>0</v>
      </c>
      <c r="N91" s="716">
        <v>0</v>
      </c>
      <c r="O91" s="303">
        <f>N91+'04'!O91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F92+'04'!K92</f>
        <v>71.521666666666675</v>
      </c>
      <c r="L92" s="134">
        <f>G92+'04'!L92</f>
        <v>48.478333333333332</v>
      </c>
      <c r="M92" s="139">
        <f t="shared" si="11"/>
        <v>0.59601388888888895</v>
      </c>
      <c r="N92" s="716">
        <v>0</v>
      </c>
      <c r="O92" s="303">
        <f>N92+'04'!O92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F93+'04'!K93</f>
        <v>64.288611111111109</v>
      </c>
      <c r="L93" s="134">
        <f>G93+'04'!L93</f>
        <v>55.711388888888891</v>
      </c>
      <c r="M93" s="139">
        <f t="shared" si="11"/>
        <v>0.53573842592592591</v>
      </c>
      <c r="N93" s="716">
        <v>0</v>
      </c>
      <c r="O93" s="303">
        <f>N93+'04'!O93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F94+'04'!K94</f>
        <v>32</v>
      </c>
      <c r="L94" s="765">
        <f>G94+'04'!L94</f>
        <v>88</v>
      </c>
      <c r="M94" s="880">
        <f t="shared" si="11"/>
        <v>0.26666666666666666</v>
      </c>
      <c r="N94" s="966">
        <f>E111+E120+E121+E122</f>
        <v>0</v>
      </c>
      <c r="O94" s="871">
        <f>N94+'04'!O94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F95+'04'!K95</f>
        <v>7</v>
      </c>
      <c r="L95" s="443">
        <f>G95+'04'!L95</f>
        <v>113</v>
      </c>
      <c r="M95" s="723">
        <f>K95/(24*5)</f>
        <v>5.8333333333333334E-2</v>
      </c>
      <c r="N95" s="967">
        <f>E112+E114+E115+E118+E119</f>
        <v>0</v>
      </c>
      <c r="O95" s="713">
        <f>N95+'04'!O95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853" t="s">
        <v>3</v>
      </c>
      <c r="H99" s="855" t="s">
        <v>2</v>
      </c>
      <c r="I99" s="854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4953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29909</v>
      </c>
      <c r="H100" s="89">
        <f>H101+H110</f>
        <v>19708.249999999993</v>
      </c>
      <c r="I100" s="90">
        <f t="shared" ref="I100:I114" si="15">IFERROR((H100/G100),0)</f>
        <v>0.65894045270654289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4953</v>
      </c>
      <c r="E101" s="98">
        <f>SUM(E102:E109)</f>
        <v>0</v>
      </c>
      <c r="F101" s="99">
        <f t="shared" si="14"/>
        <v>0</v>
      </c>
      <c r="G101" s="169">
        <f>SUM(G102:G109)</f>
        <v>20606</v>
      </c>
      <c r="H101" s="98">
        <f>SUM(H102:H109)</f>
        <v>15844.349999999995</v>
      </c>
      <c r="I101" s="99">
        <f t="shared" si="15"/>
        <v>0.76891924682131396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D102+'04'!G102</f>
        <v>0</v>
      </c>
      <c r="H102" s="110">
        <f>E102+'04'!H102</f>
        <v>0</v>
      </c>
      <c r="I102" s="138">
        <f t="shared" si="15"/>
        <v>0</v>
      </c>
      <c r="J102" s="1148"/>
      <c r="K102" s="1150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395</v>
      </c>
      <c r="E103" s="166">
        <v>0</v>
      </c>
      <c r="F103" s="138">
        <f t="shared" si="14"/>
        <v>0</v>
      </c>
      <c r="G103" s="445">
        <f>D103+'04'!G103</f>
        <v>1495</v>
      </c>
      <c r="H103" s="150">
        <f>E103+'04'!H103</f>
        <v>0</v>
      </c>
      <c r="I103" s="138">
        <f t="shared" si="15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4370</v>
      </c>
      <c r="E104" s="110">
        <v>0</v>
      </c>
      <c r="F104" s="138">
        <f t="shared" si="14"/>
        <v>0</v>
      </c>
      <c r="G104" s="134">
        <f>D104+'04'!G104</f>
        <v>18398</v>
      </c>
      <c r="H104" s="110">
        <f>E104+'04'!H104</f>
        <v>12980.249999999995</v>
      </c>
      <c r="I104" s="138">
        <f t="shared" si="15"/>
        <v>0.70552505707142055</v>
      </c>
      <c r="J104" s="1148"/>
      <c r="K104" s="1150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D105+'04'!G105</f>
        <v>0</v>
      </c>
      <c r="H105" s="110">
        <f>E105+'04'!H105</f>
        <v>475.6</v>
      </c>
      <c r="I105" s="138">
        <f t="shared" si="15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D106+'04'!G106</f>
        <v>0</v>
      </c>
      <c r="H106" s="146">
        <f>E106+'04'!H106</f>
        <v>1280.3</v>
      </c>
      <c r="I106" s="138">
        <f t="shared" si="15"/>
        <v>0</v>
      </c>
      <c r="J106" s="1148"/>
      <c r="K106" s="1150"/>
      <c r="L106" s="148"/>
      <c r="M106" s="148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D107+'04'!G107</f>
        <v>0</v>
      </c>
      <c r="H107" s="110">
        <f>E107+'04'!H107</f>
        <v>0</v>
      </c>
      <c r="I107" s="138">
        <f t="shared" si="15"/>
        <v>0</v>
      </c>
      <c r="J107" s="1148"/>
      <c r="K107" s="1150"/>
      <c r="L107" s="148"/>
      <c r="M107" s="148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163</v>
      </c>
      <c r="E108" s="110">
        <v>0</v>
      </c>
      <c r="F108" s="138">
        <f t="shared" si="14"/>
        <v>0</v>
      </c>
      <c r="G108" s="445">
        <f>D108+'04'!G108</f>
        <v>563</v>
      </c>
      <c r="H108" s="110">
        <f>E108+'04'!H108</f>
        <v>826.59999999999991</v>
      </c>
      <c r="I108" s="138">
        <f t="shared" si="15"/>
        <v>1.4682060390763765</v>
      </c>
      <c r="J108" s="797"/>
      <c r="K108" s="798"/>
      <c r="L108" s="148"/>
      <c r="M108" s="148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445">
        <f>D109+'04'!G109</f>
        <v>150</v>
      </c>
      <c r="H109" s="110">
        <f>E109+'04'!H109</f>
        <v>281.59999999999997</v>
      </c>
      <c r="I109" s="138">
        <f t="shared" si="15"/>
        <v>1.8773333333333331</v>
      </c>
      <c r="J109" s="797"/>
      <c r="K109" s="798"/>
      <c r="L109" s="148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1821</v>
      </c>
      <c r="E110" s="98">
        <f>SUM(E111:E122)</f>
        <v>0</v>
      </c>
      <c r="F110" s="1053">
        <f>IFERROR((E110/D110),0)</f>
        <v>0</v>
      </c>
      <c r="G110" s="1051">
        <f>SUM(G111:G122)</f>
        <v>9303</v>
      </c>
      <c r="H110" s="98">
        <f>SUM(H111:H122)</f>
        <v>3863.8999999999996</v>
      </c>
      <c r="I110" s="1053">
        <f>IFERROR((H110/G110),0)</f>
        <v>0.41533913791250132</v>
      </c>
      <c r="J110" s="797"/>
      <c r="K110" s="798"/>
      <c r="L110" s="148"/>
      <c r="M110" s="148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445">
        <f>D111+'04'!G111</f>
        <v>0</v>
      </c>
      <c r="H111" s="146">
        <f>E111+'04'!H111</f>
        <v>1026.1499999999999</v>
      </c>
      <c r="I111" s="138">
        <f>IFERROR((H111/G111),0)</f>
        <v>0</v>
      </c>
      <c r="J111" s="1148"/>
      <c r="K111" s="1150"/>
      <c r="L111" s="143"/>
      <c r="M111" s="152"/>
      <c r="N111" s="143"/>
      <c r="O111" s="143"/>
      <c r="P111" s="143"/>
      <c r="Q111" s="151"/>
      <c r="S111" s="82"/>
      <c r="T111" s="93"/>
    </row>
    <row r="112" spans="1:20" outlineLevel="1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445">
        <f>D112+'04'!G112</f>
        <v>0</v>
      </c>
      <c r="H112" s="146">
        <f>E112+'04'!H112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148"/>
      <c r="O112" s="148"/>
      <c r="P112" s="143"/>
      <c r="T112" s="93"/>
    </row>
    <row r="113" spans="1:20" outlineLevel="1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445">
        <f>D113+'04'!G113</f>
        <v>0</v>
      </c>
      <c r="H113" s="146">
        <f>E113+'04'!H113</f>
        <v>20</v>
      </c>
      <c r="I113" s="138">
        <f t="shared" si="15"/>
        <v>0</v>
      </c>
      <c r="J113" s="797"/>
      <c r="K113" s="798"/>
      <c r="L113" s="154"/>
      <c r="M113" s="154"/>
      <c r="N113" s="148"/>
      <c r="O113" s="148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445">
        <f>D114+'04'!G114</f>
        <v>80</v>
      </c>
      <c r="H114" s="146">
        <f>E114+'04'!H114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445">
        <f>D115+'04'!G115</f>
        <v>0</v>
      </c>
      <c r="H115" s="146">
        <f>E115+'04'!H115</f>
        <v>0</v>
      </c>
      <c r="I115" s="138">
        <f>IFERROR((H115/G115),0)</f>
        <v>0</v>
      </c>
      <c r="J115" s="1205"/>
      <c r="K115" s="1206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445">
        <f>D116+'04'!G116</f>
        <v>0</v>
      </c>
      <c r="H116" s="146">
        <f>E116+'04'!H116</f>
        <v>0</v>
      </c>
      <c r="I116" s="138">
        <f t="shared" ref="I116:I122" si="16">IFERROR((H116/G116),0)</f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445">
        <f>D117+'04'!G117</f>
        <v>0</v>
      </c>
      <c r="H117" s="146">
        <f>E117+'04'!H117</f>
        <v>0</v>
      </c>
      <c r="I117" s="138">
        <f t="shared" si="16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355</v>
      </c>
      <c r="E118" s="110">
        <v>0</v>
      </c>
      <c r="F118" s="138">
        <f t="shared" si="14"/>
        <v>0</v>
      </c>
      <c r="G118" s="445">
        <f>D118+'04'!G118</f>
        <v>1765</v>
      </c>
      <c r="H118" s="146">
        <f>E118+'04'!H118</f>
        <v>0</v>
      </c>
      <c r="I118" s="138">
        <f t="shared" si="16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445">
        <f>D119+'04'!G119</f>
        <v>0</v>
      </c>
      <c r="H119" s="146">
        <f>E119+'04'!H119</f>
        <v>0</v>
      </c>
      <c r="I119" s="138">
        <f t="shared" si="16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982</v>
      </c>
      <c r="E120" s="110">
        <v>0</v>
      </c>
      <c r="F120" s="138">
        <f t="shared" si="14"/>
        <v>0</v>
      </c>
      <c r="G120" s="445">
        <f>D120+'04'!G120</f>
        <v>3894</v>
      </c>
      <c r="H120" s="146">
        <f>E120+'04'!H120</f>
        <v>0</v>
      </c>
      <c r="I120" s="138">
        <f t="shared" si="16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445">
        <f>D121+'04'!G121</f>
        <v>272</v>
      </c>
      <c r="H121" s="146">
        <f>E121+'04'!H121</f>
        <v>0</v>
      </c>
      <c r="I121" s="138">
        <f t="shared" si="16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468</v>
      </c>
      <c r="E122" s="110">
        <v>0</v>
      </c>
      <c r="F122" s="138">
        <f t="shared" si="14"/>
        <v>0</v>
      </c>
      <c r="G122" s="445">
        <f>D122+'04'!G122</f>
        <v>3292</v>
      </c>
      <c r="H122" s="146">
        <f>E122+'04'!H122</f>
        <v>1823.35</v>
      </c>
      <c r="I122" s="138">
        <f t="shared" si="16"/>
        <v>0.55387302551640338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68">
        <v>40.966256194973354</v>
      </c>
      <c r="F126" s="157">
        <f>IFERROR(E126/D126,0)</f>
        <v>1.0115124986413173</v>
      </c>
      <c r="G126" s="204">
        <v>40.5</v>
      </c>
      <c r="H126" s="200">
        <v>40.327595663021434</v>
      </c>
      <c r="I126" s="157">
        <f>IFERROR(H126/G126,0)</f>
        <v>0.9957431027906527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68">
        <v>14.219294477734589</v>
      </c>
      <c r="F127" s="157">
        <f t="shared" ref="F127:F132" si="17">IFERROR(E127/D127,0)</f>
        <v>0.83642908692556406</v>
      </c>
      <c r="G127" s="204">
        <v>17</v>
      </c>
      <c r="H127" s="200">
        <v>15.786762109915301</v>
      </c>
      <c r="I127" s="157">
        <f t="shared" ref="I127:I132" si="18">IFERROR(H127/G127,0)</f>
        <v>0.92863306528913536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7"/>
        <v>0</v>
      </c>
      <c r="G128" s="267">
        <v>3</v>
      </c>
      <c r="H128" s="256">
        <f>P132</f>
        <v>2.7306506005953359</v>
      </c>
      <c r="I128" s="157">
        <f t="shared" si="18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35</v>
      </c>
      <c r="E129" s="268">
        <v>19.528249561131698</v>
      </c>
      <c r="F129" s="157">
        <f t="shared" si="17"/>
        <v>0.55794998746090563</v>
      </c>
      <c r="G129" s="204">
        <v>35</v>
      </c>
      <c r="H129" s="200">
        <v>14.73523557660765</v>
      </c>
      <c r="I129" s="157">
        <f t="shared" si="18"/>
        <v>0.42100673076021855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68">
        <v>4.1700471065147857</v>
      </c>
      <c r="F130" s="157">
        <f t="shared" si="17"/>
        <v>9.9286835869399653E-2</v>
      </c>
      <c r="G130" s="204">
        <v>42</v>
      </c>
      <c r="H130" s="200">
        <v>13.30026538153937</v>
      </c>
      <c r="I130" s="157">
        <f t="shared" si="18"/>
        <v>0.31667298527474691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29.043279707198931</v>
      </c>
      <c r="F131" s="157">
        <f t="shared" si="17"/>
        <v>0.82980799163425512</v>
      </c>
      <c r="G131" s="204">
        <v>35</v>
      </c>
      <c r="H131" s="200">
        <v>14.73523557660765</v>
      </c>
      <c r="I131" s="157">
        <f t="shared" si="18"/>
        <v>0.42100673076021855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72.174603725111794</v>
      </c>
      <c r="F132" s="684">
        <f t="shared" si="17"/>
        <v>0.71680011644762931</v>
      </c>
      <c r="G132" s="688">
        <v>100.69</v>
      </c>
      <c r="H132" s="683">
        <v>59.463522390657758</v>
      </c>
      <c r="I132" s="684">
        <f t="shared" si="18"/>
        <v>0.59056035744023994</v>
      </c>
      <c r="N132" s="728" t="s">
        <v>188</v>
      </c>
      <c r="O132" s="704">
        <f>O131+'04'!O132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130488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J136" s="479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9">SUM(C139:H139)</f>
        <v>0</v>
      </c>
      <c r="J139" s="1171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0">IFERROR(C139/$B$139,0)</f>
        <v>0</v>
      </c>
      <c r="D140" s="335">
        <f t="shared" si="20"/>
        <v>0</v>
      </c>
      <c r="E140" s="335">
        <f t="shared" si="20"/>
        <v>0</v>
      </c>
      <c r="F140" s="335">
        <f t="shared" si="20"/>
        <v>0</v>
      </c>
      <c r="G140" s="335">
        <f t="shared" si="20"/>
        <v>0</v>
      </c>
      <c r="H140" s="335">
        <f t="shared" si="20"/>
        <v>0</v>
      </c>
      <c r="I140" s="326">
        <f t="shared" si="19"/>
        <v>0</v>
      </c>
      <c r="J140" s="1172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9"/>
        <v>0</v>
      </c>
      <c r="J141" s="1171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1">IFERROR(C141/$B$141,0)</f>
        <v>0</v>
      </c>
      <c r="D142" s="335">
        <f t="shared" si="21"/>
        <v>0</v>
      </c>
      <c r="E142" s="335">
        <f t="shared" si="21"/>
        <v>0</v>
      </c>
      <c r="F142" s="335">
        <f t="shared" si="21"/>
        <v>0</v>
      </c>
      <c r="G142" s="335">
        <f t="shared" si="21"/>
        <v>0</v>
      </c>
      <c r="H142" s="335">
        <f t="shared" si="21"/>
        <v>0</v>
      </c>
      <c r="I142" s="326">
        <f t="shared" si="19"/>
        <v>0</v>
      </c>
      <c r="J142" s="1172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9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209996</v>
      </c>
    </row>
    <row r="144" spans="1:20" ht="16.5" thickBot="1">
      <c r="A144" s="321"/>
      <c r="B144" s="336"/>
      <c r="C144" s="335">
        <f t="shared" ref="C144:H144" si="22">IFERROR(C143/$B$143,0)</f>
        <v>0</v>
      </c>
      <c r="D144" s="335">
        <f t="shared" si="22"/>
        <v>0</v>
      </c>
      <c r="E144" s="335">
        <f t="shared" si="22"/>
        <v>0</v>
      </c>
      <c r="F144" s="335">
        <f t="shared" si="22"/>
        <v>0</v>
      </c>
      <c r="G144" s="335">
        <f t="shared" si="22"/>
        <v>0</v>
      </c>
      <c r="H144" s="335">
        <f t="shared" si="22"/>
        <v>0</v>
      </c>
      <c r="I144" s="326">
        <f t="shared" si="19"/>
        <v>0</v>
      </c>
      <c r="J144" s="1172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9"/>
        <v>0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3">IFERROR(C145/$B$145,0)</f>
        <v>0</v>
      </c>
      <c r="D146" s="335">
        <f t="shared" si="23"/>
        <v>0</v>
      </c>
      <c r="E146" s="335">
        <f t="shared" si="23"/>
        <v>0</v>
      </c>
      <c r="F146" s="335">
        <f t="shared" si="23"/>
        <v>0</v>
      </c>
      <c r="G146" s="335">
        <f t="shared" si="23"/>
        <v>0</v>
      </c>
      <c r="H146" s="335">
        <f t="shared" si="23"/>
        <v>0</v>
      </c>
      <c r="I146" s="326">
        <f t="shared" si="19"/>
        <v>0</v>
      </c>
      <c r="J146" s="1172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9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4">IFERROR(C147/$B$147,0)</f>
        <v>0</v>
      </c>
      <c r="D148" s="335">
        <f t="shared" si="24"/>
        <v>0</v>
      </c>
      <c r="E148" s="335">
        <f t="shared" si="24"/>
        <v>0</v>
      </c>
      <c r="F148" s="335">
        <f t="shared" si="24"/>
        <v>0</v>
      </c>
      <c r="G148" s="335">
        <f t="shared" si="24"/>
        <v>0</v>
      </c>
      <c r="H148" s="335">
        <f t="shared" si="24"/>
        <v>0</v>
      </c>
      <c r="I148" s="326">
        <f t="shared" si="19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5">B139+B141+B143+B145+B147</f>
        <v>0</v>
      </c>
      <c r="C149" s="349">
        <f t="shared" si="25"/>
        <v>0</v>
      </c>
      <c r="D149" s="349">
        <f t="shared" si="25"/>
        <v>0</v>
      </c>
      <c r="E149" s="349">
        <f>E139+E141+E143+E145+E147</f>
        <v>0</v>
      </c>
      <c r="F149" s="349">
        <f t="shared" si="25"/>
        <v>0</v>
      </c>
      <c r="G149" s="349">
        <f t="shared" si="25"/>
        <v>0</v>
      </c>
      <c r="H149" s="349">
        <f t="shared" si="25"/>
        <v>0</v>
      </c>
      <c r="I149" s="324">
        <f t="shared" si="25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6">IFERROR(C149/$B$149,0)</f>
        <v>0</v>
      </c>
      <c r="D150" s="335">
        <f t="shared" si="26"/>
        <v>0</v>
      </c>
      <c r="E150" s="335">
        <f t="shared" si="26"/>
        <v>0</v>
      </c>
      <c r="F150" s="335">
        <f t="shared" si="26"/>
        <v>0</v>
      </c>
      <c r="G150" s="335">
        <f t="shared" si="26"/>
        <v>0</v>
      </c>
      <c r="H150" s="335">
        <f t="shared" si="26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K133:N133"/>
    <mergeCell ref="K142:N142"/>
    <mergeCell ref="O62:P62"/>
    <mergeCell ref="O63:P63"/>
    <mergeCell ref="O49:P49"/>
    <mergeCell ref="O50:P50"/>
    <mergeCell ref="O52:P52"/>
    <mergeCell ref="O53:P53"/>
    <mergeCell ref="O59:P59"/>
    <mergeCell ref="O67:P67"/>
    <mergeCell ref="N129:P129"/>
    <mergeCell ref="O69:P69"/>
    <mergeCell ref="O70:P70"/>
    <mergeCell ref="O71:P71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14:K114"/>
    <mergeCell ref="L99:M99"/>
    <mergeCell ref="N99:O99"/>
    <mergeCell ref="J105:K105"/>
    <mergeCell ref="J106:K106"/>
    <mergeCell ref="J107:K107"/>
    <mergeCell ref="J111:K111"/>
    <mergeCell ref="O66:P66"/>
    <mergeCell ref="A123:I123"/>
    <mergeCell ref="A124:A125"/>
    <mergeCell ref="B124:B125"/>
    <mergeCell ref="C124:C125"/>
    <mergeCell ref="D124:F124"/>
    <mergeCell ref="G124:I124"/>
    <mergeCell ref="J112:K112"/>
    <mergeCell ref="O9:P9"/>
    <mergeCell ref="O10:P10"/>
    <mergeCell ref="O68:P68"/>
    <mergeCell ref="O72:P72"/>
    <mergeCell ref="O73:P73"/>
    <mergeCell ref="O60:P60"/>
    <mergeCell ref="A97:A99"/>
    <mergeCell ref="B97:B99"/>
    <mergeCell ref="C97:C99"/>
    <mergeCell ref="D97:F98"/>
    <mergeCell ref="G97:I98"/>
    <mergeCell ref="O23:P23"/>
    <mergeCell ref="O38:P38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47:P47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30:P30"/>
    <mergeCell ref="O22:P22"/>
    <mergeCell ref="B78:B79"/>
    <mergeCell ref="C78:C79"/>
    <mergeCell ref="D78:H78"/>
    <mergeCell ref="I78:M78"/>
    <mergeCell ref="P78:P79"/>
    <mergeCell ref="N78:O78"/>
    <mergeCell ref="A96:K96"/>
    <mergeCell ref="O64:P64"/>
    <mergeCell ref="O65:P65"/>
    <mergeCell ref="J129:J130"/>
    <mergeCell ref="K129:L129"/>
    <mergeCell ref="A136:A138"/>
    <mergeCell ref="B136:B137"/>
    <mergeCell ref="C136:I136"/>
    <mergeCell ref="J139:J140"/>
    <mergeCell ref="J141:J142"/>
    <mergeCell ref="O5:P5"/>
    <mergeCell ref="O6:P6"/>
    <mergeCell ref="O7:P7"/>
    <mergeCell ref="O8:P8"/>
    <mergeCell ref="A77:P77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21:P21"/>
    <mergeCell ref="A78:A7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63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855468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06 ",Q1)</f>
        <v>Ежедневный отчет производства и отгрузки за 06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>F6+F9</f>
        <v>0</v>
      </c>
      <c r="G5" s="89">
        <f t="shared" si="0"/>
        <v>40200</v>
      </c>
      <c r="H5" s="89">
        <f t="shared" si="0"/>
        <v>16874.071396806572</v>
      </c>
      <c r="I5" s="90">
        <f>IFERROR((H5/G5),0)</f>
        <v>0.419753019821059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>
        <v>6671.6154299884374</v>
      </c>
      <c r="G6" s="110">
        <f>E6+'05'!G6</f>
        <v>0</v>
      </c>
      <c r="H6" s="110">
        <f>F6+'05'!H6</f>
        <v>6671.6154299884374</v>
      </c>
      <c r="I6" s="138"/>
      <c r="J6" s="750"/>
      <c r="K6" s="124">
        <f>J6+'05'!K6</f>
        <v>0</v>
      </c>
      <c r="L6" s="149">
        <f>D6+H6-K6-M6-N6</f>
        <v>22624.535195522654</v>
      </c>
      <c r="M6" s="101"/>
      <c r="N6" s="101"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F7+'05'!H7</f>
        <v>0</v>
      </c>
      <c r="I7" s="138"/>
      <c r="J7" s="750"/>
      <c r="K7" s="124">
        <f>J7+'05'!K7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F8+'05'!H8</f>
        <v>0</v>
      </c>
      <c r="I8" s="138"/>
      <c r="J8" s="750"/>
      <c r="K8" s="124">
        <f>J8+'05'!K8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F10+F11+F8+F12+F13</f>
        <v>-6671.6154299884374</v>
      </c>
      <c r="G9" s="98">
        <f>E9+'05'!G9</f>
        <v>40200</v>
      </c>
      <c r="H9" s="98">
        <f>F9+'05'!H9</f>
        <v>10202.455966818135</v>
      </c>
      <c r="I9" s="138">
        <f>IFERROR((H9/G9),0)</f>
        <v>0.25379243698552578</v>
      </c>
      <c r="J9" s="177">
        <f>J10+J11+J12+J13</f>
        <v>0</v>
      </c>
      <c r="K9" s="100">
        <f>J9+'05'!K9</f>
        <v>17027.103675312697</v>
      </c>
      <c r="L9" s="96">
        <f>D9+H9-K9+M9+N9</f>
        <v>120247.64605291751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134"/>
      <c r="F10" s="110">
        <v>-6671.6154299884374</v>
      </c>
      <c r="G10" s="98">
        <f>E10+'05'!G10</f>
        <v>0</v>
      </c>
      <c r="H10" s="110">
        <f>F10+'05'!H10</f>
        <v>10202.455966818135</v>
      </c>
      <c r="I10" s="138"/>
      <c r="J10" s="750">
        <v>0</v>
      </c>
      <c r="K10" s="124">
        <f>J10+'05'!K10</f>
        <v>17027.103675312697</v>
      </c>
      <c r="L10" s="149">
        <f>D10+H10-K10+M10-N10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134"/>
      <c r="F11" s="110"/>
      <c r="G11" s="98">
        <f>E11+'05'!G11</f>
        <v>0</v>
      </c>
      <c r="H11" s="110">
        <f>F11+'05'!H11</f>
        <v>0</v>
      </c>
      <c r="I11" s="138"/>
      <c r="J11" s="178">
        <v>0</v>
      </c>
      <c r="K11" s="124">
        <f>J11+'05'!K11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E12+'05'!G12</f>
        <v>0</v>
      </c>
      <c r="H12" s="110">
        <f>F12+'05'!H12</f>
        <v>0</v>
      </c>
      <c r="I12" s="757">
        <f>IFERROR((H12/G12),0)</f>
        <v>0</v>
      </c>
      <c r="J12" s="178"/>
      <c r="K12" s="124">
        <f>J12+'05'!K12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F13+'05'!H13</f>
        <v>0</v>
      </c>
      <c r="I13" s="138"/>
      <c r="J13" s="178"/>
      <c r="K13" s="124">
        <f>J13+'05'!K13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6759.0000000000018</v>
      </c>
      <c r="F14" s="89">
        <f>SUM(F15:F21)</f>
        <v>0</v>
      </c>
      <c r="G14" s="89">
        <f>SUM(G15:G21)</f>
        <v>36518</v>
      </c>
      <c r="H14" s="89">
        <f>SUM(H15:H21)</f>
        <v>18857.68830004807</v>
      </c>
      <c r="I14" s="90">
        <f t="shared" ref="I14:I21" si="1">IFERROR((H14/G14),0)</f>
        <v>0.51639433430220905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t="15.75" hidden="1" customHeight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E15+'05'!G15</f>
        <v>0</v>
      </c>
      <c r="H15" s="110">
        <f>F15+'05'!H15</f>
        <v>0</v>
      </c>
      <c r="I15" s="138">
        <f t="shared" si="1"/>
        <v>0</v>
      </c>
      <c r="J15" s="178">
        <v>0</v>
      </c>
      <c r="K15" s="124">
        <f>J15+'05'!K15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1536.9932731747335</v>
      </c>
      <c r="F16" s="110">
        <v>0</v>
      </c>
      <c r="G16" s="110">
        <f>E16+'05'!G16</f>
        <v>8304.1752255947504</v>
      </c>
      <c r="H16" s="110">
        <f>F16+'05'!H16</f>
        <v>3228.5002277343951</v>
      </c>
      <c r="I16" s="758">
        <f t="shared" si="1"/>
        <v>0.3887803592804327</v>
      </c>
      <c r="J16" s="751">
        <f>IFERROR(SUMIF(A101:A114,A16,E101:E114),0)+E111+E112+E113</f>
        <v>0</v>
      </c>
      <c r="K16" s="124">
        <f>J16+'05'!K16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09">
        <v>0</v>
      </c>
      <c r="G17" s="110">
        <f>E17+'05'!G17</f>
        <v>0</v>
      </c>
      <c r="H17" s="110">
        <f>F17+'05'!H17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J17+'05'!K17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/>
      <c r="G18" s="110">
        <f>E18+'05'!G18</f>
        <v>0</v>
      </c>
      <c r="H18" s="110">
        <f>F18+'05'!H18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J18+'05'!K18</f>
        <v>0</v>
      </c>
      <c r="L18" s="127">
        <f t="shared" si="2"/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5051.5762407711245</v>
      </c>
      <c r="F19" s="131">
        <v>0</v>
      </c>
      <c r="G19" s="110">
        <f>E19+'05'!G19</f>
        <v>27293.010972108284</v>
      </c>
      <c r="H19" s="110">
        <f>F19+'05'!H19</f>
        <v>15629.188072313675</v>
      </c>
      <c r="I19" s="759">
        <f t="shared" si="1"/>
        <v>0.57264433331616316</v>
      </c>
      <c r="J19" s="751">
        <f>IFERROR(SUMIF(A102:A115,A19,E102:E115),0)+E117+E115+E122</f>
        <v>0</v>
      </c>
      <c r="K19" s="124">
        <f>J19+'05'!K19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123.3004614438064</v>
      </c>
      <c r="F20" s="110">
        <v>0</v>
      </c>
      <c r="G20" s="110">
        <f>E20+'05'!G20</f>
        <v>666.17639458572603</v>
      </c>
      <c r="H20" s="110">
        <f>F20+'05'!H20</f>
        <v>0</v>
      </c>
      <c r="I20" s="138">
        <f t="shared" si="1"/>
        <v>0</v>
      </c>
      <c r="J20" s="751">
        <f>IFERROR(SUMIF(A102:A115,A20,E102:E115),0)</f>
        <v>0</v>
      </c>
      <c r="K20" s="124">
        <f>J20+'05'!K20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47.130024610336342</v>
      </c>
      <c r="F21" s="110">
        <v>0</v>
      </c>
      <c r="G21" s="110">
        <f>E21+'05'!G21</f>
        <v>254.63740771123869</v>
      </c>
      <c r="H21" s="110">
        <f>F21+'05'!H21</f>
        <v>0</v>
      </c>
      <c r="I21" s="138">
        <f t="shared" si="1"/>
        <v>0</v>
      </c>
      <c r="J21" s="751">
        <f>IFERROR(SUMIF(A102:A115,A21,E102:E115),0)</f>
        <v>0</v>
      </c>
      <c r="K21" s="124">
        <f>J21+'05'!K21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E22+'05'!G22</f>
        <v>0</v>
      </c>
      <c r="H22" s="110">
        <f>F22+'05'!H22</f>
        <v>2130.1044634377968</v>
      </c>
      <c r="I22" s="99"/>
      <c r="J22" s="751">
        <f>IFERROR(SUMIF(A103:A123,A22,E103:E123),0)+E109</f>
        <v>0</v>
      </c>
      <c r="K22" s="124">
        <f>J22+'05'!K22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E23+'05'!G23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J23+'05'!K23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E24+'05'!G24</f>
        <v>0</v>
      </c>
      <c r="H24" s="110">
        <f>F24+'05'!H24</f>
        <v>0</v>
      </c>
      <c r="I24" s="99"/>
      <c r="J24" s="751">
        <v>0</v>
      </c>
      <c r="K24" s="124">
        <f>J24+'05'!K24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E25+'05'!G25</f>
        <v>0</v>
      </c>
      <c r="H25" s="110">
        <f>F25+'05'!H25</f>
        <v>0</v>
      </c>
      <c r="I25" s="99"/>
      <c r="J25" s="752">
        <v>0</v>
      </c>
      <c r="K25" s="124">
        <f>J25+'05'!K25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E26+'05'!G26</f>
        <v>0</v>
      </c>
      <c r="H26" s="110">
        <f>F26+'05'!H26</f>
        <v>0</v>
      </c>
      <c r="I26" s="99"/>
      <c r="J26" s="752">
        <v>0</v>
      </c>
      <c r="K26" s="124">
        <f>J26+'05'!K26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E27+'05'!G27</f>
        <v>0</v>
      </c>
      <c r="H27" s="110">
        <f>F27+'05'!H27</f>
        <v>0</v>
      </c>
      <c r="I27" s="99"/>
      <c r="J27" s="752"/>
      <c r="K27" s="124">
        <f>J27+'05'!K27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E28+'05'!G28</f>
        <v>0</v>
      </c>
      <c r="H28" s="110">
        <f>F28+'05'!H28</f>
        <v>0</v>
      </c>
      <c r="I28" s="99"/>
      <c r="J28" s="752"/>
      <c r="K28" s="124">
        <f>J28+'05'!K28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E29+'05'!G29</f>
        <v>0</v>
      </c>
      <c r="H29" s="110">
        <f>F29+'05'!H29</f>
        <v>0</v>
      </c>
      <c r="I29" s="99"/>
      <c r="J29" s="752"/>
      <c r="K29" s="124">
        <f>J29+'05'!K29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E30+'05'!G30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J30+'05'!K30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E31+'05'!G31</f>
        <v>0</v>
      </c>
      <c r="H31" s="110">
        <f>F31+'05'!H31</f>
        <v>0</v>
      </c>
      <c r="I31" s="99"/>
      <c r="J31" s="865">
        <v>0</v>
      </c>
      <c r="K31" s="124">
        <f>J31+'05'!K31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E32+'05'!G32</f>
        <v>0</v>
      </c>
      <c r="H32" s="110">
        <f>F32+'05'!H32</f>
        <v>554.40000000000009</v>
      </c>
      <c r="I32" s="99"/>
      <c r="J32" s="865">
        <v>0</v>
      </c>
      <c r="K32" s="124">
        <f>J32+'05'!K32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E33+'05'!G33</f>
        <v>0</v>
      </c>
      <c r="H33" s="110">
        <f>F33+'05'!H33</f>
        <v>0</v>
      </c>
      <c r="I33" s="99"/>
      <c r="J33" s="865">
        <v>0</v>
      </c>
      <c r="K33" s="124">
        <f>J33+'05'!K33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E34+'05'!G34</f>
        <v>0</v>
      </c>
      <c r="H34" s="110">
        <f>F34+'05'!H34</f>
        <v>0</v>
      </c>
      <c r="I34" s="99"/>
      <c r="J34" s="865"/>
      <c r="K34" s="124">
        <f>J34+'05'!K34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E35+'05'!G35</f>
        <v>0</v>
      </c>
      <c r="H35" s="110">
        <f>F35+'05'!H35</f>
        <v>0</v>
      </c>
      <c r="I35" s="99"/>
      <c r="J35" s="865"/>
      <c r="K35" s="124">
        <f>J35+'05'!K35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E36+'05'!G36</f>
        <v>0</v>
      </c>
      <c r="H36" s="110">
        <f>F36+'05'!H36</f>
        <v>0</v>
      </c>
      <c r="I36" s="99"/>
      <c r="J36" s="110">
        <v>0</v>
      </c>
      <c r="K36" s="124">
        <f>J36+'05'!K36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E37+'05'!G37</f>
        <v>0</v>
      </c>
      <c r="H37" s="110">
        <f>F37+'05'!H37</f>
        <v>0</v>
      </c>
      <c r="I37" s="99"/>
      <c r="J37" s="110">
        <v>0</v>
      </c>
      <c r="K37" s="124">
        <f>J37+'05'!K37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s="120" customFormat="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E38+'05'!G38</f>
        <v>29798.343301509729</v>
      </c>
      <c r="H38" s="676">
        <f>F38+'05'!H38</f>
        <v>9132.5707721894778</v>
      </c>
      <c r="I38" s="760">
        <f>IFERROR((H38/G38),0)</f>
        <v>0.3064791448230203</v>
      </c>
      <c r="J38" s="954">
        <f>SUM(J39:J40)</f>
        <v>0</v>
      </c>
      <c r="K38" s="677">
        <f>J38+'05'!K38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202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F39+'05'!H39</f>
        <v>6840.5707721894778</v>
      </c>
      <c r="I39" s="138"/>
      <c r="J39" s="750">
        <f>F39</f>
        <v>0</v>
      </c>
      <c r="K39" s="124">
        <f>J39+'05'!K39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71">
        <v>0</v>
      </c>
      <c r="G40" s="110"/>
      <c r="H40" s="110">
        <f>F40+'05'!H40</f>
        <v>2292</v>
      </c>
      <c r="I40" s="138"/>
      <c r="J40" s="178">
        <v>0</v>
      </c>
      <c r="K40" s="124">
        <f>J40+'05'!K40</f>
        <v>2243</v>
      </c>
      <c r="L40" s="149"/>
      <c r="M40" s="198"/>
      <c r="N40" s="117"/>
      <c r="O40" s="1125"/>
      <c r="P40" s="1126"/>
      <c r="Q40" s="595"/>
      <c r="R40" s="590"/>
      <c r="S40" s="700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F41+'05'!H41</f>
        <v>0</v>
      </c>
      <c r="I41" s="138"/>
      <c r="J41" s="178"/>
      <c r="K41" s="124">
        <f>J41+'05'!K41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F42+'05'!H42</f>
        <v>0</v>
      </c>
      <c r="I42" s="138"/>
      <c r="J42" s="178"/>
      <c r="K42" s="124">
        <f>J42+'05'!K42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E43+'05'!G43</f>
        <v>19320.375759348841</v>
      </c>
      <c r="H43" s="110">
        <f>F43+'05'!H43</f>
        <v>8403.7999999999993</v>
      </c>
      <c r="I43" s="138">
        <f>IFERROR((H43/G43),0)</f>
        <v>0.43497083621334465</v>
      </c>
      <c r="J43" s="178">
        <f>F43</f>
        <v>0</v>
      </c>
      <c r="K43" s="124">
        <f>J43+'05'!K43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E44+'05'!G44</f>
        <v>8169.3866177502814</v>
      </c>
      <c r="H44" s="110">
        <f>F44+'05'!H44</f>
        <v>7255</v>
      </c>
      <c r="I44" s="138">
        <f>IFERROR((H44/G44),0)</f>
        <v>0.88807157005355575</v>
      </c>
      <c r="J44" s="178">
        <v>0</v>
      </c>
      <c r="K44" s="124">
        <f>J44+'05'!K44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F45+'05'!H45</f>
        <v>0</v>
      </c>
      <c r="I45" s="138"/>
      <c r="J45" s="178"/>
      <c r="K45" s="124">
        <f>J45+'05'!K45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F46+'05'!H46</f>
        <v>0</v>
      </c>
      <c r="I46" s="138"/>
      <c r="J46" s="178"/>
      <c r="K46" s="124">
        <f>J46+'05'!K46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F47+'05'!H47</f>
        <v>0</v>
      </c>
      <c r="I47" s="138"/>
      <c r="J47" s="178"/>
      <c r="K47" s="124">
        <f>J47+'05'!K47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203">
        <f>'01'!D48</f>
        <v>14554.971764167974</v>
      </c>
      <c r="E48" s="172">
        <f>C48/30</f>
        <v>7955.4488420848165</v>
      </c>
      <c r="F48" s="171">
        <v>0</v>
      </c>
      <c r="G48" s="171">
        <f>E48+'05'!G48</f>
        <v>47732.693052508897</v>
      </c>
      <c r="H48" s="171">
        <f>F48+'05'!H48</f>
        <v>15244.370772189477</v>
      </c>
      <c r="I48" s="960">
        <f>IFERROR((H48/G48),0)</f>
        <v>0.31936959340257071</v>
      </c>
      <c r="J48" s="750">
        <v>0</v>
      </c>
      <c r="K48" s="124">
        <f>J48+'05'!K48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6000</v>
      </c>
      <c r="F49" s="110">
        <f>SUM(F50:F51)</f>
        <v>0</v>
      </c>
      <c r="G49" s="110">
        <f>SUM(G50:G51)</f>
        <v>63500</v>
      </c>
      <c r="H49" s="110">
        <f>SUM(H50:H51)</f>
        <v>32176.186994748638</v>
      </c>
      <c r="I49" s="138">
        <f>IFERROR((H49/G49),0)</f>
        <v>0.50671160621651401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E50+'05'!G50</f>
        <v>0</v>
      </c>
      <c r="H50" s="110">
        <f>F50+'05'!H50</f>
        <v>0</v>
      </c>
      <c r="I50" s="138">
        <f>IFERROR((H50/G50),0)</f>
        <v>0</v>
      </c>
      <c r="J50" s="178"/>
      <c r="K50" s="124">
        <f>J50+'05'!K50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6000</v>
      </c>
      <c r="F51" s="110">
        <v>0</v>
      </c>
      <c r="G51" s="110">
        <f>E51+'05'!G51</f>
        <v>63500</v>
      </c>
      <c r="H51" s="110">
        <f>F51+'05'!H51</f>
        <v>32176.186994748638</v>
      </c>
      <c r="I51" s="138">
        <f>IFERROR((H51/G51),0)</f>
        <v>0.50671160621651401</v>
      </c>
      <c r="J51" s="178">
        <f>O51-P51</f>
        <v>0</v>
      </c>
      <c r="K51" s="124">
        <f>J51+'05'!K51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E53+'05'!G53</f>
        <v>0</v>
      </c>
      <c r="H53" s="110">
        <f>F53+'05'!H53</f>
        <v>0</v>
      </c>
      <c r="I53" s="759">
        <f t="shared" ref="I53:I58" si="4">IFERROR((H53/G53),0)</f>
        <v>0</v>
      </c>
      <c r="J53" s="754"/>
      <c r="K53" s="124">
        <f>J53+'05'!K53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E54+'05'!G54</f>
        <v>1935.4838709677417</v>
      </c>
      <c r="H54" s="110">
        <f>F54+'05'!H54</f>
        <v>0</v>
      </c>
      <c r="I54" s="759">
        <f t="shared" si="4"/>
        <v>0</v>
      </c>
      <c r="J54" s="754">
        <v>0</v>
      </c>
      <c r="K54" s="124">
        <f>J54+'05'!K54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E55+'05'!G55</f>
        <v>3290.3225806451615</v>
      </c>
      <c r="H55" s="110">
        <f>F55+'05'!H55</f>
        <v>0</v>
      </c>
      <c r="I55" s="759">
        <f t="shared" si="4"/>
        <v>0</v>
      </c>
      <c r="J55" s="754">
        <v>0</v>
      </c>
      <c r="K55" s="124">
        <f>J55+'05'!K55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E56+'05'!G56</f>
        <v>0</v>
      </c>
      <c r="H56" s="110">
        <f>F56+'05'!H56</f>
        <v>0</v>
      </c>
      <c r="I56" s="759">
        <f t="shared" si="4"/>
        <v>0</v>
      </c>
      <c r="J56" s="754"/>
      <c r="K56" s="124">
        <f>J56+'05'!K56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E57+'05'!G57</f>
        <v>0</v>
      </c>
      <c r="H57" s="110">
        <f>F57+'05'!H57</f>
        <v>0</v>
      </c>
      <c r="I57" s="759">
        <f t="shared" si="4"/>
        <v>0</v>
      </c>
      <c r="J57" s="754"/>
      <c r="K57" s="124">
        <f>J57+'05'!K57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E58+'05'!G58</f>
        <v>0</v>
      </c>
      <c r="H58" s="110">
        <f>F58+'05'!H58</f>
        <v>0</v>
      </c>
      <c r="I58" s="759">
        <f t="shared" si="4"/>
        <v>0</v>
      </c>
      <c r="J58" s="754">
        <v>0</v>
      </c>
      <c r="K58" s="124">
        <f>J58+'05'!K58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 ht="15" customHeigh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F59+'05'!H59</f>
        <v>0</v>
      </c>
      <c r="I59" s="759"/>
      <c r="J59" s="754"/>
      <c r="K59" s="124">
        <f>J59+'05'!K59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F60+'05'!H60</f>
        <v>0</v>
      </c>
      <c r="I60" s="759"/>
      <c r="J60" s="754"/>
      <c r="K60" s="124">
        <f>J60+'05'!K60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>
        <v>-225.22132736459821</v>
      </c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F61+'05'!H61</f>
        <v>0</v>
      </c>
      <c r="I61" s="759"/>
      <c r="J61" s="754">
        <f>D139+D141</f>
        <v>0</v>
      </c>
      <c r="K61" s="124">
        <f>J61+'05'!K61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F62+'05'!H62</f>
        <v>0</v>
      </c>
      <c r="I62" s="522"/>
      <c r="J62" s="754">
        <v>0</v>
      </c>
      <c r="K62" s="124">
        <f>J62+'05'!K62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F63+'05'!H63</f>
        <v>3329.1499999999996</v>
      </c>
      <c r="I63" s="1059"/>
      <c r="J63" s="1068">
        <v>0</v>
      </c>
      <c r="K63" s="668">
        <f>J63+'05'!K63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F64+'05'!H64</f>
        <v>0</v>
      </c>
      <c r="I64" s="522"/>
      <c r="J64" s="754"/>
      <c r="K64" s="124">
        <f>J64+'05'!K64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F65+'05'!H65</f>
        <v>0</v>
      </c>
      <c r="I65" s="759"/>
      <c r="J65" s="754"/>
      <c r="K65" s="124">
        <f>J65+'05'!K65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F66+'05'!H66</f>
        <v>0</v>
      </c>
      <c r="I66" s="759"/>
      <c r="J66" s="754"/>
      <c r="K66" s="124">
        <f>J66+'05'!K66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F67+'05'!H67</f>
        <v>0</v>
      </c>
      <c r="I67" s="759"/>
      <c r="J67" s="754"/>
      <c r="K67" s="124">
        <f>J67+'05'!K67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F68+'05'!H68</f>
        <v>0</v>
      </c>
      <c r="I68" s="759"/>
      <c r="J68" s="754"/>
      <c r="K68" s="124">
        <f>J68+'05'!K68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F69+'05'!H69</f>
        <v>0</v>
      </c>
      <c r="I69" s="759"/>
      <c r="J69" s="754">
        <v>0</v>
      </c>
      <c r="K69" s="124">
        <f>J69+'05'!K69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F70+'05'!H70</f>
        <v>3329.1499999999996</v>
      </c>
      <c r="I70" s="759"/>
      <c r="J70" s="754"/>
      <c r="K70" s="124">
        <f>J70+'05'!K70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F71+'05'!H71</f>
        <v>0</v>
      </c>
      <c r="I71" s="759"/>
      <c r="J71" s="754"/>
      <c r="K71" s="124">
        <f>J71+'05'!K71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F72+'05'!H72</f>
        <v>1911.376034856974</v>
      </c>
      <c r="I72" s="388"/>
      <c r="J72" s="756">
        <f>K131</f>
        <v>0</v>
      </c>
      <c r="K72" s="395">
        <f>J72+'05'!K72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F73+'05'!H73</f>
        <v>0</v>
      </c>
      <c r="I73" s="934"/>
      <c r="J73" s="931"/>
      <c r="K73" s="935">
        <f>J73+'05'!K73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27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24*6-K80</f>
        <v>144</v>
      </c>
      <c r="M80" s="139">
        <f t="shared" ref="M80:M94" si="11">K80/(24*6)</f>
        <v>0</v>
      </c>
      <c r="N80" s="965"/>
      <c r="O80" s="302">
        <f>N80+'05'!O80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27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24*6-K81</f>
        <v>144</v>
      </c>
      <c r="M81" s="139">
        <f t="shared" si="11"/>
        <v>0</v>
      </c>
      <c r="N81" s="965"/>
      <c r="O81" s="302">
        <f>N81+'05'!O81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F82+'05'!K82</f>
        <v>43.903888888888886</v>
      </c>
      <c r="L82" s="110">
        <f>24*6-K82</f>
        <v>100.09611111111111</v>
      </c>
      <c r="M82" s="139">
        <f t="shared" si="11"/>
        <v>0.3048881172839506</v>
      </c>
      <c r="N82" s="716">
        <v>0</v>
      </c>
      <c r="O82" s="303">
        <f>N82+'05'!O82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F83+'05'!K83</f>
        <v>64.575555555555553</v>
      </c>
      <c r="L83" s="134">
        <f>G83+'05'!L83</f>
        <v>79.424444444444447</v>
      </c>
      <c r="M83" s="139">
        <f t="shared" si="11"/>
        <v>0.44844135802469132</v>
      </c>
      <c r="N83" s="716">
        <v>0</v>
      </c>
      <c r="O83" s="303">
        <f>N83+'05'!O83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F84+'05'!K84</f>
        <v>64.977499999999992</v>
      </c>
      <c r="L84" s="134">
        <f>G84+'05'!L84</f>
        <v>79.022500000000008</v>
      </c>
      <c r="M84" s="139">
        <f t="shared" si="11"/>
        <v>0.45123263888888882</v>
      </c>
      <c r="N84" s="716">
        <v>0</v>
      </c>
      <c r="O84" s="303">
        <f>N84+'05'!O84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06" t="s">
        <v>17</v>
      </c>
      <c r="C85" s="127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F85+'05'!K85</f>
        <v>0</v>
      </c>
      <c r="L85" s="134">
        <f>G85+'05'!L85</f>
        <v>144</v>
      </c>
      <c r="M85" s="139">
        <f t="shared" si="11"/>
        <v>0</v>
      </c>
      <c r="N85" s="965">
        <v>0</v>
      </c>
      <c r="O85" s="302">
        <f>N85+'05'!O85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06" t="s">
        <v>17</v>
      </c>
      <c r="C86" s="127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F86+'05'!K86</f>
        <v>0</v>
      </c>
      <c r="L86" s="134">
        <f>G86+'05'!L86</f>
        <v>120</v>
      </c>
      <c r="M86" s="139">
        <f t="shared" si="11"/>
        <v>0</v>
      </c>
      <c r="N86" s="965">
        <v>0</v>
      </c>
      <c r="O86" s="303">
        <f>N86+'05'!O86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06" t="s">
        <v>17</v>
      </c>
      <c r="C87" s="127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F87+'05'!K87</f>
        <v>0</v>
      </c>
      <c r="L87" s="134">
        <f>G87+'05'!L87</f>
        <v>120</v>
      </c>
      <c r="M87" s="139">
        <f t="shared" si="11"/>
        <v>0</v>
      </c>
      <c r="N87" s="965">
        <v>0</v>
      </c>
      <c r="O87" s="302">
        <f>N87+'05'!O87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06" t="s">
        <v>17</v>
      </c>
      <c r="C88" s="127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F88+'05'!K88</f>
        <v>0</v>
      </c>
      <c r="L88" s="134">
        <f>G88+'05'!L88</f>
        <v>120</v>
      </c>
      <c r="M88" s="139">
        <f t="shared" si="11"/>
        <v>0</v>
      </c>
      <c r="N88" s="716">
        <v>0</v>
      </c>
      <c r="O88" s="303">
        <f>N88+'05'!O88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F89+'05'!K89</f>
        <v>1.6950000000000001</v>
      </c>
      <c r="L89" s="134">
        <f>G89+'05'!L89</f>
        <v>142.30500000000001</v>
      </c>
      <c r="M89" s="139">
        <f t="shared" si="11"/>
        <v>1.1770833333333335E-2</v>
      </c>
      <c r="N89" s="1001">
        <v>0</v>
      </c>
      <c r="O89" s="303">
        <f>N89+'05'!O89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F90+'05'!K90</f>
        <v>32.664166666666674</v>
      </c>
      <c r="L90" s="134">
        <f>G90+'05'!L90</f>
        <v>111.33583333333333</v>
      </c>
      <c r="M90" s="139">
        <f t="shared" si="11"/>
        <v>0.2268344907407408</v>
      </c>
      <c r="N90" s="1001">
        <v>0</v>
      </c>
      <c r="O90" s="303">
        <f>N90+'05'!O90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27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F91+'05'!K91</f>
        <v>0</v>
      </c>
      <c r="L91" s="134">
        <f>G91+'05'!L91</f>
        <v>144</v>
      </c>
      <c r="M91" s="139">
        <f t="shared" si="11"/>
        <v>0</v>
      </c>
      <c r="N91" s="716">
        <v>0</v>
      </c>
      <c r="O91" s="303">
        <f>N91+'05'!O91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F92+'05'!K92</f>
        <v>71.521666666666675</v>
      </c>
      <c r="L92" s="134">
        <f>G92+'05'!L92</f>
        <v>72.478333333333325</v>
      </c>
      <c r="M92" s="139">
        <f t="shared" si="11"/>
        <v>0.4966782407407408</v>
      </c>
      <c r="N92" s="716">
        <v>0</v>
      </c>
      <c r="O92" s="303">
        <f>N92+'05'!O92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F93+'05'!K93</f>
        <v>64.288611111111109</v>
      </c>
      <c r="L93" s="134">
        <f>G93+'05'!L93</f>
        <v>79.711388888888891</v>
      </c>
      <c r="M93" s="139">
        <f t="shared" si="11"/>
        <v>0.44644868827160494</v>
      </c>
      <c r="N93" s="716">
        <v>0</v>
      </c>
      <c r="O93" s="303">
        <f>N93+'05'!O93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F94+'05'!K94</f>
        <v>32</v>
      </c>
      <c r="L94" s="765">
        <f>G94+'05'!L94</f>
        <v>112</v>
      </c>
      <c r="M94" s="880">
        <f t="shared" si="11"/>
        <v>0.22222222222222221</v>
      </c>
      <c r="N94" s="966">
        <f>E111+E120+E121+E122</f>
        <v>0</v>
      </c>
      <c r="O94" s="871">
        <f>N94+'05'!O94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F95+'05'!K95</f>
        <v>7</v>
      </c>
      <c r="L95" s="443">
        <f>G95+'05'!L95</f>
        <v>137</v>
      </c>
      <c r="M95" s="723">
        <f>K95/(24*6)</f>
        <v>4.8611111111111112E-2</v>
      </c>
      <c r="N95" s="967">
        <f>E112+E114+E115+E118+E119</f>
        <v>0</v>
      </c>
      <c r="O95" s="713">
        <f>N95+'05'!O95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5021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36693</v>
      </c>
      <c r="H100" s="89">
        <f>H101+H110</f>
        <v>19708.249999999993</v>
      </c>
      <c r="I100" s="90">
        <f t="shared" ref="I100:I122" si="15">IFERROR((H100/G100),0)</f>
        <v>0.53711198321205655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5021</v>
      </c>
      <c r="E101" s="98">
        <f>SUM(E102:E109)</f>
        <v>0</v>
      </c>
      <c r="F101" s="99">
        <f t="shared" si="14"/>
        <v>0</v>
      </c>
      <c r="G101" s="169">
        <f>SUM(G102:G109)</f>
        <v>25627</v>
      </c>
      <c r="H101" s="98">
        <f>SUM(H102:H109)</f>
        <v>15844.349999999995</v>
      </c>
      <c r="I101" s="99">
        <f t="shared" si="15"/>
        <v>0.61826784250985267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D102+'05'!G102</f>
        <v>0</v>
      </c>
      <c r="H102" s="110">
        <f>E102+'05'!H102</f>
        <v>0</v>
      </c>
      <c r="I102" s="138">
        <f t="shared" si="15"/>
        <v>0</v>
      </c>
      <c r="J102" s="1148"/>
      <c r="K102" s="1150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645</v>
      </c>
      <c r="E103" s="166">
        <v>0</v>
      </c>
      <c r="F103" s="138">
        <f t="shared" si="14"/>
        <v>0</v>
      </c>
      <c r="G103" s="445">
        <f>D103+'05'!G103</f>
        <v>2140</v>
      </c>
      <c r="H103" s="146">
        <f>E103+'05'!H103</f>
        <v>0</v>
      </c>
      <c r="I103" s="138">
        <f t="shared" si="15"/>
        <v>0</v>
      </c>
      <c r="J103" s="1148"/>
      <c r="K103" s="1150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4264</v>
      </c>
      <c r="E104" s="110">
        <v>0</v>
      </c>
      <c r="F104" s="138">
        <f t="shared" si="14"/>
        <v>0</v>
      </c>
      <c r="G104" s="134">
        <f>D104+'05'!G104</f>
        <v>22662</v>
      </c>
      <c r="H104" s="110">
        <f>E104+'05'!H104</f>
        <v>12980.249999999995</v>
      </c>
      <c r="I104" s="138">
        <f t="shared" si="15"/>
        <v>0.57277601270849854</v>
      </c>
      <c r="J104" s="1148"/>
      <c r="K104" s="1150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D105+'05'!G105</f>
        <v>0</v>
      </c>
      <c r="H105" s="110">
        <f>E105+'05'!H105</f>
        <v>475.6</v>
      </c>
      <c r="I105" s="138">
        <f t="shared" si="15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D106+'05'!G106</f>
        <v>0</v>
      </c>
      <c r="H106" s="110">
        <f>E106+'05'!H106</f>
        <v>1280.3</v>
      </c>
      <c r="I106" s="138">
        <f t="shared" si="15"/>
        <v>0</v>
      </c>
      <c r="J106" s="1148"/>
      <c r="K106" s="1150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D107+'05'!G107</f>
        <v>0</v>
      </c>
      <c r="H107" s="110">
        <f>E107+'05'!H107</f>
        <v>0</v>
      </c>
      <c r="I107" s="138">
        <f t="shared" si="15"/>
        <v>0</v>
      </c>
      <c r="J107" s="1148"/>
      <c r="K107" s="1150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87</v>
      </c>
      <c r="E108" s="110">
        <v>0</v>
      </c>
      <c r="F108" s="138">
        <f t="shared" si="14"/>
        <v>0</v>
      </c>
      <c r="G108" s="134">
        <f>D108+'05'!G108</f>
        <v>650</v>
      </c>
      <c r="H108" s="110">
        <f>E108+'05'!H108</f>
        <v>826.59999999999991</v>
      </c>
      <c r="I108" s="138">
        <f t="shared" si="15"/>
        <v>1.2716923076923075</v>
      </c>
      <c r="J108" s="797"/>
      <c r="K108" s="798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134">
        <f>D109+'05'!G109</f>
        <v>175</v>
      </c>
      <c r="H109" s="110">
        <f>E109+'05'!H109</f>
        <v>281.59999999999997</v>
      </c>
      <c r="I109" s="138">
        <f t="shared" si="15"/>
        <v>1.609142857142857</v>
      </c>
      <c r="J109" s="797"/>
      <c r="K109" s="798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1763</v>
      </c>
      <c r="E110" s="98">
        <f>SUM(E111:E122)</f>
        <v>0</v>
      </c>
      <c r="F110" s="1053">
        <f>IFERROR((E110/D110),0)</f>
        <v>0</v>
      </c>
      <c r="G110" s="1051">
        <f>SUM(G111:G122)</f>
        <v>11066</v>
      </c>
      <c r="H110" s="98">
        <f>SUM(H111:H122)</f>
        <v>3863.8999999999996</v>
      </c>
      <c r="I110" s="1053">
        <f>IFERROR((H110/G110),0)</f>
        <v>0.34916862461594067</v>
      </c>
      <c r="J110" s="797"/>
      <c r="K110" s="798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D111+'05'!G111</f>
        <v>0</v>
      </c>
      <c r="H111" s="110">
        <f>E111+'05'!H111</f>
        <v>1026.1499999999999</v>
      </c>
      <c r="I111" s="138">
        <f>IFERROR((H111/G111),0)</f>
        <v>0</v>
      </c>
      <c r="J111" s="1148"/>
      <c r="K111" s="1150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D112+'05'!G112</f>
        <v>0</v>
      </c>
      <c r="H112" s="110">
        <f>E112+'05'!H112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D113+'05'!G113</f>
        <v>0</v>
      </c>
      <c r="H113" s="110">
        <f>E113+'05'!H113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D114+'05'!G114</f>
        <v>96</v>
      </c>
      <c r="H114" s="110">
        <f>E114+'05'!H114</f>
        <v>0</v>
      </c>
      <c r="I114" s="167">
        <f t="shared" si="15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D115+'05'!G115</f>
        <v>0</v>
      </c>
      <c r="H115" s="110">
        <f>E115+'05'!H115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D116+'05'!G116</f>
        <v>0</v>
      </c>
      <c r="H116" s="110">
        <f>E116+'05'!H116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D117+'05'!G117</f>
        <v>0</v>
      </c>
      <c r="H117" s="110">
        <f>E117+'05'!H117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365</v>
      </c>
      <c r="E118" s="110">
        <v>0</v>
      </c>
      <c r="F118" s="138">
        <f t="shared" si="14"/>
        <v>0</v>
      </c>
      <c r="G118" s="134">
        <f>D118+'05'!G118</f>
        <v>2130</v>
      </c>
      <c r="H118" s="110">
        <f>E118+'05'!H118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D119+'05'!G119</f>
        <v>0</v>
      </c>
      <c r="H119" s="110">
        <f>E119+'05'!H119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370</v>
      </c>
      <c r="E120" s="110">
        <v>0</v>
      </c>
      <c r="F120" s="138">
        <f t="shared" si="14"/>
        <v>0</v>
      </c>
      <c r="G120" s="134">
        <f>D120+'05'!G120</f>
        <v>4264</v>
      </c>
      <c r="H120" s="110">
        <f>E120+'05'!H120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D121+'05'!G121</f>
        <v>272</v>
      </c>
      <c r="H121" s="110">
        <f>E121+'05'!H121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1012</v>
      </c>
      <c r="E122" s="110">
        <v>0</v>
      </c>
      <c r="F122" s="138">
        <f t="shared" si="14"/>
        <v>0</v>
      </c>
      <c r="G122" s="134">
        <f>D122+'05'!G122</f>
        <v>4304</v>
      </c>
      <c r="H122" s="110">
        <f>E122+'05'!H122</f>
        <v>1823.35</v>
      </c>
      <c r="I122" s="138">
        <f t="shared" si="15"/>
        <v>0.42364079925650555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209"/>
      <c r="B125" s="1210"/>
      <c r="C125" s="1211"/>
      <c r="D125" s="913" t="s">
        <v>3</v>
      </c>
      <c r="E125" s="174" t="s">
        <v>2</v>
      </c>
      <c r="F125" s="175" t="s">
        <v>1</v>
      </c>
      <c r="G125" s="176" t="s">
        <v>3</v>
      </c>
      <c r="H125" s="174" t="s">
        <v>2</v>
      </c>
      <c r="I125" s="175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68">
        <v>46.641414484043537</v>
      </c>
      <c r="F126" s="266">
        <f>IFERROR(E126/D126,0)</f>
        <v>1.1516398638035441</v>
      </c>
      <c r="G126" s="204">
        <v>40.5</v>
      </c>
      <c r="H126" s="200">
        <v>41.305650279868367</v>
      </c>
      <c r="I126" s="266">
        <f>IFERROR(H126/G126,0)</f>
        <v>1.0198925995029227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68">
        <v>15.833717643141828</v>
      </c>
      <c r="F127" s="266">
        <f t="shared" ref="F127:F132" si="16">IFERROR(E127/D127,0)</f>
        <v>0.93139515547893104</v>
      </c>
      <c r="G127" s="204">
        <v>17</v>
      </c>
      <c r="H127" s="200">
        <v>15.795352542858698</v>
      </c>
      <c r="I127" s="266">
        <f t="shared" ref="I127:I132" si="17">IFERROR(H127/G127,0)</f>
        <v>0.9291383848740411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68">
        <v>19.308666896620458</v>
      </c>
      <c r="F129" s="157">
        <f t="shared" si="16"/>
        <v>0.91946032841049807</v>
      </c>
      <c r="G129" s="204">
        <v>21</v>
      </c>
      <c r="H129" s="200">
        <v>19.470213871333563</v>
      </c>
      <c r="I129" s="157">
        <f t="shared" si="17"/>
        <v>0.92715304149207445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68">
        <v>3.8502241321052781</v>
      </c>
      <c r="F130" s="157">
        <f t="shared" si="16"/>
        <v>9.1672003145363765E-2</v>
      </c>
      <c r="G130" s="204">
        <v>42</v>
      </c>
      <c r="H130" s="200">
        <v>12.109092551553044</v>
      </c>
      <c r="I130" s="157">
        <f t="shared" si="17"/>
        <v>0.2883117274179296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49.928757408214594</v>
      </c>
      <c r="F131" s="157">
        <f t="shared" si="16"/>
        <v>1.4265359259489885</v>
      </c>
      <c r="G131" s="204">
        <v>35</v>
      </c>
      <c r="H131" s="200">
        <v>17.885938633910385</v>
      </c>
      <c r="I131" s="157">
        <f t="shared" si="17"/>
        <v>0.51102681811172523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152.48159580911528</v>
      </c>
      <c r="F132" s="684">
        <f t="shared" si="16"/>
        <v>1.5143668269849566</v>
      </c>
      <c r="G132" s="688">
        <v>100.69</v>
      </c>
      <c r="H132" s="683">
        <v>67.036743883227558</v>
      </c>
      <c r="I132" s="684">
        <f t="shared" si="17"/>
        <v>0.66577360098547578</v>
      </c>
      <c r="N132" s="728" t="s">
        <v>188</v>
      </c>
      <c r="O132" s="704">
        <f>O131+'05'!O132</f>
        <v>46077.193194178442</v>
      </c>
      <c r="P132" s="724">
        <f>O132/H5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128820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J136" s="479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171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172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171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172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146599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172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172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K133:N133"/>
    <mergeCell ref="K142:N142"/>
    <mergeCell ref="O62:P62"/>
    <mergeCell ref="O63:P63"/>
    <mergeCell ref="O49:P49"/>
    <mergeCell ref="O50:P50"/>
    <mergeCell ref="O52:P52"/>
    <mergeCell ref="O53:P53"/>
    <mergeCell ref="O59:P59"/>
    <mergeCell ref="O67:P67"/>
    <mergeCell ref="N129:P129"/>
    <mergeCell ref="O69:P69"/>
    <mergeCell ref="O70:P70"/>
    <mergeCell ref="O71:P71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14:K114"/>
    <mergeCell ref="L99:M99"/>
    <mergeCell ref="N99:O99"/>
    <mergeCell ref="J105:K105"/>
    <mergeCell ref="J106:K106"/>
    <mergeCell ref="J107:K107"/>
    <mergeCell ref="J111:K111"/>
    <mergeCell ref="O66:P66"/>
    <mergeCell ref="A123:I123"/>
    <mergeCell ref="A124:A125"/>
    <mergeCell ref="B124:B125"/>
    <mergeCell ref="C124:C125"/>
    <mergeCell ref="D124:F124"/>
    <mergeCell ref="G124:I124"/>
    <mergeCell ref="J112:K112"/>
    <mergeCell ref="O9:P9"/>
    <mergeCell ref="O10:P10"/>
    <mergeCell ref="O68:P68"/>
    <mergeCell ref="O72:P72"/>
    <mergeCell ref="O73:P73"/>
    <mergeCell ref="O60:P60"/>
    <mergeCell ref="A97:A99"/>
    <mergeCell ref="B97:B99"/>
    <mergeCell ref="C97:C99"/>
    <mergeCell ref="D97:F98"/>
    <mergeCell ref="G97:I98"/>
    <mergeCell ref="O23:P23"/>
    <mergeCell ref="O38:P38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47:P47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30:P30"/>
    <mergeCell ref="O22:P22"/>
    <mergeCell ref="B78:B79"/>
    <mergeCell ref="C78:C79"/>
    <mergeCell ref="D78:H78"/>
    <mergeCell ref="I78:M78"/>
    <mergeCell ref="P78:P79"/>
    <mergeCell ref="N78:O78"/>
    <mergeCell ref="A96:K96"/>
    <mergeCell ref="O64:P64"/>
    <mergeCell ref="O65:P65"/>
    <mergeCell ref="J129:J130"/>
    <mergeCell ref="K129:L129"/>
    <mergeCell ref="A136:A138"/>
    <mergeCell ref="B136:B137"/>
    <mergeCell ref="C136:I136"/>
    <mergeCell ref="J139:J140"/>
    <mergeCell ref="J141:J142"/>
    <mergeCell ref="O5:P5"/>
    <mergeCell ref="O6:P6"/>
    <mergeCell ref="O7:P7"/>
    <mergeCell ref="O8:P8"/>
    <mergeCell ref="A77:P77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21:P21"/>
    <mergeCell ref="A78:A7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6" man="1"/>
  </rowBreaks>
  <colBreaks count="1" manualBreakCount="1">
    <brk id="16" max="110" man="1"/>
  </col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07 ",Q1)</f>
        <v>Ежедневный отчет производства и отгрузки за 07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46900</v>
      </c>
      <c r="H5" s="89">
        <f t="shared" si="0"/>
        <v>16874.071396806572</v>
      </c>
      <c r="I5" s="90">
        <f>IFERROR((H5/G5),0)</f>
        <v>0.35978830270376488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202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E6+'06'!G6</f>
        <v>0</v>
      </c>
      <c r="H6" s="110">
        <f>F6+'06'!H6</f>
        <v>6671.6154299884374</v>
      </c>
      <c r="I6" s="138"/>
      <c r="J6" s="750"/>
      <c r="K6" s="124">
        <f>J6+'06'!K6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202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98">
        <f>F7+'06'!H7</f>
        <v>0</v>
      </c>
      <c r="I7" s="99"/>
      <c r="J7" s="750"/>
      <c r="K7" s="124">
        <f>J7+'06'!K7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96"/>
      <c r="D8" s="149">
        <f>'01'!D8</f>
        <v>0</v>
      </c>
      <c r="E8" s="97"/>
      <c r="F8" s="110"/>
      <c r="G8" s="98"/>
      <c r="H8" s="98">
        <f>F8+'06'!H8</f>
        <v>0</v>
      </c>
      <c r="I8" s="99"/>
      <c r="J8" s="750"/>
      <c r="K8" s="124">
        <f>J8+'06'!K8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F10+F8+F12+F13+F11</f>
        <v>0</v>
      </c>
      <c r="G9" s="98">
        <f>E9+'06'!G9</f>
        <v>46900</v>
      </c>
      <c r="H9" s="98">
        <f>F9+'06'!H9</f>
        <v>10202.455966818135</v>
      </c>
      <c r="I9" s="99">
        <f>IFERROR((H9/G9),0)</f>
        <v>0.21753637455902208</v>
      </c>
      <c r="J9" s="177">
        <f>J10+J11+J12+J13</f>
        <v>0</v>
      </c>
      <c r="K9" s="100">
        <f>J9+'06'!K9</f>
        <v>17027.103675312697</v>
      </c>
      <c r="L9" s="96">
        <f>D9+H9-K9+M9+N9</f>
        <v>120247.64605291751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202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134"/>
      <c r="F10" s="110">
        <v>0</v>
      </c>
      <c r="G10" s="98">
        <f>E10+'06'!G10</f>
        <v>0</v>
      </c>
      <c r="H10" s="110">
        <f>F10+'06'!H10</f>
        <v>10202.455966818135</v>
      </c>
      <c r="I10" s="99"/>
      <c r="J10" s="750">
        <v>0</v>
      </c>
      <c r="K10" s="124">
        <f>J10+'06'!K10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134"/>
      <c r="F11" s="110"/>
      <c r="G11" s="98">
        <f>E11+'06'!G11</f>
        <v>0</v>
      </c>
      <c r="H11" s="110">
        <f>F11+'06'!H11</f>
        <v>0</v>
      </c>
      <c r="I11" s="99"/>
      <c r="J11" s="178">
        <v>0</v>
      </c>
      <c r="K11" s="124">
        <f>J11+'06'!K11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03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E12+'06'!G12</f>
        <v>0</v>
      </c>
      <c r="H12" s="110">
        <f>F12+'06'!H12</f>
        <v>0</v>
      </c>
      <c r="I12" s="757">
        <f>IFERROR((H12/G12),0)</f>
        <v>0</v>
      </c>
      <c r="J12" s="750"/>
      <c r="K12" s="124">
        <f>J12+'06'!K12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F13+'06'!H13</f>
        <v>0</v>
      </c>
      <c r="I13" s="99"/>
      <c r="J13" s="178"/>
      <c r="K13" s="124">
        <f>J13+'06'!K13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6639</v>
      </c>
      <c r="F14" s="89">
        <f>SUM(F15:F21)</f>
        <v>0</v>
      </c>
      <c r="G14" s="89">
        <f>SUM(G15:G21)</f>
        <v>43157</v>
      </c>
      <c r="H14" s="89">
        <f>SUM(H15:H21)</f>
        <v>18857.68830004807</v>
      </c>
      <c r="I14" s="90">
        <f t="shared" ref="I14:I21" si="1">IFERROR((H14/G14),0)</f>
        <v>0.43695549505406006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t="15.75" hidden="1" customHeight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E15+'06'!G15</f>
        <v>0</v>
      </c>
      <c r="H15" s="110">
        <f>F15+'06'!H15</f>
        <v>0</v>
      </c>
      <c r="I15" s="138">
        <f t="shared" si="1"/>
        <v>0</v>
      </c>
      <c r="J15" s="178">
        <v>0</v>
      </c>
      <c r="K15" s="124">
        <f>J15+'06'!K15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49">
        <f>'01'!C16</f>
        <v>44352</v>
      </c>
      <c r="D16" s="149">
        <f>'01'!D16</f>
        <v>6069.3572595923979</v>
      </c>
      <c r="E16" s="134">
        <v>1509.7053322395404</v>
      </c>
      <c r="F16" s="110">
        <v>0</v>
      </c>
      <c r="G16" s="110">
        <f>E16+'06'!G16</f>
        <v>9813.8805578342908</v>
      </c>
      <c r="H16" s="110">
        <f>F16+'06'!H16</f>
        <v>3228.5002277343951</v>
      </c>
      <c r="I16" s="138">
        <f t="shared" si="1"/>
        <v>0.32897284705152907</v>
      </c>
      <c r="J16" s="751">
        <f>IFERROR(SUMIF(A101:A114,A16,E101:E114),0)+E111+E112+E113</f>
        <v>0</v>
      </c>
      <c r="K16" s="124">
        <f>J16+'06'!K16</f>
        <v>3320.85</v>
      </c>
      <c r="L16" s="12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49">
        <f>'01'!C17</f>
        <v>0</v>
      </c>
      <c r="D17" s="149">
        <f>'01'!D17</f>
        <v>483.23739591927495</v>
      </c>
      <c r="E17" s="108">
        <v>0</v>
      </c>
      <c r="F17" s="110">
        <v>0</v>
      </c>
      <c r="G17" s="110">
        <f>E17+'06'!G17</f>
        <v>0</v>
      </c>
      <c r="H17" s="110">
        <f>F17+'06'!H17</f>
        <v>0</v>
      </c>
      <c r="I17" s="138">
        <f t="shared" si="1"/>
        <v>0</v>
      </c>
      <c r="J17" s="751">
        <f>IFERROR(SUMIF(A102:A115,A17,E102:E115),0)+E116+E119+E121+E114</f>
        <v>0</v>
      </c>
      <c r="K17" s="124">
        <f>J17+'06'!K17</f>
        <v>0</v>
      </c>
      <c r="L17" s="12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/>
      <c r="G18" s="110">
        <f>E18+'06'!G18</f>
        <v>0</v>
      </c>
      <c r="H18" s="171">
        <f>F18+'06'!H18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J18+'06'!K18</f>
        <v>0</v>
      </c>
      <c r="L18" s="127">
        <f t="shared" si="2"/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4961.8900225594753</v>
      </c>
      <c r="F19" s="131">
        <v>0</v>
      </c>
      <c r="G19" s="110">
        <f>E19+'06'!G19</f>
        <v>32254.900994667762</v>
      </c>
      <c r="H19" s="171">
        <f>F19+'06'!H19</f>
        <v>15629.188072313675</v>
      </c>
      <c r="I19" s="759">
        <f t="shared" si="1"/>
        <v>0.48455234988622109</v>
      </c>
      <c r="J19" s="751">
        <f>IFERROR(SUMIF(A102:A115,A19,E102:E115),0)+E117+E115+E122</f>
        <v>0</v>
      </c>
      <c r="K19" s="124">
        <f>J19+'06'!K19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121.11137202625102</v>
      </c>
      <c r="F20" s="110">
        <v>0</v>
      </c>
      <c r="G20" s="110">
        <f>E20+'06'!G20</f>
        <v>787.28776661197708</v>
      </c>
      <c r="H20" s="171">
        <f>F20+'06'!H20</f>
        <v>0</v>
      </c>
      <c r="I20" s="138">
        <f t="shared" si="1"/>
        <v>0</v>
      </c>
      <c r="J20" s="751">
        <f>IFERROR(SUMIF(A102:A115,A20,E102:E115),0)</f>
        <v>0</v>
      </c>
      <c r="K20" s="124">
        <f>J20+'06'!K20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46.293273174733379</v>
      </c>
      <c r="F21" s="110">
        <v>0</v>
      </c>
      <c r="G21" s="110">
        <f>E21+'06'!G21</f>
        <v>300.93068088597209</v>
      </c>
      <c r="H21" s="171">
        <f>F21+'06'!H21</f>
        <v>0</v>
      </c>
      <c r="I21" s="138">
        <f t="shared" si="1"/>
        <v>0</v>
      </c>
      <c r="J21" s="751">
        <f>IFERROR(SUMIF(A102:A115,A21,E102:E115),0)</f>
        <v>0</v>
      </c>
      <c r="K21" s="124">
        <f>J21+'06'!K21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E22+'06'!G22</f>
        <v>0</v>
      </c>
      <c r="H22" s="171">
        <f>F22+'06'!H22</f>
        <v>2130.1044634377968</v>
      </c>
      <c r="I22" s="99"/>
      <c r="J22" s="751">
        <f>IFERROR(SUMIF(A103:A123,A22,E103:E123),0)+E109</f>
        <v>0</v>
      </c>
      <c r="K22" s="124">
        <f>J22+'06'!K22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E23+'06'!G23</f>
        <v>0</v>
      </c>
      <c r="H23" s="252">
        <f>SUM(H24:H29)</f>
        <v>0</v>
      </c>
      <c r="I23" s="99">
        <f>IFERROR((H23/G23),0)</f>
        <v>0</v>
      </c>
      <c r="J23" s="177">
        <f>SUM(J24:J29)</f>
        <v>0</v>
      </c>
      <c r="K23" s="100">
        <f>J23+'06'!K23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E24+'06'!G24</f>
        <v>0</v>
      </c>
      <c r="H24" s="171">
        <f>F24+'06'!H24</f>
        <v>0</v>
      </c>
      <c r="I24" s="99"/>
      <c r="J24" s="752">
        <v>0</v>
      </c>
      <c r="K24" s="124">
        <f>J24+'06'!K24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E25+'06'!G25</f>
        <v>0</v>
      </c>
      <c r="H25" s="171">
        <f>F25+'06'!H25</f>
        <v>0</v>
      </c>
      <c r="I25" s="99"/>
      <c r="J25" s="752">
        <v>0</v>
      </c>
      <c r="K25" s="124">
        <f>J25+'06'!K25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E26+'06'!G26</f>
        <v>0</v>
      </c>
      <c r="H26" s="171">
        <f>F26+'06'!H26</f>
        <v>0</v>
      </c>
      <c r="I26" s="99"/>
      <c r="J26" s="752">
        <v>0</v>
      </c>
      <c r="K26" s="124">
        <f>J26+'06'!K26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E27+'06'!G27</f>
        <v>0</v>
      </c>
      <c r="H27" s="171">
        <f>F27+'06'!H27</f>
        <v>0</v>
      </c>
      <c r="I27" s="99"/>
      <c r="J27" s="752"/>
      <c r="K27" s="124">
        <f>J27+'06'!K27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E28+'06'!G28</f>
        <v>0</v>
      </c>
      <c r="H28" s="171">
        <f>F28+'06'!H28</f>
        <v>0</v>
      </c>
      <c r="I28" s="99"/>
      <c r="J28" s="752"/>
      <c r="K28" s="124">
        <f>J28+'06'!K28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E29+'06'!G29</f>
        <v>0</v>
      </c>
      <c r="H29" s="171">
        <f>F29+'06'!H29</f>
        <v>0</v>
      </c>
      <c r="I29" s="99"/>
      <c r="J29" s="752"/>
      <c r="K29" s="124">
        <f>J29+'06'!K29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E30+'06'!G30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J30+'06'!K30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E31+'06'!G31</f>
        <v>0</v>
      </c>
      <c r="H31" s="171">
        <f>F31+'06'!H31</f>
        <v>0</v>
      </c>
      <c r="I31" s="99"/>
      <c r="J31" s="865">
        <v>0</v>
      </c>
      <c r="K31" s="124">
        <f>J31+'06'!K31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E32+'06'!G32</f>
        <v>0</v>
      </c>
      <c r="H32" s="171">
        <f>F32+'06'!H32</f>
        <v>554.40000000000009</v>
      </c>
      <c r="I32" s="99"/>
      <c r="J32" s="865">
        <v>0</v>
      </c>
      <c r="K32" s="124">
        <f>J32+'06'!K32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E33+'06'!G33</f>
        <v>0</v>
      </c>
      <c r="H33" s="171">
        <f>F33+'06'!H33</f>
        <v>0</v>
      </c>
      <c r="I33" s="99"/>
      <c r="J33" s="865">
        <v>0</v>
      </c>
      <c r="K33" s="124">
        <f>J33+'06'!K33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E34+'06'!G34</f>
        <v>0</v>
      </c>
      <c r="H34" s="171">
        <f>F34+'06'!H34</f>
        <v>0</v>
      </c>
      <c r="I34" s="99"/>
      <c r="J34" s="865"/>
      <c r="K34" s="124">
        <f>J34+'06'!K34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E35+'06'!G35</f>
        <v>0</v>
      </c>
      <c r="H35" s="171">
        <f>F35+'06'!H35</f>
        <v>0</v>
      </c>
      <c r="I35" s="99"/>
      <c r="J35" s="865"/>
      <c r="K35" s="124">
        <f>J35+'06'!K35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E36+'06'!G36</f>
        <v>0</v>
      </c>
      <c r="H36" s="171">
        <f>F36+'06'!H36</f>
        <v>0</v>
      </c>
      <c r="I36" s="99"/>
      <c r="J36" s="110">
        <v>0</v>
      </c>
      <c r="K36" s="124">
        <f>J36+'06'!K36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E37+'06'!G37</f>
        <v>0</v>
      </c>
      <c r="H37" s="171">
        <f>F37+'06'!H37</f>
        <v>0</v>
      </c>
      <c r="I37" s="99"/>
      <c r="J37" s="110">
        <v>0</v>
      </c>
      <c r="K37" s="124">
        <f>J37+'06'!K37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E38+'06'!G38</f>
        <v>34764.733851761353</v>
      </c>
      <c r="H38" s="676">
        <f>F38+'06'!H38</f>
        <v>9132.5707721894778</v>
      </c>
      <c r="I38" s="760">
        <f>IFERROR((H38/G38),0)</f>
        <v>0.26269640984830311</v>
      </c>
      <c r="J38" s="753">
        <f>SUM(J39:J40)</f>
        <v>0</v>
      </c>
      <c r="K38" s="677">
        <f>J38+'06'!K38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118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71">
        <v>0</v>
      </c>
      <c r="G39" s="110"/>
      <c r="H39" s="110">
        <f>F39+'06'!H39</f>
        <v>6840.5707721894778</v>
      </c>
      <c r="I39" s="138"/>
      <c r="J39" s="750">
        <f>F39</f>
        <v>0</v>
      </c>
      <c r="K39" s="124">
        <f>J39+'06'!K39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118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71">
        <v>0</v>
      </c>
      <c r="G40" s="110"/>
      <c r="H40" s="110">
        <f>F40+'06'!H40</f>
        <v>2292</v>
      </c>
      <c r="I40" s="138"/>
      <c r="J40" s="178">
        <v>0</v>
      </c>
      <c r="K40" s="124">
        <f>J40+'06'!K40</f>
        <v>2243</v>
      </c>
      <c r="L40" s="149"/>
      <c r="M40" s="198"/>
      <c r="N40" s="117"/>
      <c r="O40" s="1125"/>
      <c r="P40" s="1126"/>
      <c r="Q40" s="595"/>
      <c r="R40" s="590"/>
      <c r="S40" s="618"/>
      <c r="T40" s="118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71"/>
      <c r="G41" s="110"/>
      <c r="H41" s="110">
        <f>F41+'06'!H41</f>
        <v>0</v>
      </c>
      <c r="I41" s="138"/>
      <c r="J41" s="178"/>
      <c r="K41" s="124">
        <f>J41+'06'!K41</f>
        <v>0</v>
      </c>
      <c r="L41" s="149"/>
      <c r="M41" s="198"/>
      <c r="N41" s="117"/>
      <c r="O41" s="1125"/>
      <c r="P41" s="1126"/>
      <c r="Q41" s="595"/>
      <c r="R41" s="590"/>
      <c r="S41" s="618"/>
      <c r="T41" s="118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71"/>
      <c r="G42" s="110"/>
      <c r="H42" s="110">
        <f>F42+'06'!H42</f>
        <v>0</v>
      </c>
      <c r="I42" s="138"/>
      <c r="J42" s="178"/>
      <c r="K42" s="124">
        <f>J42+'06'!K42</f>
        <v>0</v>
      </c>
      <c r="L42" s="149"/>
      <c r="M42" s="198"/>
      <c r="N42" s="117"/>
      <c r="O42" s="1125"/>
      <c r="P42" s="1126"/>
      <c r="Q42" s="595"/>
      <c r="R42" s="590"/>
      <c r="S42" s="618"/>
      <c r="T42" s="118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E43+'06'!G43</f>
        <v>22540.438385906982</v>
      </c>
      <c r="H43" s="110">
        <f>F43+'06'!H43</f>
        <v>8403.7999999999993</v>
      </c>
      <c r="I43" s="138">
        <f>IFERROR((H43/G43),0)</f>
        <v>0.37283214532572401</v>
      </c>
      <c r="J43" s="178">
        <f>F43</f>
        <v>0</v>
      </c>
      <c r="K43" s="124">
        <f>J43+'06'!K43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118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E44+'06'!G44</f>
        <v>9530.9510540419942</v>
      </c>
      <c r="H44" s="110">
        <f>F44+'06'!H44</f>
        <v>7255</v>
      </c>
      <c r="I44" s="138">
        <f>IFERROR((H44/G44),0)</f>
        <v>0.76120420290304791</v>
      </c>
      <c r="J44" s="178">
        <v>0</v>
      </c>
      <c r="K44" s="124">
        <f>J44+'06'!K44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F45+'06'!H45</f>
        <v>0</v>
      </c>
      <c r="I45" s="138"/>
      <c r="J45" s="178"/>
      <c r="K45" s="124">
        <f>J45+'06'!K45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F46+'06'!H46</f>
        <v>0</v>
      </c>
      <c r="I46" s="138"/>
      <c r="J46" s="178"/>
      <c r="K46" s="124">
        <f>J46+'06'!K46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F47+'06'!H47</f>
        <v>0</v>
      </c>
      <c r="I47" s="138"/>
      <c r="J47" s="178"/>
      <c r="K47" s="124">
        <f>J47+'06'!K47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71">
        <v>0</v>
      </c>
      <c r="G48" s="110">
        <f>E48+'06'!G48</f>
        <v>55688.141894593711</v>
      </c>
      <c r="H48" s="110">
        <f>F48+'06'!H48</f>
        <v>15244.370772189477</v>
      </c>
      <c r="I48" s="138">
        <f>IFERROR((H48/G48),0)</f>
        <v>0.27374536577363201</v>
      </c>
      <c r="J48" s="750">
        <v>0</v>
      </c>
      <c r="K48" s="124">
        <f>J48+'06'!K48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11500</v>
      </c>
      <c r="F49" s="110">
        <f>SUM(F50:F51)</f>
        <v>0</v>
      </c>
      <c r="G49" s="110">
        <f>SUM(G50:G51)</f>
        <v>75000</v>
      </c>
      <c r="H49" s="110">
        <f>SUM(H50:H51)</f>
        <v>32176.186994748638</v>
      </c>
      <c r="I49" s="138">
        <f>IFERROR((H49/G49),0)</f>
        <v>0.4290158265966485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E50+'06'!G50</f>
        <v>0</v>
      </c>
      <c r="H50" s="110">
        <f>F50+'06'!H50</f>
        <v>0</v>
      </c>
      <c r="I50" s="138">
        <f>IFERROR((H50/G50),0)</f>
        <v>0</v>
      </c>
      <c r="J50" s="178"/>
      <c r="K50" s="124">
        <f>J50+'06'!K50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11500</v>
      </c>
      <c r="F51" s="110">
        <v>0</v>
      </c>
      <c r="G51" s="110">
        <f>E51+'06'!G51</f>
        <v>75000</v>
      </c>
      <c r="H51" s="110">
        <f>F51+'06'!H51</f>
        <v>32176.186994748638</v>
      </c>
      <c r="I51" s="138">
        <f>IFERROR((H51/G51),0)</f>
        <v>0.4290158265966485</v>
      </c>
      <c r="J51" s="178">
        <f>O51-P51</f>
        <v>0</v>
      </c>
      <c r="K51" s="124">
        <f>J51+'06'!K51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E53+'06'!G53</f>
        <v>0</v>
      </c>
      <c r="H53" s="110">
        <f>F53+'06'!H53</f>
        <v>0</v>
      </c>
      <c r="I53" s="759">
        <f t="shared" ref="I53:I58" si="4">IFERROR((H53/G53),0)</f>
        <v>0</v>
      </c>
      <c r="J53" s="754"/>
      <c r="K53" s="124">
        <f>J53+'06'!K53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E54+'06'!G54</f>
        <v>2258.0645161290322</v>
      </c>
      <c r="H54" s="110">
        <f>F54+'06'!H54</f>
        <v>0</v>
      </c>
      <c r="I54" s="759">
        <f t="shared" si="4"/>
        <v>0</v>
      </c>
      <c r="J54" s="754">
        <v>0</v>
      </c>
      <c r="K54" s="124">
        <f>J54+'06'!K54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E55+'06'!G55</f>
        <v>3838.7096774193551</v>
      </c>
      <c r="H55" s="110">
        <f>F55+'06'!H55</f>
        <v>0</v>
      </c>
      <c r="I55" s="759">
        <f t="shared" si="4"/>
        <v>0</v>
      </c>
      <c r="J55" s="754">
        <v>0</v>
      </c>
      <c r="K55" s="124">
        <f>J55+'06'!K55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E56+'06'!G56</f>
        <v>0</v>
      </c>
      <c r="H56" s="110">
        <f>F56+'06'!H56</f>
        <v>0</v>
      </c>
      <c r="I56" s="759">
        <f t="shared" si="4"/>
        <v>0</v>
      </c>
      <c r="J56" s="754"/>
      <c r="K56" s="124">
        <f>J56+'06'!K56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E57+'06'!G57</f>
        <v>0</v>
      </c>
      <c r="H57" s="110">
        <f>F57+'06'!H57</f>
        <v>0</v>
      </c>
      <c r="I57" s="759">
        <f t="shared" si="4"/>
        <v>0</v>
      </c>
      <c r="J57" s="754"/>
      <c r="K57" s="124">
        <f>J57+'06'!K57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E58+'06'!G58</f>
        <v>0</v>
      </c>
      <c r="H58" s="110">
        <f>F58+'06'!H58</f>
        <v>0</v>
      </c>
      <c r="I58" s="759">
        <f t="shared" si="4"/>
        <v>0</v>
      </c>
      <c r="J58" s="754">
        <v>0</v>
      </c>
      <c r="K58" s="124">
        <f>J58+'06'!K58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F59+'06'!H59</f>
        <v>0</v>
      </c>
      <c r="I59" s="759"/>
      <c r="J59" s="754"/>
      <c r="K59" s="124">
        <f>J59+'06'!K59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F60+'06'!H60</f>
        <v>0</v>
      </c>
      <c r="I60" s="759"/>
      <c r="J60" s="754"/>
      <c r="K60" s="124">
        <f>J60+'06'!K60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F61+'06'!H61</f>
        <v>0</v>
      </c>
      <c r="I61" s="759"/>
      <c r="J61" s="754">
        <f>D139+D141</f>
        <v>0</v>
      </c>
      <c r="K61" s="124">
        <f>J61+'06'!K61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F62+'06'!H62</f>
        <v>0</v>
      </c>
      <c r="I62" s="522"/>
      <c r="J62" s="754">
        <v>0</v>
      </c>
      <c r="K62" s="124">
        <f>J62+'06'!K62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F63+'06'!H63</f>
        <v>3329.1499999999996</v>
      </c>
      <c r="I63" s="1059"/>
      <c r="J63" s="1068">
        <v>0</v>
      </c>
      <c r="K63" s="668">
        <f>J63+'06'!K63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F64+'06'!H64</f>
        <v>0</v>
      </c>
      <c r="I64" s="522"/>
      <c r="J64" s="754"/>
      <c r="K64" s="124">
        <f>J64+'06'!K64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F65+'06'!H65</f>
        <v>0</v>
      </c>
      <c r="I65" s="759"/>
      <c r="J65" s="754"/>
      <c r="K65" s="124">
        <f>J65+'06'!K65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F66+'06'!H66</f>
        <v>0</v>
      </c>
      <c r="I66" s="759"/>
      <c r="J66" s="754"/>
      <c r="K66" s="124">
        <f>J66+'06'!K66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F67+'06'!H67</f>
        <v>0</v>
      </c>
      <c r="I67" s="759"/>
      <c r="J67" s="754"/>
      <c r="K67" s="124">
        <f>J67+'06'!K67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F68+'06'!H68</f>
        <v>0</v>
      </c>
      <c r="I68" s="759"/>
      <c r="J68" s="754"/>
      <c r="K68" s="124">
        <f>J68+'06'!K68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F69+'06'!H69</f>
        <v>0</v>
      </c>
      <c r="I69" s="759"/>
      <c r="J69" s="754">
        <v>0</v>
      </c>
      <c r="K69" s="124">
        <f>J69+'06'!K69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>
        <v>0</v>
      </c>
      <c r="G70" s="110"/>
      <c r="H70" s="110">
        <f>F70+'06'!H70</f>
        <v>3329.1499999999996</v>
      </c>
      <c r="I70" s="759"/>
      <c r="J70" s="754"/>
      <c r="K70" s="124">
        <f>J70+'06'!K70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>
        <v>0</v>
      </c>
      <c r="G71" s="110"/>
      <c r="H71" s="110">
        <f>F71+'06'!H71</f>
        <v>0</v>
      </c>
      <c r="I71" s="759"/>
      <c r="J71" s="754"/>
      <c r="K71" s="124">
        <f>J71+'06'!K71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F72+'06'!H72</f>
        <v>1911.376034856974</v>
      </c>
      <c r="I72" s="388"/>
      <c r="J72" s="756">
        <f>K131</f>
        <v>0</v>
      </c>
      <c r="K72" s="395">
        <f>J72+'06'!K72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F73+'06'!H73</f>
        <v>0</v>
      </c>
      <c r="I73" s="934"/>
      <c r="J73" s="931"/>
      <c r="K73" s="935">
        <f>J73+'06'!K73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212" t="s">
        <v>6</v>
      </c>
      <c r="C78" s="1108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213"/>
      <c r="C79" s="1109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45" t="s">
        <v>17</v>
      </c>
      <c r="C80" s="721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24*7-K80</f>
        <v>168</v>
      </c>
      <c r="M80" s="139">
        <f t="shared" ref="M80:M94" si="11">K80/(24*7)</f>
        <v>0</v>
      </c>
      <c r="N80" s="965"/>
      <c r="O80" s="302">
        <f>N80+'06'!O80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45" t="s">
        <v>17</v>
      </c>
      <c r="C81" s="721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24*7-K81</f>
        <v>168</v>
      </c>
      <c r="M81" s="139">
        <f t="shared" si="11"/>
        <v>0</v>
      </c>
      <c r="N81" s="965"/>
      <c r="O81" s="302">
        <f>N81+'06'!O81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45" t="s">
        <v>17</v>
      </c>
      <c r="C82" s="459">
        <f>'01'!C82</f>
        <v>45</v>
      </c>
      <c r="D82" s="134">
        <f t="shared" ref="D82:D90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F82+'06'!K82</f>
        <v>43.903888888888886</v>
      </c>
      <c r="L82" s="110">
        <f>24*7-K82</f>
        <v>124.09611111111111</v>
      </c>
      <c r="M82" s="139">
        <f t="shared" si="11"/>
        <v>0.26133267195767196</v>
      </c>
      <c r="N82" s="716">
        <v>0</v>
      </c>
      <c r="O82" s="303">
        <f>N82+'06'!O82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45" t="s">
        <v>17</v>
      </c>
      <c r="C83" s="459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F83+'06'!K83</f>
        <v>64.575555555555553</v>
      </c>
      <c r="L83" s="110">
        <f>G83+'06'!L83</f>
        <v>103.42444444444445</v>
      </c>
      <c r="M83" s="139">
        <f t="shared" si="11"/>
        <v>0.38437830687830687</v>
      </c>
      <c r="N83" s="716">
        <v>0</v>
      </c>
      <c r="O83" s="303">
        <f>N83+'06'!O83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45" t="s">
        <v>17</v>
      </c>
      <c r="C84" s="459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F84+'06'!K84</f>
        <v>64.977499999999992</v>
      </c>
      <c r="L84" s="110">
        <f>G84+'06'!L84</f>
        <v>103.02250000000001</v>
      </c>
      <c r="M84" s="139">
        <f t="shared" si="11"/>
        <v>0.38677083333333329</v>
      </c>
      <c r="N84" s="716">
        <v>0</v>
      </c>
      <c r="O84" s="303">
        <f>N84+'06'!O84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45" t="s">
        <v>17</v>
      </c>
      <c r="C85" s="721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F85+'06'!K85</f>
        <v>0</v>
      </c>
      <c r="L85" s="110">
        <f>G85+'06'!L85</f>
        <v>168</v>
      </c>
      <c r="M85" s="139">
        <f t="shared" si="11"/>
        <v>0</v>
      </c>
      <c r="N85" s="965">
        <v>0</v>
      </c>
      <c r="O85" s="302">
        <f>N85+'06'!O85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45" t="s">
        <v>17</v>
      </c>
      <c r="C86" s="721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F86+'06'!K86</f>
        <v>0</v>
      </c>
      <c r="L86" s="110">
        <f>G86+'06'!L86</f>
        <v>144</v>
      </c>
      <c r="M86" s="139">
        <f t="shared" si="11"/>
        <v>0</v>
      </c>
      <c r="N86" s="965">
        <v>0</v>
      </c>
      <c r="O86" s="303">
        <f>N86+'06'!O86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45" t="s">
        <v>17</v>
      </c>
      <c r="C87" s="721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F87+'06'!K87</f>
        <v>0</v>
      </c>
      <c r="L87" s="110">
        <f>G87+'06'!L87</f>
        <v>144</v>
      </c>
      <c r="M87" s="139">
        <f t="shared" si="11"/>
        <v>0</v>
      </c>
      <c r="N87" s="965">
        <v>0</v>
      </c>
      <c r="O87" s="302">
        <f>N87+'06'!O87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45" t="s">
        <v>17</v>
      </c>
      <c r="C88" s="721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F88+'06'!K88</f>
        <v>0</v>
      </c>
      <c r="L88" s="110">
        <f>G88+'06'!L88</f>
        <v>144</v>
      </c>
      <c r="M88" s="139">
        <f t="shared" si="11"/>
        <v>0</v>
      </c>
      <c r="N88" s="716">
        <v>0</v>
      </c>
      <c r="O88" s="303">
        <f>N88+'06'!O88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45" t="s">
        <v>17</v>
      </c>
      <c r="C89" s="459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F89+'06'!K89</f>
        <v>1.6950000000000001</v>
      </c>
      <c r="L89" s="110">
        <f>G89+'06'!L89</f>
        <v>166.30500000000001</v>
      </c>
      <c r="M89" s="139">
        <f t="shared" si="11"/>
        <v>1.0089285714285714E-2</v>
      </c>
      <c r="N89" s="1001">
        <v>0</v>
      </c>
      <c r="O89" s="303">
        <f>N89+'06'!O89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45" t="s">
        <v>17</v>
      </c>
      <c r="C90" s="459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F90+'06'!K90</f>
        <v>32.664166666666674</v>
      </c>
      <c r="L90" s="110">
        <f>G90+'06'!L90</f>
        <v>135.33583333333331</v>
      </c>
      <c r="M90" s="139">
        <f t="shared" si="11"/>
        <v>0.19442956349206353</v>
      </c>
      <c r="N90" s="1001">
        <v>0</v>
      </c>
      <c r="O90" s="303">
        <f>N90+'06'!O90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45" t="s">
        <v>17</v>
      </c>
      <c r="C91" s="721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F91+'06'!K91</f>
        <v>0</v>
      </c>
      <c r="L91" s="110">
        <f>G91+'06'!L91</f>
        <v>168</v>
      </c>
      <c r="M91" s="139">
        <f t="shared" si="11"/>
        <v>0</v>
      </c>
      <c r="N91" s="716">
        <v>0</v>
      </c>
      <c r="O91" s="303">
        <f>N91+'06'!O91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45" t="s">
        <v>17</v>
      </c>
      <c r="C92" s="459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F92+'06'!K92</f>
        <v>71.521666666666675</v>
      </c>
      <c r="L92" s="110">
        <f>G92+'06'!L92</f>
        <v>96.478333333333325</v>
      </c>
      <c r="M92" s="139">
        <f t="shared" si="11"/>
        <v>0.42572420634920638</v>
      </c>
      <c r="N92" s="716">
        <v>0</v>
      </c>
      <c r="O92" s="303">
        <f>N92+'06'!O92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45" t="s">
        <v>17</v>
      </c>
      <c r="C93" s="459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F93+'06'!K93</f>
        <v>64.288611111111109</v>
      </c>
      <c r="L93" s="110">
        <f>G93+'06'!L93</f>
        <v>103.71138888888889</v>
      </c>
      <c r="M93" s="139">
        <f t="shared" si="11"/>
        <v>0.38267030423280424</v>
      </c>
      <c r="N93" s="716">
        <v>0</v>
      </c>
      <c r="O93" s="303">
        <f>N93+'06'!O93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882" t="s">
        <v>17</v>
      </c>
      <c r="C94" s="883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F94+'06'!K94</f>
        <v>32</v>
      </c>
      <c r="L94" s="521">
        <f>G94+'06'!L94</f>
        <v>136</v>
      </c>
      <c r="M94" s="880">
        <f t="shared" si="11"/>
        <v>0.19047619047619047</v>
      </c>
      <c r="N94" s="966">
        <f>E111+E120+E121+E122</f>
        <v>0</v>
      </c>
      <c r="O94" s="871">
        <f>N94+'06'!O94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F95+'06'!K95</f>
        <v>7</v>
      </c>
      <c r="L95" s="387">
        <f>G95+'06'!L95</f>
        <v>161</v>
      </c>
      <c r="M95" s="723">
        <f>K95/(24*7)</f>
        <v>4.1666666666666664E-2</v>
      </c>
      <c r="N95" s="967">
        <f>E112+E114+E115+E118+E119</f>
        <v>0</v>
      </c>
      <c r="O95" s="713">
        <f>N95+'06'!O95</f>
        <v>994.39999999999986</v>
      </c>
      <c r="P95" s="720"/>
      <c r="Q95" s="140"/>
      <c r="R95" s="140"/>
      <c r="T95" s="93"/>
    </row>
    <row r="96" spans="1:20" ht="16.5" thickBot="1">
      <c r="A96" s="1099" t="s">
        <v>16</v>
      </c>
      <c r="B96" s="1100"/>
      <c r="C96" s="1100"/>
      <c r="D96" s="1100"/>
      <c r="E96" s="1100"/>
      <c r="F96" s="1100"/>
      <c r="G96" s="1100"/>
      <c r="H96" s="1100"/>
      <c r="I96" s="1100"/>
      <c r="J96" s="1100"/>
      <c r="K96" s="1100"/>
      <c r="L96" s="199"/>
      <c r="M96" s="199"/>
      <c r="N96" s="142"/>
      <c r="O96" s="142"/>
      <c r="P96" s="142"/>
      <c r="Q96" s="140"/>
      <c r="R96" s="140"/>
      <c r="T96" s="93"/>
    </row>
    <row r="97" spans="1:20" ht="15.75" customHeight="1">
      <c r="A97" s="1086" t="s">
        <v>15</v>
      </c>
      <c r="B97" s="108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L97" s="199"/>
      <c r="M97" s="761"/>
      <c r="N97" s="207"/>
      <c r="O97" s="207"/>
      <c r="P97" s="207"/>
      <c r="Q97" s="118"/>
      <c r="R97" s="118"/>
      <c r="T97" s="93"/>
    </row>
    <row r="98" spans="1:20">
      <c r="A98" s="1214"/>
      <c r="B98" s="1210"/>
      <c r="C98" s="1111"/>
      <c r="D98" s="1157"/>
      <c r="E98" s="1158"/>
      <c r="F98" s="1159"/>
      <c r="G98" s="1157"/>
      <c r="H98" s="1158"/>
      <c r="I98" s="1159"/>
      <c r="J98" s="1157"/>
      <c r="K98" s="1159"/>
      <c r="L98" s="199"/>
      <c r="M98" s="761"/>
      <c r="N98" s="199"/>
      <c r="O98" s="199"/>
      <c r="P98" s="199"/>
      <c r="T98" s="93"/>
    </row>
    <row r="99" spans="1:20">
      <c r="A99" s="1087"/>
      <c r="B99" s="108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201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5014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43382</v>
      </c>
      <c r="H100" s="89">
        <f>H101+H110</f>
        <v>19708.249999999993</v>
      </c>
      <c r="I100" s="90">
        <f t="shared" ref="I100:I122" si="15">IFERROR((H100/G100),0)</f>
        <v>0.45429556037066049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5014</v>
      </c>
      <c r="E101" s="98">
        <f>SUM(E102:E109)</f>
        <v>0</v>
      </c>
      <c r="F101" s="99">
        <f t="shared" si="14"/>
        <v>0</v>
      </c>
      <c r="G101" s="169">
        <f>SUM(G102:G109)</f>
        <v>30641</v>
      </c>
      <c r="H101" s="98">
        <f>SUM(H102:H109)</f>
        <v>15844.349999999995</v>
      </c>
      <c r="I101" s="99">
        <f t="shared" si="15"/>
        <v>0.51709637413922505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D102+'06'!G102</f>
        <v>0</v>
      </c>
      <c r="H102" s="110">
        <f>E102+'06'!H102</f>
        <v>0</v>
      </c>
      <c r="I102" s="138">
        <f t="shared" si="15"/>
        <v>0</v>
      </c>
      <c r="J102" s="1148"/>
      <c r="K102" s="1150"/>
      <c r="L102" s="271"/>
      <c r="M102" s="270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345</v>
      </c>
      <c r="E103" s="166">
        <v>0</v>
      </c>
      <c r="F103" s="138">
        <f t="shared" si="14"/>
        <v>0</v>
      </c>
      <c r="G103" s="445">
        <f>D103+'06'!G103</f>
        <v>2485</v>
      </c>
      <c r="H103" s="146">
        <f>E103+'06'!H103</f>
        <v>0</v>
      </c>
      <c r="I103" s="138">
        <f t="shared" si="15"/>
        <v>0</v>
      </c>
      <c r="J103" s="1148"/>
      <c r="K103" s="1150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4556</v>
      </c>
      <c r="E104" s="110">
        <v>0</v>
      </c>
      <c r="F104" s="138">
        <f t="shared" si="14"/>
        <v>0</v>
      </c>
      <c r="G104" s="134">
        <f>D104+'06'!G104</f>
        <v>27218</v>
      </c>
      <c r="H104" s="110">
        <f>E104+'06'!H104</f>
        <v>12980.249999999995</v>
      </c>
      <c r="I104" s="138">
        <f t="shared" si="15"/>
        <v>0.47689947828642792</v>
      </c>
      <c r="J104" s="1148"/>
      <c r="K104" s="1150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D105+'06'!G105</f>
        <v>0</v>
      </c>
      <c r="H105" s="110">
        <f>E105+'06'!H105</f>
        <v>475.6</v>
      </c>
      <c r="I105" s="138">
        <f t="shared" si="15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D106+'06'!G106</f>
        <v>0</v>
      </c>
      <c r="H106" s="110">
        <f>E106+'06'!H106</f>
        <v>1280.3</v>
      </c>
      <c r="I106" s="138">
        <f t="shared" si="15"/>
        <v>0</v>
      </c>
      <c r="J106" s="1148"/>
      <c r="K106" s="1150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D107+'06'!G107</f>
        <v>0</v>
      </c>
      <c r="H107" s="110">
        <f>E107+'06'!H107</f>
        <v>0</v>
      </c>
      <c r="I107" s="138">
        <f t="shared" si="15"/>
        <v>0</v>
      </c>
      <c r="J107" s="1148"/>
      <c r="K107" s="1150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63</v>
      </c>
      <c r="E108" s="110">
        <v>0</v>
      </c>
      <c r="F108" s="138">
        <f t="shared" si="14"/>
        <v>0</v>
      </c>
      <c r="G108" s="134">
        <f>D108+'06'!G108</f>
        <v>713</v>
      </c>
      <c r="H108" s="110">
        <f>E108+'06'!H108</f>
        <v>826.59999999999991</v>
      </c>
      <c r="I108" s="138">
        <f t="shared" si="15"/>
        <v>1.1593267882187936</v>
      </c>
      <c r="J108" s="797"/>
      <c r="K108" s="798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50</v>
      </c>
      <c r="E109" s="110">
        <v>0</v>
      </c>
      <c r="F109" s="138">
        <f t="shared" si="14"/>
        <v>0</v>
      </c>
      <c r="G109" s="134">
        <f>D109+'06'!G109</f>
        <v>225</v>
      </c>
      <c r="H109" s="110">
        <f>E109+'06'!H109</f>
        <v>281.59999999999997</v>
      </c>
      <c r="I109" s="138">
        <f t="shared" si="15"/>
        <v>1.2515555555555553</v>
      </c>
      <c r="J109" s="797"/>
      <c r="K109" s="798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1675</v>
      </c>
      <c r="E110" s="98">
        <f>SUM(E111:E122)</f>
        <v>0</v>
      </c>
      <c r="F110" s="1053">
        <f>IFERROR((E110/D110),0)</f>
        <v>0</v>
      </c>
      <c r="G110" s="1051">
        <f>SUM(G111:G122)</f>
        <v>12741</v>
      </c>
      <c r="H110" s="98">
        <f>SUM(H111:H122)</f>
        <v>3863.8999999999996</v>
      </c>
      <c r="I110" s="1053">
        <f>IFERROR((H110/G110),0)</f>
        <v>0.30326504983910207</v>
      </c>
      <c r="J110" s="797"/>
      <c r="K110" s="798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D111+'06'!G111</f>
        <v>0</v>
      </c>
      <c r="H111" s="110">
        <f>E111+'06'!H111</f>
        <v>1026.1499999999999</v>
      </c>
      <c r="I111" s="138">
        <f>IFERROR((H111/G111),0)</f>
        <v>0</v>
      </c>
      <c r="J111" s="1148"/>
      <c r="K111" s="1150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D112+'06'!G112</f>
        <v>0</v>
      </c>
      <c r="H112" s="110">
        <f>E112+'06'!H112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D113+'06'!G113</f>
        <v>0</v>
      </c>
      <c r="H113" s="110">
        <f>E113+'06'!H113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D114+'06'!G114</f>
        <v>112</v>
      </c>
      <c r="H114" s="110">
        <f>E114+'06'!H114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 outlineLevel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D115+'06'!G115</f>
        <v>0</v>
      </c>
      <c r="H115" s="110">
        <f>E115+'06'!H115</f>
        <v>0</v>
      </c>
      <c r="I115" s="138">
        <f t="shared" si="15"/>
        <v>0</v>
      </c>
      <c r="J115" s="1205"/>
      <c r="K115" s="1206"/>
      <c r="L115" s="154"/>
      <c r="M115" s="154"/>
      <c r="N115" s="152"/>
      <c r="O115" s="152"/>
      <c r="P115" s="152"/>
      <c r="S115" s="82"/>
      <c r="T115" s="93"/>
    </row>
    <row r="116" spans="1:20" s="120" customFormat="1" outlineLevel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D116+'06'!G116</f>
        <v>0</v>
      </c>
      <c r="H116" s="110">
        <f>E116+'06'!H116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 outlineLevel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D117+'06'!G117</f>
        <v>0</v>
      </c>
      <c r="H117" s="110">
        <f>E117+'06'!H117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 outlineLevel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>
        <f t="shared" si="14"/>
        <v>0</v>
      </c>
      <c r="G118" s="134">
        <f>D118+'06'!G118</f>
        <v>2475</v>
      </c>
      <c r="H118" s="110">
        <f>E118+'06'!H118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 outlineLevel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D119+'06'!G119</f>
        <v>0</v>
      </c>
      <c r="H119" s="110">
        <f>E119+'06'!H119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 outlineLevel="1">
      <c r="A120" s="254" t="s">
        <v>256</v>
      </c>
      <c r="B120" s="119" t="s">
        <v>9</v>
      </c>
      <c r="C120" s="149">
        <f>'01'!C120</f>
        <v>22152</v>
      </c>
      <c r="D120" s="134">
        <v>642</v>
      </c>
      <c r="E120" s="110">
        <v>0</v>
      </c>
      <c r="F120" s="138">
        <f t="shared" si="14"/>
        <v>0</v>
      </c>
      <c r="G120" s="134">
        <f>D120+'06'!G120</f>
        <v>4906</v>
      </c>
      <c r="H120" s="110">
        <f>E120+'06'!H120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 outlineLevel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D121+'06'!G121</f>
        <v>272</v>
      </c>
      <c r="H121" s="110">
        <f>E121+'06'!H121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 outlineLevel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0</v>
      </c>
      <c r="F122" s="138">
        <f t="shared" si="14"/>
        <v>0</v>
      </c>
      <c r="G122" s="134">
        <f>D122+'06'!G122</f>
        <v>4976</v>
      </c>
      <c r="H122" s="110">
        <f>E122+'06'!H122</f>
        <v>1823.35</v>
      </c>
      <c r="I122" s="138">
        <f t="shared" si="15"/>
        <v>0.36642885852090029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68">
        <v>41.109912603629958</v>
      </c>
      <c r="F126" s="157">
        <f>IFERROR(E126/D126,0)</f>
        <v>1.0150595704599989</v>
      </c>
      <c r="G126" s="204">
        <v>40.5</v>
      </c>
      <c r="H126" s="200">
        <v>41.278291104659353</v>
      </c>
      <c r="I126" s="157">
        <f>IFERROR(H126/G126,0)</f>
        <v>1.0192170643125766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68">
        <v>32.609923789776268</v>
      </c>
      <c r="F127" s="157">
        <f t="shared" ref="F127:F132" si="16">IFERROR(E127/D127,0)</f>
        <v>1.91823081116331</v>
      </c>
      <c r="G127" s="204">
        <v>17</v>
      </c>
      <c r="H127" s="200">
        <v>17.177443077221103</v>
      </c>
      <c r="I127" s="157">
        <f t="shared" ref="I127:I132" si="17">IFERROR(H127/G127,0)</f>
        <v>1.0104378280718296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68">
        <v>23.015744700693162</v>
      </c>
      <c r="F129" s="157">
        <f t="shared" si="16"/>
        <v>1.0959878428901506</v>
      </c>
      <c r="G129" s="204">
        <v>21</v>
      </c>
      <c r="H129" s="200">
        <v>19.910878637411901</v>
      </c>
      <c r="I129" s="157">
        <f t="shared" si="17"/>
        <v>0.94813707797199531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68">
        <v>79.969651932372997</v>
      </c>
      <c r="F130" s="157">
        <f t="shared" si="16"/>
        <v>1.9040393317231665</v>
      </c>
      <c r="G130" s="204">
        <v>42</v>
      </c>
      <c r="H130" s="200">
        <v>12.63616303465299</v>
      </c>
      <c r="I130" s="157">
        <f t="shared" si="17"/>
        <v>0.30086102463459496</v>
      </c>
      <c r="J130" s="1118"/>
      <c r="K130" s="1049" t="s">
        <v>165</v>
      </c>
      <c r="L130" s="1048" t="s">
        <v>166</v>
      </c>
      <c r="M130" s="1047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54.684261867582251</v>
      </c>
      <c r="F131" s="157">
        <f t="shared" si="16"/>
        <v>1.5624074819309215</v>
      </c>
      <c r="G131" s="204">
        <v>35</v>
      </c>
      <c r="H131" s="200">
        <v>21.189176588572629</v>
      </c>
      <c r="I131" s="157">
        <f t="shared" si="17"/>
        <v>0.60540504538778939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158.8190223193308</v>
      </c>
      <c r="F132" s="684">
        <f t="shared" si="16"/>
        <v>1.5773068062303188</v>
      </c>
      <c r="G132" s="688">
        <v>100.69</v>
      </c>
      <c r="H132" s="683">
        <v>74.08485712852314</v>
      </c>
      <c r="I132" s="684">
        <f t="shared" si="17"/>
        <v>0.73577174623620167</v>
      </c>
      <c r="N132" s="728" t="s">
        <v>188</v>
      </c>
      <c r="O132" s="704">
        <f>O131+'06'!O132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130572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J136" s="479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171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172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171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172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171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176871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172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171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172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171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172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3">
    <mergeCell ref="J143:J144"/>
    <mergeCell ref="J145:J146"/>
    <mergeCell ref="J147:J148"/>
    <mergeCell ref="L99:M99"/>
    <mergeCell ref="N99:O99"/>
    <mergeCell ref="J115:K115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I78:M78"/>
    <mergeCell ref="P78:P79"/>
    <mergeCell ref="O73:P73"/>
    <mergeCell ref="O69:P69"/>
    <mergeCell ref="O70:P70"/>
    <mergeCell ref="O71:P71"/>
    <mergeCell ref="A123:I123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O50:P50"/>
    <mergeCell ref="A77:P77"/>
    <mergeCell ref="O52:P52"/>
    <mergeCell ref="O53:P53"/>
    <mergeCell ref="N78:O78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8:P8"/>
    <mergeCell ref="O9:P9"/>
    <mergeCell ref="O10:P10"/>
    <mergeCell ref="O44:P44"/>
    <mergeCell ref="O48:P48"/>
    <mergeCell ref="O45:P45"/>
    <mergeCell ref="O46:P46"/>
    <mergeCell ref="O39:P39"/>
    <mergeCell ref="O40:P40"/>
    <mergeCell ref="O41:P41"/>
    <mergeCell ref="O42:P42"/>
    <mergeCell ref="O43:P43"/>
    <mergeCell ref="O47:P47"/>
    <mergeCell ref="O30:P30"/>
    <mergeCell ref="O22:P22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J139:J140"/>
    <mergeCell ref="J141:J142"/>
    <mergeCell ref="O5:P5"/>
    <mergeCell ref="O6:P6"/>
    <mergeCell ref="O7:P7"/>
    <mergeCell ref="K133:N133"/>
    <mergeCell ref="K142:N142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7:P17"/>
    <mergeCell ref="O18:P18"/>
    <mergeCell ref="O19:P19"/>
    <mergeCell ref="O20:P20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08 ",Q1)</f>
        <v>Ежедневный отчет производства и отгрузки за 08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53600</v>
      </c>
      <c r="H5" s="89">
        <f t="shared" si="0"/>
        <v>16874.071396806572</v>
      </c>
      <c r="I5" s="90">
        <f>IFERROR((H5/G5),0)</f>
        <v>0.31481476486579424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E6+'07'!G6</f>
        <v>0</v>
      </c>
      <c r="H6" s="110">
        <f>F6+'07'!H6</f>
        <v>6671.6154299884374</v>
      </c>
      <c r="I6" s="138"/>
      <c r="J6" s="750"/>
      <c r="K6" s="124">
        <f>J6+'07'!K6</f>
        <v>0</v>
      </c>
      <c r="L6" s="149">
        <f>D6+H6-K6-M6-N6</f>
        <v>22624.535195522654</v>
      </c>
      <c r="M6" s="101"/>
      <c r="N6" s="101">
        <v>0</v>
      </c>
      <c r="O6" s="1133"/>
      <c r="P6" s="1134"/>
      <c r="Q6" s="592"/>
      <c r="R6" s="590"/>
      <c r="S6" s="618"/>
      <c r="T6" s="93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F7+'07'!H7</f>
        <v>0</v>
      </c>
      <c r="I7" s="99"/>
      <c r="J7" s="750"/>
      <c r="K7" s="124">
        <f>J7+'07'!K7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96"/>
      <c r="D8" s="96">
        <f>'01'!D8</f>
        <v>0</v>
      </c>
      <c r="E8" s="97"/>
      <c r="F8" s="110"/>
      <c r="G8" s="98"/>
      <c r="H8" s="98">
        <f>F8+'07'!H8</f>
        <v>0</v>
      </c>
      <c r="I8" s="99"/>
      <c r="J8" s="750"/>
      <c r="K8" s="124">
        <f>J8+'07'!K8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F10+F11+F8+F12+F13</f>
        <v>0</v>
      </c>
      <c r="G9" s="98">
        <f>E9+'07'!G9</f>
        <v>53600</v>
      </c>
      <c r="H9" s="98">
        <f>F9+'07'!H9</f>
        <v>10202.455966818135</v>
      </c>
      <c r="I9" s="99">
        <f>IFERROR((H9/G9),0)</f>
        <v>0.19034432773914431</v>
      </c>
      <c r="J9" s="177">
        <f>J10+J11+J12+J13</f>
        <v>0</v>
      </c>
      <c r="K9" s="100">
        <f>J9+'07'!K9</f>
        <v>17027.103675312697</v>
      </c>
      <c r="L9" s="96">
        <f>D9+H9-K9+M9+N9</f>
        <v>120247.64605291751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E10+'07'!G10</f>
        <v>0</v>
      </c>
      <c r="H10" s="110">
        <f>F10+'07'!H10</f>
        <v>10202.455966818135</v>
      </c>
      <c r="I10" s="99"/>
      <c r="J10" s="178">
        <v>0</v>
      </c>
      <c r="K10" s="124">
        <f>J10+'07'!K10</f>
        <v>17027.103675312697</v>
      </c>
      <c r="L10" s="149">
        <f>D10+H10-K10+M10-N10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E11+'07'!G11</f>
        <v>0</v>
      </c>
      <c r="H11" s="110">
        <f>F11+'07'!H11</f>
        <v>0</v>
      </c>
      <c r="I11" s="99"/>
      <c r="J11" s="178">
        <v>0</v>
      </c>
      <c r="K11" s="124">
        <f>J11+'07'!K11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E12+'07'!G12</f>
        <v>0</v>
      </c>
      <c r="H12" s="110">
        <f>F12+'07'!H12</f>
        <v>0</v>
      </c>
      <c r="I12" s="757">
        <f>IFERROR((H12/G12),0)</f>
        <v>0</v>
      </c>
      <c r="J12" s="178"/>
      <c r="K12" s="124">
        <f>J12+'07'!K12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F13+'07'!H13</f>
        <v>0</v>
      </c>
      <c r="I13" s="99"/>
      <c r="J13" s="178"/>
      <c r="K13" s="124">
        <f>J13+'07'!K13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6292</v>
      </c>
      <c r="F14" s="89">
        <f>SUM(F15:F21)</f>
        <v>0</v>
      </c>
      <c r="G14" s="89">
        <f>SUM(G15:G21)</f>
        <v>49449</v>
      </c>
      <c r="H14" s="89">
        <f>SUM(H15:H21)</f>
        <v>18857.68830004807</v>
      </c>
      <c r="I14" s="90">
        <f t="shared" ref="I14:I21" si="1">IFERROR((H14/G14),0)</f>
        <v>0.38135631256543245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t="15.75" hidden="1" customHeight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E15+'07'!G15</f>
        <v>0</v>
      </c>
      <c r="H15" s="110">
        <f>F15+'07'!H15</f>
        <v>0</v>
      </c>
      <c r="I15" s="138">
        <f t="shared" si="1"/>
        <v>0</v>
      </c>
      <c r="J15" s="178">
        <v>0</v>
      </c>
      <c r="K15" s="124">
        <f>J15+'07'!K15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>
      <c r="A16" s="105" t="s">
        <v>254</v>
      </c>
      <c r="B16" s="119" t="s">
        <v>9</v>
      </c>
      <c r="C16" s="107">
        <f>'01'!C16</f>
        <v>44352</v>
      </c>
      <c r="D16" s="107">
        <f>'01'!D16</f>
        <v>6069.3572595923979</v>
      </c>
      <c r="E16" s="134">
        <v>1430.7977030352749</v>
      </c>
      <c r="F16" s="109">
        <v>0</v>
      </c>
      <c r="G16" s="110">
        <f>E16+'07'!G16</f>
        <v>11244.678260869565</v>
      </c>
      <c r="H16" s="110">
        <f>F16+'07'!H16</f>
        <v>3228.5002277343951</v>
      </c>
      <c r="I16" s="758">
        <f t="shared" si="1"/>
        <v>0.28711361524404622</v>
      </c>
      <c r="J16" s="751">
        <f>IFERROR(SUMIF(A101:A114,A16,E101:E114),0)+E111+E112+E113</f>
        <v>0</v>
      </c>
      <c r="K16" s="124">
        <f>J16+'07'!K16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>
      <c r="A17" s="734" t="s">
        <v>262</v>
      </c>
      <c r="B17" s="119" t="s">
        <v>9</v>
      </c>
      <c r="C17" s="107">
        <f>'01'!C17</f>
        <v>0</v>
      </c>
      <c r="D17" s="107">
        <f>'01'!D17</f>
        <v>483.23739591927495</v>
      </c>
      <c r="E17" s="108">
        <v>0</v>
      </c>
      <c r="F17" s="109">
        <v>0</v>
      </c>
      <c r="G17" s="110">
        <f>E17+'07'!G17</f>
        <v>0</v>
      </c>
      <c r="H17" s="110">
        <f>F17+'07'!H17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J17+'07'!K17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05" t="s">
        <v>85</v>
      </c>
      <c r="B18" s="119" t="s">
        <v>9</v>
      </c>
      <c r="C18" s="170">
        <f>'01'!C18</f>
        <v>1360</v>
      </c>
      <c r="D18" s="170">
        <f>'01'!D18</f>
        <v>3183.2380657083054</v>
      </c>
      <c r="E18" s="134"/>
      <c r="F18" s="109"/>
      <c r="G18" s="110">
        <f>E18+'07'!G18</f>
        <v>0</v>
      </c>
      <c r="H18" s="110">
        <f>F18+'07'!H18</f>
        <v>0</v>
      </c>
      <c r="I18" s="758">
        <f t="shared" si="1"/>
        <v>0</v>
      </c>
      <c r="J18" s="751">
        <f>IFERROR(SUMIF(A102:A115,A18,E102:E115),0)+E118+E120</f>
        <v>0</v>
      </c>
      <c r="K18" s="124">
        <f>J18+'07'!K18</f>
        <v>0</v>
      </c>
      <c r="L18" s="39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27">
        <f>'01'!C19</f>
        <v>145770</v>
      </c>
      <c r="D19" s="149">
        <f>'01'!D19</f>
        <v>12764.733711905967</v>
      </c>
      <c r="E19" s="250">
        <v>4702.5473748974564</v>
      </c>
      <c r="F19" s="131">
        <v>0</v>
      </c>
      <c r="G19" s="110">
        <f>E19+'07'!G19</f>
        <v>36957.448369565216</v>
      </c>
      <c r="H19" s="110">
        <f>F19+'07'!H19</f>
        <v>15629.188072313675</v>
      </c>
      <c r="I19" s="759">
        <f t="shared" si="1"/>
        <v>0.42289683844040621</v>
      </c>
      <c r="J19" s="751">
        <f>IFERROR(SUMIF(A102:A115,A19,E102:E115),0)+E117+E115+E122</f>
        <v>0</v>
      </c>
      <c r="K19" s="124">
        <f>J19+'07'!K19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114.7812551271534</v>
      </c>
      <c r="F20" s="110">
        <v>0</v>
      </c>
      <c r="G20" s="110">
        <f>E20+'07'!G20</f>
        <v>902.06902173913045</v>
      </c>
      <c r="H20" s="110">
        <f>F20+'07'!H20</f>
        <v>0</v>
      </c>
      <c r="I20" s="138">
        <f t="shared" si="1"/>
        <v>0</v>
      </c>
      <c r="J20" s="751">
        <f>IFERROR(SUMIF(A102:A115,A20,E102:E115),0)</f>
        <v>0</v>
      </c>
      <c r="K20" s="124">
        <f>J20+'07'!K20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43.873666940114845</v>
      </c>
      <c r="F21" s="110">
        <v>0</v>
      </c>
      <c r="G21" s="110">
        <f>E21+'07'!G21</f>
        <v>344.80434782608694</v>
      </c>
      <c r="H21" s="110">
        <f>F21+'07'!H21</f>
        <v>0</v>
      </c>
      <c r="I21" s="138">
        <f t="shared" si="1"/>
        <v>0</v>
      </c>
      <c r="J21" s="751">
        <f>IFERROR(SUMIF(A102:A115,A21,E102:E115),0)</f>
        <v>0</v>
      </c>
      <c r="K21" s="124">
        <f>J21+'07'!K21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E22+'07'!G22</f>
        <v>0</v>
      </c>
      <c r="H22" s="110">
        <f>F22+'07'!H22</f>
        <v>2130.1044634377968</v>
      </c>
      <c r="I22" s="99"/>
      <c r="J22" s="751">
        <f>IFERROR(SUMIF(A103:A123,A22,E103:E123),0)+E109</f>
        <v>0</v>
      </c>
      <c r="K22" s="124">
        <f>J22+'07'!K22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E23+'07'!G23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J23+'07'!K23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E24+'07'!G24</f>
        <v>0</v>
      </c>
      <c r="H24" s="110">
        <f>F24+'07'!H24</f>
        <v>0</v>
      </c>
      <c r="I24" s="99"/>
      <c r="J24" s="752">
        <v>0</v>
      </c>
      <c r="K24" s="124">
        <f>J24+'07'!K24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05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E25+'07'!G25</f>
        <v>0</v>
      </c>
      <c r="H25" s="110">
        <f>F25+'07'!H25</f>
        <v>0</v>
      </c>
      <c r="I25" s="99"/>
      <c r="J25" s="752">
        <v>0</v>
      </c>
      <c r="K25" s="124">
        <f>J25+'07'!K25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E26+'07'!G26</f>
        <v>0</v>
      </c>
      <c r="H26" s="110">
        <f>F26+'07'!H26</f>
        <v>0</v>
      </c>
      <c r="I26" s="99"/>
      <c r="J26" s="752">
        <v>0</v>
      </c>
      <c r="K26" s="124">
        <f>J26+'07'!K26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E27+'07'!G27</f>
        <v>0</v>
      </c>
      <c r="H27" s="110">
        <f>F27+'07'!H27</f>
        <v>0</v>
      </c>
      <c r="I27" s="99"/>
      <c r="J27" s="752"/>
      <c r="K27" s="124">
        <f>J27+'07'!K27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E28+'07'!G28</f>
        <v>0</v>
      </c>
      <c r="H28" s="110">
        <f>F28+'07'!H28</f>
        <v>0</v>
      </c>
      <c r="I28" s="99"/>
      <c r="J28" s="752"/>
      <c r="K28" s="124">
        <f>J28+'07'!K28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E29+'07'!G29</f>
        <v>0</v>
      </c>
      <c r="H29" s="110">
        <f>F29+'07'!H29</f>
        <v>0</v>
      </c>
      <c r="I29" s="99"/>
      <c r="J29" s="752"/>
      <c r="K29" s="124">
        <f>J29+'07'!K29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E30+'07'!G30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J30+'07'!K30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E31+'07'!G31</f>
        <v>0</v>
      </c>
      <c r="H31" s="110">
        <f>F31+'07'!H31</f>
        <v>0</v>
      </c>
      <c r="I31" s="99"/>
      <c r="J31" s="865">
        <v>0</v>
      </c>
      <c r="K31" s="124">
        <f>J31+'07'!K31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05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E32+'07'!G32</f>
        <v>0</v>
      </c>
      <c r="H32" s="110">
        <f>F32+'07'!H32</f>
        <v>554.40000000000009</v>
      </c>
      <c r="I32" s="99"/>
      <c r="J32" s="865">
        <v>0</v>
      </c>
      <c r="K32" s="124">
        <f>J32+'07'!K32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E33+'07'!G33</f>
        <v>0</v>
      </c>
      <c r="H33" s="110">
        <f>F33+'07'!H33</f>
        <v>0</v>
      </c>
      <c r="I33" s="99"/>
      <c r="J33" s="865">
        <v>0</v>
      </c>
      <c r="K33" s="124">
        <f>J33+'07'!K33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E34+'07'!G34</f>
        <v>0</v>
      </c>
      <c r="H34" s="110">
        <f>F34+'07'!H34</f>
        <v>0</v>
      </c>
      <c r="I34" s="99"/>
      <c r="J34" s="865"/>
      <c r="K34" s="124">
        <f>J34+'07'!K34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E35+'07'!G35</f>
        <v>0</v>
      </c>
      <c r="H35" s="110">
        <f>F35+'07'!H35</f>
        <v>0</v>
      </c>
      <c r="I35" s="99"/>
      <c r="J35" s="865"/>
      <c r="K35" s="124">
        <f>J35+'07'!K35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E36+'07'!G36</f>
        <v>0</v>
      </c>
      <c r="H36" s="110">
        <f>F36+'07'!H36</f>
        <v>0</v>
      </c>
      <c r="I36" s="99"/>
      <c r="J36" s="110">
        <v>0</v>
      </c>
      <c r="K36" s="124">
        <f>J36+'07'!K36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E37+'07'!G37</f>
        <v>0</v>
      </c>
      <c r="H37" s="110">
        <f>F37+'07'!H37</f>
        <v>0</v>
      </c>
      <c r="I37" s="99"/>
      <c r="J37" s="110">
        <v>0</v>
      </c>
      <c r="K37" s="124">
        <f>J37+'07'!K37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0" s="120" customFormat="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E38+'07'!G38</f>
        <v>39731.124402012974</v>
      </c>
      <c r="H38" s="676">
        <f>F38+'07'!H38</f>
        <v>9132.5707721894778</v>
      </c>
      <c r="I38" s="760">
        <f>IFERROR((H38/G38),0)</f>
        <v>0.22985935861726522</v>
      </c>
      <c r="J38" s="753">
        <f>SUM(J39:J40)</f>
        <v>0</v>
      </c>
      <c r="K38" s="677">
        <f>J38+'07'!K38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F39+'07'!H39</f>
        <v>6840.5707721894778</v>
      </c>
      <c r="I39" s="138"/>
      <c r="J39" s="750">
        <f>F39</f>
        <v>0</v>
      </c>
      <c r="K39" s="124">
        <f>J39+'07'!K39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71">
        <v>0</v>
      </c>
      <c r="G40" s="110"/>
      <c r="H40" s="110">
        <f>F40+'07'!H40</f>
        <v>2292</v>
      </c>
      <c r="I40" s="138"/>
      <c r="J40" s="178">
        <v>0</v>
      </c>
      <c r="K40" s="124">
        <f>J40+'07'!K40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F41+'07'!H41</f>
        <v>0</v>
      </c>
      <c r="I41" s="138"/>
      <c r="J41" s="178"/>
      <c r="K41" s="124">
        <f>J41+'07'!K41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F42+'07'!H42</f>
        <v>0</v>
      </c>
      <c r="I42" s="138"/>
      <c r="J42" s="178"/>
      <c r="K42" s="124">
        <f>J42+'07'!K42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E43+'07'!G43</f>
        <v>25760.501012465123</v>
      </c>
      <c r="H43" s="110">
        <f>F43+'07'!H43</f>
        <v>8403.7999999999993</v>
      </c>
      <c r="I43" s="138">
        <f>IFERROR((H43/G43),0)</f>
        <v>0.32622812716000849</v>
      </c>
      <c r="J43" s="178">
        <f>F43</f>
        <v>0</v>
      </c>
      <c r="K43" s="124">
        <f>J43+'07'!K43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E44+'07'!G44</f>
        <v>10892.515490333708</v>
      </c>
      <c r="H44" s="110">
        <f>F44+'07'!H44</f>
        <v>7255</v>
      </c>
      <c r="I44" s="138">
        <f>IFERROR((H44/G44),0)</f>
        <v>0.66605367754016687</v>
      </c>
      <c r="J44" s="178">
        <v>0</v>
      </c>
      <c r="K44" s="124">
        <f>J44+'07'!K44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F45+'07'!H45</f>
        <v>0</v>
      </c>
      <c r="I45" s="138"/>
      <c r="J45" s="178"/>
      <c r="K45" s="124">
        <f>J45+'07'!K45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F46+'07'!H46</f>
        <v>0</v>
      </c>
      <c r="I46" s="138"/>
      <c r="J46" s="178"/>
      <c r="K46" s="124">
        <f>J46+'07'!K46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F47+'07'!H47</f>
        <v>0</v>
      </c>
      <c r="I47" s="138"/>
      <c r="J47" s="178"/>
      <c r="K47" s="124">
        <f>J47+'07'!K47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71">
        <v>0</v>
      </c>
      <c r="G48" s="110">
        <f>E48+'07'!G48</f>
        <v>63643.590736678525</v>
      </c>
      <c r="H48" s="110">
        <f>F48+'07'!H48</f>
        <v>15244.370772189477</v>
      </c>
      <c r="I48" s="138">
        <f>IFERROR((H48/G48),0)</f>
        <v>0.23952719505192804</v>
      </c>
      <c r="J48" s="750">
        <v>0</v>
      </c>
      <c r="K48" s="124">
        <f>J48+'07'!K48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10898.950243719526</v>
      </c>
      <c r="F49" s="110">
        <f>SUM(F50:F51)</f>
        <v>0</v>
      </c>
      <c r="G49" s="110">
        <f>SUM(G50:G51)</f>
        <v>85898.950243719533</v>
      </c>
      <c r="H49" s="110">
        <f>SUM(H50:H51)</f>
        <v>32176.186994748638</v>
      </c>
      <c r="I49" s="138">
        <f>IFERROR((H49/G49),0)</f>
        <v>0.37458184184388432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E50+'07'!G50</f>
        <v>0</v>
      </c>
      <c r="H50" s="110">
        <f>F50+'07'!H50</f>
        <v>0</v>
      </c>
      <c r="I50" s="138">
        <f>IFERROR((H50/G50),0)</f>
        <v>0</v>
      </c>
      <c r="J50" s="178"/>
      <c r="K50" s="124">
        <f>J50+'07'!K50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10898.950243719526</v>
      </c>
      <c r="F51" s="110">
        <v>0</v>
      </c>
      <c r="G51" s="110">
        <f>E51+'07'!G51</f>
        <v>85898.950243719533</v>
      </c>
      <c r="H51" s="110">
        <f>F51+'07'!H51</f>
        <v>32176.186994748638</v>
      </c>
      <c r="I51" s="138">
        <f>IFERROR((H51/G51),0)</f>
        <v>0.37458184184388432</v>
      </c>
      <c r="J51" s="750">
        <f>O51-P51</f>
        <v>0</v>
      </c>
      <c r="K51" s="124">
        <f>J51+'07'!K51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E53+'07'!G53</f>
        <v>0</v>
      </c>
      <c r="H53" s="110">
        <f>F53+'07'!H53</f>
        <v>0</v>
      </c>
      <c r="I53" s="759">
        <f t="shared" ref="I53:I58" si="4">IFERROR((H53/G53),0)</f>
        <v>0</v>
      </c>
      <c r="J53" s="754"/>
      <c r="K53" s="124">
        <f>J53+'07'!K53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E54+'07'!G54</f>
        <v>2580.6451612903224</v>
      </c>
      <c r="H54" s="110">
        <f>F54+'07'!H54</f>
        <v>0</v>
      </c>
      <c r="I54" s="759">
        <f t="shared" si="4"/>
        <v>0</v>
      </c>
      <c r="J54" s="754">
        <v>0</v>
      </c>
      <c r="K54" s="124">
        <f>J54+'07'!K54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E55+'07'!G55</f>
        <v>4387.0967741935483</v>
      </c>
      <c r="H55" s="110">
        <f>F55+'07'!H55</f>
        <v>0</v>
      </c>
      <c r="I55" s="759">
        <f t="shared" si="4"/>
        <v>0</v>
      </c>
      <c r="J55" s="754">
        <v>0</v>
      </c>
      <c r="K55" s="124">
        <f>J55+'07'!K55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E56+'07'!G56</f>
        <v>0</v>
      </c>
      <c r="H56" s="110">
        <f>F56+'07'!H56</f>
        <v>0</v>
      </c>
      <c r="I56" s="759">
        <f t="shared" si="4"/>
        <v>0</v>
      </c>
      <c r="J56" s="754"/>
      <c r="K56" s="124">
        <f>J56+'07'!K56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E57+'07'!G57</f>
        <v>0</v>
      </c>
      <c r="H57" s="110">
        <f>F57+'07'!H57</f>
        <v>0</v>
      </c>
      <c r="I57" s="759">
        <f t="shared" si="4"/>
        <v>0</v>
      </c>
      <c r="J57" s="754"/>
      <c r="K57" s="124">
        <f>J57+'07'!K57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E58+'07'!G58</f>
        <v>0</v>
      </c>
      <c r="H58" s="110">
        <f>F58+'07'!H58</f>
        <v>0</v>
      </c>
      <c r="I58" s="759">
        <f t="shared" si="4"/>
        <v>0</v>
      </c>
      <c r="J58" s="754">
        <v>0</v>
      </c>
      <c r="K58" s="124">
        <f>J58+'07'!K58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F59+'07'!H59</f>
        <v>0</v>
      </c>
      <c r="I59" s="759"/>
      <c r="J59" s="754"/>
      <c r="K59" s="124">
        <f>J59+'07'!K59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F60+'07'!H60</f>
        <v>0</v>
      </c>
      <c r="I60" s="759"/>
      <c r="J60" s="754"/>
      <c r="K60" s="124">
        <f>J60+'07'!K60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F61+'07'!H61</f>
        <v>0</v>
      </c>
      <c r="I61" s="759"/>
      <c r="J61" s="754">
        <f>D139+D141</f>
        <v>0</v>
      </c>
      <c r="K61" s="124">
        <f>J61+'07'!K61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F62+'07'!H62</f>
        <v>0</v>
      </c>
      <c r="I62" s="522"/>
      <c r="J62" s="754">
        <v>0</v>
      </c>
      <c r="K62" s="124">
        <f>J62+'07'!K62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F63+'07'!H63</f>
        <v>3329.1499999999996</v>
      </c>
      <c r="I63" s="1059"/>
      <c r="J63" s="1068">
        <v>0</v>
      </c>
      <c r="K63" s="668">
        <f>J63+'07'!K63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F64+'07'!H64</f>
        <v>0</v>
      </c>
      <c r="I64" s="522"/>
      <c r="J64" s="754"/>
      <c r="K64" s="124">
        <f>J64+'07'!K64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F65+'07'!H65</f>
        <v>0</v>
      </c>
      <c r="I65" s="759"/>
      <c r="J65" s="754"/>
      <c r="K65" s="124">
        <f>J65+'07'!K65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F66+'07'!H66</f>
        <v>0</v>
      </c>
      <c r="I66" s="759"/>
      <c r="J66" s="754"/>
      <c r="K66" s="124">
        <f>J66+'07'!K66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F67+'07'!H67</f>
        <v>0</v>
      </c>
      <c r="I67" s="759"/>
      <c r="J67" s="754"/>
      <c r="K67" s="124">
        <f>J67+'07'!K67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F68+'07'!H68</f>
        <v>0</v>
      </c>
      <c r="I68" s="759"/>
      <c r="J68" s="754"/>
      <c r="K68" s="124">
        <f>J68+'07'!K68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F69+'07'!H69</f>
        <v>0</v>
      </c>
      <c r="I69" s="759"/>
      <c r="J69" s="754">
        <v>0</v>
      </c>
      <c r="K69" s="124">
        <f>J69+'07'!K69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>
        <v>0</v>
      </c>
      <c r="G70" s="110"/>
      <c r="H70" s="110">
        <f>F70+'07'!H70</f>
        <v>3329.1499999999996</v>
      </c>
      <c r="I70" s="759"/>
      <c r="J70" s="754"/>
      <c r="K70" s="124">
        <f>J70+'07'!K70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F71+'07'!H71</f>
        <v>0</v>
      </c>
      <c r="I71" s="759"/>
      <c r="J71" s="754"/>
      <c r="K71" s="124">
        <f>J71+'07'!K71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F72+'07'!H72</f>
        <v>1911.376034856974</v>
      </c>
      <c r="I72" s="388"/>
      <c r="J72" s="756">
        <f>K131</f>
        <v>0</v>
      </c>
      <c r="K72" s="395">
        <f>J72+'07'!K72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F73+'07'!H73</f>
        <v>0</v>
      </c>
      <c r="I73" s="934"/>
      <c r="J73" s="931"/>
      <c r="K73" s="935">
        <f>J73+'07'!K73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24*8-K80</f>
        <v>192</v>
      </c>
      <c r="M80" s="139">
        <f t="shared" ref="M80:M94" si="11">K80/(24*8)</f>
        <v>0</v>
      </c>
      <c r="N80" s="965"/>
      <c r="O80" s="302">
        <f>N80+'07'!O80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24*8-K81</f>
        <v>192</v>
      </c>
      <c r="M81" s="139">
        <f t="shared" si="11"/>
        <v>0</v>
      </c>
      <c r="N81" s="965"/>
      <c r="O81" s="302">
        <f>N81+'07'!O81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2">IFERROR(N82/F82,0)</f>
        <v>0</v>
      </c>
      <c r="E82" s="138">
        <f t="shared" si="7"/>
        <v>0</v>
      </c>
      <c r="F82" s="134">
        <v>0</v>
      </c>
      <c r="G82" s="137">
        <f t="shared" si="8"/>
        <v>24</v>
      </c>
      <c r="H82" s="138">
        <f t="shared" si="9"/>
        <v>0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F82+'07'!K82</f>
        <v>43.903888888888886</v>
      </c>
      <c r="L82" s="110">
        <f>24*8-K82</f>
        <v>148.0961111111111</v>
      </c>
      <c r="M82" s="139">
        <f t="shared" si="11"/>
        <v>0.22866608796296295</v>
      </c>
      <c r="N82" s="716">
        <v>0</v>
      </c>
      <c r="O82" s="303">
        <f>N82+'07'!O82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56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F83+'07'!K83</f>
        <v>64.575555555555553</v>
      </c>
      <c r="L83" s="134">
        <f>G83+'07'!L83</f>
        <v>127.42444444444445</v>
      </c>
      <c r="M83" s="139">
        <f t="shared" si="11"/>
        <v>0.33633101851851849</v>
      </c>
      <c r="N83" s="716">
        <v>0</v>
      </c>
      <c r="O83" s="303">
        <f>N83+'07'!O83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F84+'07'!K84</f>
        <v>64.977499999999992</v>
      </c>
      <c r="L84" s="134">
        <f>G84+'07'!L84</f>
        <v>127.02250000000001</v>
      </c>
      <c r="M84" s="139">
        <f t="shared" si="11"/>
        <v>0.33842447916666663</v>
      </c>
      <c r="N84" s="716">
        <v>0</v>
      </c>
      <c r="O84" s="303">
        <f>N84+'07'!O84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56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F85+'07'!K85</f>
        <v>0</v>
      </c>
      <c r="L85" s="134">
        <f>G85+'07'!L85</f>
        <v>192</v>
      </c>
      <c r="M85" s="139">
        <f t="shared" si="11"/>
        <v>0</v>
      </c>
      <c r="N85" s="965">
        <v>0</v>
      </c>
      <c r="O85" s="302">
        <f>N85+'07'!O85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06" t="s">
        <v>17</v>
      </c>
      <c r="C86" s="133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56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F86+'07'!K86</f>
        <v>0</v>
      </c>
      <c r="L86" s="134">
        <f>G86+'07'!L86</f>
        <v>168</v>
      </c>
      <c r="M86" s="139">
        <f t="shared" si="11"/>
        <v>0</v>
      </c>
      <c r="N86" s="965">
        <v>0</v>
      </c>
      <c r="O86" s="303">
        <f>N86+'07'!O86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06" t="s">
        <v>17</v>
      </c>
      <c r="C87" s="133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56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F87+'07'!K87</f>
        <v>0</v>
      </c>
      <c r="L87" s="134">
        <f>G87+'07'!L87</f>
        <v>168</v>
      </c>
      <c r="M87" s="139">
        <f t="shared" si="11"/>
        <v>0</v>
      </c>
      <c r="N87" s="965">
        <v>0</v>
      </c>
      <c r="O87" s="302">
        <f>N87+'07'!O87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56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F88+'07'!K88</f>
        <v>0</v>
      </c>
      <c r="L88" s="134">
        <f>G88+'07'!L88</f>
        <v>168</v>
      </c>
      <c r="M88" s="139">
        <f t="shared" si="11"/>
        <v>0</v>
      </c>
      <c r="N88" s="716">
        <v>0</v>
      </c>
      <c r="O88" s="303">
        <f>N88+'07'!O88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F89+'07'!K89</f>
        <v>1.6950000000000001</v>
      </c>
      <c r="L89" s="134">
        <f>G89+'07'!L89</f>
        <v>190.30500000000001</v>
      </c>
      <c r="M89" s="139">
        <f t="shared" si="11"/>
        <v>8.8281250000000009E-3</v>
      </c>
      <c r="N89" s="1001">
        <v>0</v>
      </c>
      <c r="O89" s="303">
        <f>N89+'07'!O89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F90+'07'!K90</f>
        <v>32.664166666666674</v>
      </c>
      <c r="L90" s="134">
        <f>G90+'07'!L90</f>
        <v>159.33583333333331</v>
      </c>
      <c r="M90" s="139">
        <f t="shared" si="11"/>
        <v>0.1701258680555556</v>
      </c>
      <c r="N90" s="1001">
        <v>0</v>
      </c>
      <c r="O90" s="303">
        <f>N90+'07'!O90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56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F91+'07'!K91</f>
        <v>0</v>
      </c>
      <c r="L91" s="134">
        <f>G91+'07'!L91</f>
        <v>192</v>
      </c>
      <c r="M91" s="139">
        <f t="shared" si="11"/>
        <v>0</v>
      </c>
      <c r="N91" s="716">
        <v>0</v>
      </c>
      <c r="O91" s="303">
        <f>N91+'07'!O91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56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F92+'07'!K92</f>
        <v>71.521666666666675</v>
      </c>
      <c r="L92" s="134">
        <f>G92+'07'!L92</f>
        <v>120.47833333333332</v>
      </c>
      <c r="M92" s="139">
        <f t="shared" si="11"/>
        <v>0.37250868055555558</v>
      </c>
      <c r="N92" s="716">
        <v>0</v>
      </c>
      <c r="O92" s="303">
        <f>N92+'07'!O92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56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F93+'07'!K93</f>
        <v>64.288611111111109</v>
      </c>
      <c r="L93" s="134">
        <f>G93+'07'!L93</f>
        <v>127.71138888888889</v>
      </c>
      <c r="M93" s="139">
        <f t="shared" si="11"/>
        <v>0.33483651620370369</v>
      </c>
      <c r="N93" s="716">
        <v>0</v>
      </c>
      <c r="O93" s="303">
        <f>N93+'07'!O93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884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F94+'07'!K94</f>
        <v>32</v>
      </c>
      <c r="L94" s="765">
        <f>G94+'07'!L94</f>
        <v>160</v>
      </c>
      <c r="M94" s="880">
        <f t="shared" si="11"/>
        <v>0.16666666666666666</v>
      </c>
      <c r="N94" s="966">
        <f>E111+E120+E121+E122</f>
        <v>0</v>
      </c>
      <c r="O94" s="871">
        <f>N94+'07'!O94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8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F95+'07'!K95</f>
        <v>7</v>
      </c>
      <c r="L95" s="443">
        <f>G95+'07'!L95</f>
        <v>185</v>
      </c>
      <c r="M95" s="723">
        <f>K95/(24*8)</f>
        <v>3.6458333333333336E-2</v>
      </c>
      <c r="N95" s="967">
        <f>E112+E114+E115+E118+E119</f>
        <v>0</v>
      </c>
      <c r="O95" s="713">
        <f>N95+'07'!O95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76"/>
      <c r="K97" s="1184"/>
      <c r="L97" s="143"/>
      <c r="M97" s="142"/>
      <c r="N97" s="253"/>
      <c r="O97" s="253"/>
      <c r="P97" s="143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85"/>
      <c r="K98" s="1186"/>
      <c r="L98" s="143"/>
      <c r="M98" s="142"/>
      <c r="N98" s="253"/>
      <c r="O98" s="253"/>
      <c r="P98" s="143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43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4546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49749</v>
      </c>
      <c r="H100" s="89">
        <f>H101+H110</f>
        <v>19708.249999999993</v>
      </c>
      <c r="I100" s="90">
        <f t="shared" ref="I100:I122" si="15">IFERROR((H100/G100),0)</f>
        <v>0.39615369153148794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4546</v>
      </c>
      <c r="E101" s="98">
        <f>SUM(E102:E109)</f>
        <v>0</v>
      </c>
      <c r="F101" s="99">
        <f t="shared" si="14"/>
        <v>0</v>
      </c>
      <c r="G101" s="169">
        <f>SUM(G102:G109)</f>
        <v>35187</v>
      </c>
      <c r="H101" s="98">
        <f>SUM(H102:H109)</f>
        <v>15844.349999999995</v>
      </c>
      <c r="I101" s="99">
        <f t="shared" si="15"/>
        <v>0.45028987978514778</v>
      </c>
      <c r="J101" s="1148"/>
      <c r="K101" s="1149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D102+'07'!G102</f>
        <v>0</v>
      </c>
      <c r="H102" s="178">
        <f>E102+'07'!H102</f>
        <v>0</v>
      </c>
      <c r="I102" s="138">
        <f t="shared" si="15"/>
        <v>0</v>
      </c>
      <c r="J102" s="1148"/>
      <c r="K102" s="1150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370</v>
      </c>
      <c r="E103" s="166">
        <v>0</v>
      </c>
      <c r="F103" s="138">
        <f t="shared" si="14"/>
        <v>0</v>
      </c>
      <c r="G103" s="445">
        <f>D103+'07'!G103</f>
        <v>2855</v>
      </c>
      <c r="H103" s="150">
        <f>E103+'07'!H103</f>
        <v>0</v>
      </c>
      <c r="I103" s="138">
        <f t="shared" si="15"/>
        <v>0</v>
      </c>
      <c r="J103" s="1216"/>
      <c r="K103" s="121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3938</v>
      </c>
      <c r="E104" s="110">
        <v>0</v>
      </c>
      <c r="F104" s="138">
        <f t="shared" si="14"/>
        <v>0</v>
      </c>
      <c r="G104" s="134">
        <f>D104+'07'!G104</f>
        <v>31156</v>
      </c>
      <c r="H104" s="178">
        <f>E104+'07'!H104</f>
        <v>12980.249999999995</v>
      </c>
      <c r="I104" s="138">
        <f t="shared" si="15"/>
        <v>0.41662119655925006</v>
      </c>
      <c r="J104" s="1148"/>
      <c r="K104" s="1150"/>
      <c r="L104" s="143"/>
      <c r="M104" s="142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D105+'07'!G105</f>
        <v>0</v>
      </c>
      <c r="H105" s="178">
        <f>E105+'07'!H105</f>
        <v>475.6</v>
      </c>
      <c r="I105" s="138">
        <f t="shared" si="15"/>
        <v>0</v>
      </c>
      <c r="J105" s="1148"/>
      <c r="K105" s="1150"/>
      <c r="L105" s="143"/>
      <c r="M105" s="143"/>
      <c r="N105" s="253"/>
      <c r="O105" s="253"/>
      <c r="P105" s="143"/>
      <c r="Q105" s="83"/>
      <c r="T105" s="93"/>
    </row>
    <row r="106" spans="1:20" outlineLevel="1">
      <c r="A106" s="105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D106+'07'!G106</f>
        <v>0</v>
      </c>
      <c r="H106" s="150">
        <f>E106+'07'!H106</f>
        <v>1280.3</v>
      </c>
      <c r="I106" s="138">
        <f t="shared" si="15"/>
        <v>0</v>
      </c>
      <c r="J106" s="1216"/>
      <c r="K106" s="1217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D107+'07'!G107</f>
        <v>0</v>
      </c>
      <c r="H107" s="178">
        <f>E107+'07'!H107</f>
        <v>0</v>
      </c>
      <c r="I107" s="138">
        <f t="shared" si="15"/>
        <v>0</v>
      </c>
      <c r="J107" s="1148"/>
      <c r="K107" s="1150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163</v>
      </c>
      <c r="E108" s="110">
        <v>0</v>
      </c>
      <c r="F108" s="138">
        <f t="shared" si="14"/>
        <v>0</v>
      </c>
      <c r="G108" s="445">
        <f>D108+'07'!G108</f>
        <v>876</v>
      </c>
      <c r="H108" s="178">
        <f>E108+'07'!H108</f>
        <v>826.59999999999991</v>
      </c>
      <c r="I108" s="138">
        <f t="shared" si="15"/>
        <v>0.943607305936073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75</v>
      </c>
      <c r="E109" s="110">
        <v>0</v>
      </c>
      <c r="F109" s="138">
        <f t="shared" si="14"/>
        <v>0</v>
      </c>
      <c r="G109" s="445">
        <f>D109+'07'!G109</f>
        <v>300</v>
      </c>
      <c r="H109" s="178">
        <f>E109+'07'!H109</f>
        <v>281.59999999999997</v>
      </c>
      <c r="I109" s="138">
        <f t="shared" si="15"/>
        <v>0.93866666666666654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1821</v>
      </c>
      <c r="E110" s="98">
        <f>SUM(E111:E122)</f>
        <v>0</v>
      </c>
      <c r="F110" s="1053">
        <f>IFERROR((E110/D110),0)</f>
        <v>0</v>
      </c>
      <c r="G110" s="1051">
        <f>SUM(G111:G122)</f>
        <v>14562</v>
      </c>
      <c r="H110" s="98">
        <f>SUM(H111:H122)</f>
        <v>3863.8999999999996</v>
      </c>
      <c r="I110" s="1053">
        <f>IFERROR((H110/G110),0)</f>
        <v>0.265341299272078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D111+'07'!G111</f>
        <v>0</v>
      </c>
      <c r="H111" s="178">
        <f>E111+'07'!H111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49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D112+'07'!G112</f>
        <v>0</v>
      </c>
      <c r="H112" s="178">
        <f>E112+'07'!H112</f>
        <v>994.39999999999986</v>
      </c>
      <c r="I112" s="138">
        <f>IFERROR((H112/G112),0)</f>
        <v>0</v>
      </c>
      <c r="J112" s="1146"/>
      <c r="K112" s="1147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49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D113+'07'!G113</f>
        <v>0</v>
      </c>
      <c r="H113" s="178">
        <f>E113+'07'!H113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298" t="s">
        <v>9</v>
      </c>
      <c r="C114" s="299">
        <f>'01'!C114</f>
        <v>500</v>
      </c>
      <c r="D114" s="134">
        <v>16</v>
      </c>
      <c r="E114" s="301">
        <v>0</v>
      </c>
      <c r="F114" s="300">
        <f t="shared" si="14"/>
        <v>0</v>
      </c>
      <c r="G114" s="134">
        <f>D114+'07'!G114</f>
        <v>128</v>
      </c>
      <c r="H114" s="178">
        <f>E114+'07'!H114</f>
        <v>0</v>
      </c>
      <c r="I114" s="300">
        <f t="shared" si="15"/>
        <v>0</v>
      </c>
      <c r="J114" s="1218"/>
      <c r="K114" s="1219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D115+'07'!G115</f>
        <v>0</v>
      </c>
      <c r="H115" s="178">
        <f>E115+'07'!H115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D116+'07'!G116</f>
        <v>0</v>
      </c>
      <c r="H116" s="178">
        <f>E116+'07'!H116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D117+'07'!G117</f>
        <v>0</v>
      </c>
      <c r="H117" s="178">
        <f>E117+'07'!H117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355</v>
      </c>
      <c r="E118" s="110">
        <v>0</v>
      </c>
      <c r="F118" s="138">
        <f t="shared" si="14"/>
        <v>0</v>
      </c>
      <c r="G118" s="134">
        <f>D118+'07'!G118</f>
        <v>2830</v>
      </c>
      <c r="H118" s="178">
        <f>E118+'07'!H118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D119+'07'!G119</f>
        <v>0</v>
      </c>
      <c r="H119" s="178">
        <f>E119+'07'!H119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1118</v>
      </c>
      <c r="E120" s="110">
        <v>0</v>
      </c>
      <c r="F120" s="138">
        <f t="shared" si="14"/>
        <v>0</v>
      </c>
      <c r="G120" s="134">
        <f>D120+'07'!G120</f>
        <v>6024</v>
      </c>
      <c r="H120" s="178">
        <f>E120+'07'!H120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D121+'07'!G121</f>
        <v>272</v>
      </c>
      <c r="H121" s="178">
        <f>E121+'07'!H121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332</v>
      </c>
      <c r="E122" s="110">
        <v>0</v>
      </c>
      <c r="F122" s="138">
        <f t="shared" si="14"/>
        <v>0</v>
      </c>
      <c r="G122" s="134">
        <f>D122+'07'!G122</f>
        <v>5308</v>
      </c>
      <c r="H122" s="178">
        <f>E122+'07'!H122</f>
        <v>1823.35</v>
      </c>
      <c r="I122" s="138">
        <f t="shared" si="15"/>
        <v>0.34350979653353425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99.360444029532815</v>
      </c>
      <c r="F126" s="157">
        <f>IFERROR(E126/D126,0)</f>
        <v>2.4533442970255015</v>
      </c>
      <c r="G126" s="204">
        <v>40.5</v>
      </c>
      <c r="H126" s="200">
        <v>44.269217957271962</v>
      </c>
      <c r="I126" s="157">
        <f>IFERROR(H126/G126,0)</f>
        <v>1.0930671100560978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72.60788872491959</v>
      </c>
      <c r="F127" s="157">
        <f t="shared" ref="F127:F132" si="16">IFERROR(E127/D127,0)</f>
        <v>4.2710522779364464</v>
      </c>
      <c r="G127" s="204">
        <v>17</v>
      </c>
      <c r="H127" s="200">
        <v>18.890459520902514</v>
      </c>
      <c r="I127" s="157">
        <f t="shared" ref="I127:I132" si="17">IFERROR(H127/G127,0)</f>
        <v>1.1112035012295596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39.506356323288649</v>
      </c>
      <c r="F129" s="157">
        <f t="shared" si="16"/>
        <v>1.8812550630137452</v>
      </c>
      <c r="G129" s="204">
        <v>21</v>
      </c>
      <c r="H129" s="200">
        <v>21.079667971835999</v>
      </c>
      <c r="I129" s="157">
        <f t="shared" si="17"/>
        <v>1.0037937129445713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0</v>
      </c>
      <c r="F130" s="157">
        <f t="shared" si="16"/>
        <v>0</v>
      </c>
      <c r="G130" s="204">
        <v>42</v>
      </c>
      <c r="H130" s="200">
        <v>13.10947193332208</v>
      </c>
      <c r="I130" s="157">
        <f t="shared" si="17"/>
        <v>0.31213028412671617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36.435731006295377</v>
      </c>
      <c r="F131" s="157">
        <f t="shared" si="16"/>
        <v>1.0410208858941536</v>
      </c>
      <c r="G131" s="204">
        <v>35</v>
      </c>
      <c r="H131" s="200">
        <v>23.437610425008522</v>
      </c>
      <c r="I131" s="157">
        <f t="shared" si="17"/>
        <v>0.6696460121431006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84.037100455897175</v>
      </c>
      <c r="F132" s="684">
        <f t="shared" si="16"/>
        <v>0.83461218051342911</v>
      </c>
      <c r="G132" s="688">
        <v>100.69</v>
      </c>
      <c r="H132" s="683">
        <v>74.842926539540869</v>
      </c>
      <c r="I132" s="684">
        <f t="shared" si="17"/>
        <v>0.74330049200060455</v>
      </c>
      <c r="N132" s="728" t="s">
        <v>188</v>
      </c>
      <c r="O132" s="704">
        <f>O131+'07'!O132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114381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481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481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227096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481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3">
    <mergeCell ref="J143:J144"/>
    <mergeCell ref="J145:J146"/>
    <mergeCell ref="J147:J148"/>
    <mergeCell ref="L99:M99"/>
    <mergeCell ref="N99:O99"/>
    <mergeCell ref="J115:K115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I78:M78"/>
    <mergeCell ref="P78:P79"/>
    <mergeCell ref="O73:P73"/>
    <mergeCell ref="O69:P69"/>
    <mergeCell ref="O70:P70"/>
    <mergeCell ref="O71:P71"/>
    <mergeCell ref="A123:I123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O50:P50"/>
    <mergeCell ref="A77:P77"/>
    <mergeCell ref="O52:P52"/>
    <mergeCell ref="O53:P53"/>
    <mergeCell ref="N78:O78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8:P8"/>
    <mergeCell ref="O9:P9"/>
    <mergeCell ref="O10:P10"/>
    <mergeCell ref="O44:P44"/>
    <mergeCell ref="O48:P48"/>
    <mergeCell ref="O45:P45"/>
    <mergeCell ref="O46:P46"/>
    <mergeCell ref="O39:P39"/>
    <mergeCell ref="O40:P40"/>
    <mergeCell ref="O41:P41"/>
    <mergeCell ref="O42:P42"/>
    <mergeCell ref="O43:P43"/>
    <mergeCell ref="O47:P47"/>
    <mergeCell ref="O30:P30"/>
    <mergeCell ref="O22:P22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J139:J140"/>
    <mergeCell ref="J141:J142"/>
    <mergeCell ref="O5:P5"/>
    <mergeCell ref="O6:P6"/>
    <mergeCell ref="O7:P7"/>
    <mergeCell ref="K133:N133"/>
    <mergeCell ref="K142:N142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7:P17"/>
    <mergeCell ref="O18:P18"/>
    <mergeCell ref="O19:P19"/>
    <mergeCell ref="O20:P20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09 ",Q1)</f>
        <v>Ежедневный отчет производства и отгрузки за 09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60300</v>
      </c>
      <c r="H5" s="89">
        <f t="shared" si="0"/>
        <v>16874.071396806572</v>
      </c>
      <c r="I5" s="90">
        <f>IFERROR((H5/G5),0)</f>
        <v>0.27983534654737269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118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E6+'08'!G6</f>
        <v>0</v>
      </c>
      <c r="H6" s="110">
        <f>F6+'08'!H6</f>
        <v>6671.6154299884374</v>
      </c>
      <c r="I6" s="138"/>
      <c r="J6" s="750"/>
      <c r="K6" s="124">
        <f>J6+'08'!K6</f>
        <v>0</v>
      </c>
      <c r="L6" s="149">
        <f>D6+H6-K6-M6-N6</f>
        <v>22624.535195522654</v>
      </c>
      <c r="M6" s="101"/>
      <c r="N6" s="101">
        <v>0</v>
      </c>
      <c r="O6" s="1133"/>
      <c r="P6" s="1134"/>
      <c r="Q6" s="592"/>
      <c r="R6" s="590"/>
      <c r="S6" s="618"/>
      <c r="T6" s="118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F7+'08'!H7</f>
        <v>0</v>
      </c>
      <c r="I7" s="99"/>
      <c r="J7" s="750"/>
      <c r="K7" s="124">
        <f>J7+'08'!K7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96"/>
      <c r="D8" s="149">
        <f>'01'!D8</f>
        <v>0</v>
      </c>
      <c r="E8" s="97"/>
      <c r="F8" s="110"/>
      <c r="G8" s="98"/>
      <c r="H8" s="98">
        <f>F8+'08'!H8</f>
        <v>0</v>
      </c>
      <c r="I8" s="99"/>
      <c r="J8" s="947"/>
      <c r="K8" s="124">
        <f>J8+'08'!K8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F10+F11+F8+F12+F13</f>
        <v>0</v>
      </c>
      <c r="G9" s="98">
        <f>E9+'08'!G9</f>
        <v>60300</v>
      </c>
      <c r="H9" s="98">
        <f>F9+'08'!H9</f>
        <v>10202.455966818135</v>
      </c>
      <c r="I9" s="99">
        <f>IFERROR((H9/G9),0)</f>
        <v>0.1691949579903505</v>
      </c>
      <c r="J9" s="177">
        <f>J10+J11+J13+J12</f>
        <v>0</v>
      </c>
      <c r="K9" s="100">
        <f>J9+'08'!K9</f>
        <v>17027.103675312697</v>
      </c>
      <c r="L9" s="96">
        <f>D9+H9-K9+M9+N9</f>
        <v>120247.64605291751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118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E10+'08'!G10</f>
        <v>0</v>
      </c>
      <c r="H10" s="110">
        <f>F10+'08'!H10</f>
        <v>10202.455966818135</v>
      </c>
      <c r="I10" s="99"/>
      <c r="J10" s="178">
        <v>0</v>
      </c>
      <c r="K10" s="124">
        <f>J10+'08'!K10</f>
        <v>17027.103675312697</v>
      </c>
      <c r="L10" s="149">
        <f>D10+H10-K10+M10-N10</f>
        <v>49475.62620086284</v>
      </c>
      <c r="M10" s="101"/>
      <c r="N10" s="101"/>
      <c r="O10" s="1199"/>
      <c r="P10" s="1200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98"/>
      <c r="G11" s="98">
        <f>E11+'08'!G11</f>
        <v>0</v>
      </c>
      <c r="H11" s="110">
        <f>F11+'08'!H11</f>
        <v>0</v>
      </c>
      <c r="I11" s="99"/>
      <c r="J11" s="178">
        <v>0</v>
      </c>
      <c r="K11" s="124">
        <f>J11+'08'!K11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03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E12+'08'!G12</f>
        <v>0</v>
      </c>
      <c r="H12" s="110">
        <f>F12+'08'!H12</f>
        <v>0</v>
      </c>
      <c r="I12" s="757">
        <f>IFERROR((H12/G12),0)</f>
        <v>0</v>
      </c>
      <c r="J12" s="178"/>
      <c r="K12" s="124">
        <f>J12+'08'!K12</f>
        <v>0</v>
      </c>
      <c r="L12" s="149">
        <f>D12+H12-K12+M12-N12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F13+'08'!H13</f>
        <v>0</v>
      </c>
      <c r="I13" s="99"/>
      <c r="J13" s="178"/>
      <c r="K13" s="124">
        <f>J13+'08'!K13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4616</v>
      </c>
      <c r="F14" s="89">
        <f>SUM(F15:F21)</f>
        <v>0</v>
      </c>
      <c r="G14" s="89">
        <f>SUM(G15:G21)</f>
        <v>54065</v>
      </c>
      <c r="H14" s="89">
        <f>SUM(H15:H21)</f>
        <v>18857.68830004807</v>
      </c>
      <c r="I14" s="90">
        <f t="shared" ref="I14:I21" si="1">IFERROR((H14/G14),0)</f>
        <v>0.34879660223893594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E15+'08'!G15</f>
        <v>0</v>
      </c>
      <c r="H15" s="190">
        <f>F15+'08'!H15</f>
        <v>0</v>
      </c>
      <c r="I15" s="138">
        <f t="shared" si="1"/>
        <v>0</v>
      </c>
      <c r="J15" s="178">
        <v>0</v>
      </c>
      <c r="K15" s="124">
        <f>J15+'08'!K15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ht="15.75" customHeight="1" outlineLevel="1">
      <c r="A16" s="123" t="s">
        <v>254</v>
      </c>
      <c r="B16" s="119" t="s">
        <v>9</v>
      </c>
      <c r="C16" s="149">
        <f>'01'!C16</f>
        <v>44352</v>
      </c>
      <c r="D16" s="149">
        <f>'01'!D16</f>
        <v>6069.3572595923979</v>
      </c>
      <c r="E16" s="134">
        <v>1049.6761279737489</v>
      </c>
      <c r="F16" s="110">
        <v>0</v>
      </c>
      <c r="G16" s="110">
        <f>E16+'08'!G16</f>
        <v>12294.354388843314</v>
      </c>
      <c r="H16" s="110">
        <f>F16+'08'!H16</f>
        <v>3228.5002277343951</v>
      </c>
      <c r="I16" s="138">
        <f t="shared" si="1"/>
        <v>0.26260022491820662</v>
      </c>
      <c r="J16" s="751">
        <f>IFERROR(SUMIF(A101:A114,A16,E101:E114),0)+E111+E112+E113</f>
        <v>0</v>
      </c>
      <c r="K16" s="124">
        <f>J16+'08'!K16</f>
        <v>3320.85</v>
      </c>
      <c r="L16" s="12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>
      <c r="A17" s="734" t="s">
        <v>262</v>
      </c>
      <c r="B17" s="119" t="s">
        <v>9</v>
      </c>
      <c r="C17" s="149">
        <f>'01'!C17</f>
        <v>0</v>
      </c>
      <c r="D17" s="149">
        <f>'01'!D17</f>
        <v>483.23739591927495</v>
      </c>
      <c r="E17" s="108">
        <v>0</v>
      </c>
      <c r="F17" s="110">
        <v>0</v>
      </c>
      <c r="G17" s="110">
        <f>E17+'08'!G17</f>
        <v>0</v>
      </c>
      <c r="H17" s="110">
        <f>F17+'08'!H17</f>
        <v>0</v>
      </c>
      <c r="I17" s="138">
        <f t="shared" si="1"/>
        <v>0</v>
      </c>
      <c r="J17" s="751">
        <f>IFERROR(SUMIF(A102:A115,A17,E102:E115),0)+E116+E119+E121+E114</f>
        <v>0</v>
      </c>
      <c r="K17" s="124">
        <f>J17+'08'!K17</f>
        <v>0</v>
      </c>
      <c r="L17" s="12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/>
      <c r="G18" s="110">
        <f>E18+'08'!G18</f>
        <v>0</v>
      </c>
      <c r="H18" s="110">
        <f>F18+'08'!H18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J18+'08'!K18</f>
        <v>0</v>
      </c>
      <c r="L18" s="12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27">
        <f>'01'!C19</f>
        <v>145770</v>
      </c>
      <c r="D19" s="149">
        <f>'01'!D19</f>
        <v>12764.733711905967</v>
      </c>
      <c r="E19" s="250">
        <v>3449.9298605414274</v>
      </c>
      <c r="F19" s="131">
        <v>0</v>
      </c>
      <c r="G19" s="110">
        <f>E19+'08'!G19</f>
        <v>40407.378230106646</v>
      </c>
      <c r="H19" s="110">
        <f>F19+'08'!H19</f>
        <v>15629.188072313675</v>
      </c>
      <c r="I19" s="759">
        <f t="shared" si="1"/>
        <v>0.38679045156829084</v>
      </c>
      <c r="J19" s="751">
        <f>IFERROR(SUMIF(A102:A115,A19,E102:E115),0)+E117+E115+E122</f>
        <v>0</v>
      </c>
      <c r="K19" s="124">
        <f>J19+'08'!K19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84.206972928630023</v>
      </c>
      <c r="F20" s="110">
        <v>0</v>
      </c>
      <c r="G20" s="110">
        <f>E20+'08'!G20</f>
        <v>986.27599466776041</v>
      </c>
      <c r="H20" s="110">
        <f>F20+'08'!H20</f>
        <v>0</v>
      </c>
      <c r="I20" s="138">
        <f t="shared" si="1"/>
        <v>0</v>
      </c>
      <c r="J20" s="751">
        <f>IFERROR(SUMIF(A102:A115,A20,E102:E115),0)</f>
        <v>0</v>
      </c>
      <c r="K20" s="124">
        <f>J20+'08'!K20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32.187038556193592</v>
      </c>
      <c r="F21" s="110">
        <v>0</v>
      </c>
      <c r="G21" s="110">
        <f>E21+'08'!G21</f>
        <v>376.99138638228055</v>
      </c>
      <c r="H21" s="110">
        <f>F21+'08'!H21</f>
        <v>0</v>
      </c>
      <c r="I21" s="138">
        <f t="shared" si="1"/>
        <v>0</v>
      </c>
      <c r="J21" s="751">
        <f>IFERROR(SUMIF(A102:A115,A21,E102:E115),0)</f>
        <v>0</v>
      </c>
      <c r="K21" s="124">
        <f>J21+'08'!K21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E22+'08'!G22</f>
        <v>0</v>
      </c>
      <c r="H22" s="110">
        <f>F22+'08'!H22</f>
        <v>2130.1044634377968</v>
      </c>
      <c r="I22" s="99"/>
      <c r="J22" s="751">
        <f>IFERROR(SUMIF(A103:A123,A22,E103:E123),0)+E109</f>
        <v>0</v>
      </c>
      <c r="K22" s="124">
        <f>J22+'08'!K22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E23+'08'!G23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J23+'08'!K23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E24+'08'!G24</f>
        <v>0</v>
      </c>
      <c r="H24" s="110">
        <f>F24+'08'!H24</f>
        <v>0</v>
      </c>
      <c r="I24" s="99"/>
      <c r="J24" s="752">
        <v>0</v>
      </c>
      <c r="K24" s="124">
        <f>J24+'08'!K24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E25+'08'!G25</f>
        <v>0</v>
      </c>
      <c r="H25" s="110">
        <f>F25+'08'!H25</f>
        <v>0</v>
      </c>
      <c r="I25" s="99"/>
      <c r="J25" s="752">
        <v>0</v>
      </c>
      <c r="K25" s="124">
        <f>J25+'08'!K25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E26+'08'!G26</f>
        <v>0</v>
      </c>
      <c r="H26" s="110">
        <f>F26+'08'!H26</f>
        <v>0</v>
      </c>
      <c r="I26" s="99"/>
      <c r="J26" s="752">
        <v>0</v>
      </c>
      <c r="K26" s="124">
        <f>J26+'08'!K26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E27+'08'!G27</f>
        <v>0</v>
      </c>
      <c r="H27" s="110">
        <f>F27+'08'!H27</f>
        <v>0</v>
      </c>
      <c r="I27" s="99"/>
      <c r="J27" s="752"/>
      <c r="K27" s="124">
        <f>J27+'08'!K27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E28+'08'!G28</f>
        <v>0</v>
      </c>
      <c r="H28" s="110">
        <f>F28+'08'!H28</f>
        <v>0</v>
      </c>
      <c r="I28" s="99"/>
      <c r="J28" s="752"/>
      <c r="K28" s="124">
        <f>J28+'08'!K28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E29+'08'!G29</f>
        <v>0</v>
      </c>
      <c r="H29" s="110">
        <f>F29+'08'!H29</f>
        <v>0</v>
      </c>
      <c r="I29" s="99"/>
      <c r="J29" s="752"/>
      <c r="K29" s="124">
        <f>J29+'08'!K29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E30+'08'!G30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J30+'08'!K30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E31+'08'!G31</f>
        <v>0</v>
      </c>
      <c r="H31" s="110">
        <f>F31+'08'!H31</f>
        <v>0</v>
      </c>
      <c r="I31" s="99"/>
      <c r="J31" s="865">
        <v>0</v>
      </c>
      <c r="K31" s="124">
        <f>J31+'08'!K31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E32+'08'!G32</f>
        <v>0</v>
      </c>
      <c r="H32" s="110">
        <f>F32+'08'!H32</f>
        <v>554.40000000000009</v>
      </c>
      <c r="I32" s="99"/>
      <c r="J32" s="865">
        <v>0</v>
      </c>
      <c r="K32" s="124">
        <f>J32+'08'!K32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E33+'08'!G33</f>
        <v>0</v>
      </c>
      <c r="H33" s="110">
        <f>F33+'08'!H33</f>
        <v>0</v>
      </c>
      <c r="I33" s="99"/>
      <c r="J33" s="865">
        <v>0</v>
      </c>
      <c r="K33" s="124">
        <f>J33+'08'!K33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E34+'08'!G34</f>
        <v>0</v>
      </c>
      <c r="H34" s="110">
        <f>F34+'08'!H34</f>
        <v>0</v>
      </c>
      <c r="I34" s="99"/>
      <c r="J34" s="865"/>
      <c r="K34" s="124">
        <f>J34+'08'!K34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E35+'08'!G35</f>
        <v>0</v>
      </c>
      <c r="H35" s="110">
        <f>F35+'08'!H35</f>
        <v>0</v>
      </c>
      <c r="I35" s="99"/>
      <c r="J35" s="865"/>
      <c r="K35" s="124">
        <f>J35+'08'!K35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E36+'08'!G36</f>
        <v>0</v>
      </c>
      <c r="H36" s="110">
        <f>F36+'08'!H36</f>
        <v>0</v>
      </c>
      <c r="I36" s="99"/>
      <c r="J36" s="110">
        <v>0</v>
      </c>
      <c r="K36" s="124">
        <f>J36+'08'!K36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E37+'08'!G37</f>
        <v>0</v>
      </c>
      <c r="H37" s="110">
        <f>F37+'08'!H37</f>
        <v>0</v>
      </c>
      <c r="I37" s="99"/>
      <c r="J37" s="110">
        <v>0</v>
      </c>
      <c r="K37" s="124">
        <f>J37+'08'!K37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18"/>
      <c r="T37" s="208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E38+'08'!G38</f>
        <v>44697.514952264595</v>
      </c>
      <c r="H38" s="676">
        <f>F38+'08'!H38</f>
        <v>9132.5707721894778</v>
      </c>
      <c r="I38" s="760">
        <f>IFERROR((H38/G38),0)</f>
        <v>0.20431942988201354</v>
      </c>
      <c r="J38" s="954">
        <f>SUM(J39:J40)</f>
        <v>0</v>
      </c>
      <c r="K38" s="677">
        <f>J38+'08'!K38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F39+'08'!H39</f>
        <v>6840.5707721894778</v>
      </c>
      <c r="I39" s="138"/>
      <c r="J39" s="750">
        <f>F39</f>
        <v>0</v>
      </c>
      <c r="K39" s="124">
        <f>J39+'08'!K39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F40+'08'!H40</f>
        <v>2292</v>
      </c>
      <c r="I40" s="138"/>
      <c r="J40" s="178">
        <v>0</v>
      </c>
      <c r="K40" s="124">
        <f>J40+'08'!K40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F41+'08'!H41</f>
        <v>0</v>
      </c>
      <c r="I41" s="138"/>
      <c r="J41" s="178"/>
      <c r="K41" s="124">
        <f>J41+'08'!K41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F42+'08'!H42</f>
        <v>0</v>
      </c>
      <c r="I42" s="138"/>
      <c r="J42" s="178"/>
      <c r="K42" s="124">
        <f>J42+'08'!K42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E43+'08'!G43</f>
        <v>28980.563639023265</v>
      </c>
      <c r="H43" s="110">
        <f>F43+'08'!H43</f>
        <v>8403.7999999999993</v>
      </c>
      <c r="I43" s="138">
        <f>IFERROR((H43/G43),0)</f>
        <v>0.28998055747556306</v>
      </c>
      <c r="J43" s="178">
        <f>F43</f>
        <v>0</v>
      </c>
      <c r="K43" s="124">
        <f>J43+'08'!K43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118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E44+'08'!G44</f>
        <v>12254.079926625422</v>
      </c>
      <c r="H44" s="110">
        <f>F44+'08'!H44</f>
        <v>7255</v>
      </c>
      <c r="I44" s="138">
        <f>IFERROR((H44/G44),0)</f>
        <v>0.59204771336903717</v>
      </c>
      <c r="J44" s="178">
        <v>0</v>
      </c>
      <c r="K44" s="124">
        <f>J44+'08'!K44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/>
      <c r="G45" s="110"/>
      <c r="H45" s="110">
        <f>F45+'08'!H45</f>
        <v>0</v>
      </c>
      <c r="I45" s="138"/>
      <c r="J45" s="178"/>
      <c r="K45" s="124">
        <f>J45+'08'!K45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F46+'08'!H46</f>
        <v>0</v>
      </c>
      <c r="I46" s="138"/>
      <c r="J46" s="178"/>
      <c r="K46" s="124">
        <f>J46+'08'!K46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F47+'08'!H47</f>
        <v>0</v>
      </c>
      <c r="I47" s="138"/>
      <c r="J47" s="178"/>
      <c r="K47" s="124">
        <f>J47+'08'!K47</f>
        <v>0</v>
      </c>
      <c r="L47" s="149"/>
      <c r="M47" s="198"/>
      <c r="N47" s="117"/>
      <c r="O47" s="1125"/>
      <c r="P47" s="1126"/>
      <c r="Q47" s="595"/>
      <c r="R47" s="594"/>
      <c r="S47" s="618"/>
      <c r="T47" s="118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E48+'08'!G48</f>
        <v>71599.039578763346</v>
      </c>
      <c r="H48" s="110">
        <f>F48+'08'!H48</f>
        <v>15244.370772189477</v>
      </c>
      <c r="I48" s="138">
        <f>IFERROR((H48/G48),0)</f>
        <v>0.21291306226838044</v>
      </c>
      <c r="J48" s="750">
        <v>0</v>
      </c>
      <c r="K48" s="124">
        <f>J48+'08'!K48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590"/>
      <c r="T48" s="118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96898.950243719533</v>
      </c>
      <c r="H49" s="110">
        <f>SUM(H50:H51)</f>
        <v>32176.186994748638</v>
      </c>
      <c r="I49" s="138">
        <f>IFERROR((H49/G49),0)</f>
        <v>0.33205919067048018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618"/>
      <c r="T49" s="118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E50+'08'!G50</f>
        <v>0</v>
      </c>
      <c r="H50" s="110">
        <f>F50+'08'!H50</f>
        <v>0</v>
      </c>
      <c r="I50" s="138">
        <f>IFERROR((H50/G50),0)</f>
        <v>0</v>
      </c>
      <c r="J50" s="178"/>
      <c r="K50" s="124">
        <f>J50+'08'!K50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118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E51+'08'!G51</f>
        <v>96898.950243719533</v>
      </c>
      <c r="H51" s="110">
        <f>F51+'08'!H51</f>
        <v>32176.186994748638</v>
      </c>
      <c r="I51" s="138">
        <f>IFERROR((H51/G51),0)</f>
        <v>0.33205919067048018</v>
      </c>
      <c r="J51" s="178">
        <f>O51-P51</f>
        <v>0</v>
      </c>
      <c r="K51" s="124">
        <f>J51+'08'!K51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590"/>
      <c r="T51" s="118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619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E53+'08'!G53</f>
        <v>0</v>
      </c>
      <c r="H53" s="110">
        <f>F53+'08'!H53</f>
        <v>0</v>
      </c>
      <c r="I53" s="759">
        <f t="shared" ref="I53:I58" si="4">IFERROR((H53/G53),0)</f>
        <v>0</v>
      </c>
      <c r="J53" s="754"/>
      <c r="K53" s="124">
        <f>J53+'08'!K53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E54+'08'!G54</f>
        <v>2903.2258064516127</v>
      </c>
      <c r="H54" s="110">
        <f>F54+'08'!H54</f>
        <v>0</v>
      </c>
      <c r="I54" s="759">
        <f t="shared" si="4"/>
        <v>0</v>
      </c>
      <c r="J54" s="754">
        <v>0</v>
      </c>
      <c r="K54" s="124">
        <f>J54+'08'!K54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E55+'08'!G55</f>
        <v>4935.4838709677415</v>
      </c>
      <c r="H55" s="110">
        <f>F55+'08'!H55</f>
        <v>0</v>
      </c>
      <c r="I55" s="759">
        <f t="shared" si="4"/>
        <v>0</v>
      </c>
      <c r="J55" s="754">
        <v>0</v>
      </c>
      <c r="K55" s="124">
        <f>J55+'08'!K55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E56+'08'!G56</f>
        <v>0</v>
      </c>
      <c r="H56" s="110">
        <f>F56+'08'!H56</f>
        <v>0</v>
      </c>
      <c r="I56" s="759">
        <f t="shared" si="4"/>
        <v>0</v>
      </c>
      <c r="J56" s="754"/>
      <c r="K56" s="124">
        <f>J56+'08'!K56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E57+'08'!G57</f>
        <v>0</v>
      </c>
      <c r="H57" s="110">
        <f>F57+'08'!H57</f>
        <v>0</v>
      </c>
      <c r="I57" s="759">
        <f t="shared" si="4"/>
        <v>0</v>
      </c>
      <c r="J57" s="754"/>
      <c r="K57" s="124">
        <f>J57+'08'!K57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E58+'08'!G58</f>
        <v>0</v>
      </c>
      <c r="H58" s="110">
        <f>F58+'08'!H58</f>
        <v>0</v>
      </c>
      <c r="I58" s="759">
        <f t="shared" si="4"/>
        <v>0</v>
      </c>
      <c r="J58" s="754">
        <v>0</v>
      </c>
      <c r="K58" s="124">
        <f>J58+'08'!K58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F59+'08'!H59</f>
        <v>0</v>
      </c>
      <c r="I59" s="759"/>
      <c r="J59" s="754"/>
      <c r="K59" s="124">
        <f>J59+'08'!K59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F60+'08'!H60</f>
        <v>0</v>
      </c>
      <c r="I60" s="759"/>
      <c r="J60" s="754"/>
      <c r="K60" s="124">
        <f>J60+'08'!K60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F61+'08'!H61</f>
        <v>0</v>
      </c>
      <c r="I61" s="759"/>
      <c r="J61" s="754">
        <f>D139+D141</f>
        <v>0</v>
      </c>
      <c r="K61" s="124">
        <f>J61+'08'!K61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F62+'08'!H62</f>
        <v>0</v>
      </c>
      <c r="I62" s="522"/>
      <c r="J62" s="754">
        <v>0</v>
      </c>
      <c r="K62" s="124">
        <f>J62+'08'!K62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F63+'08'!H63</f>
        <v>3329.1499999999996</v>
      </c>
      <c r="I63" s="1059"/>
      <c r="J63" s="1068">
        <v>0</v>
      </c>
      <c r="K63" s="668">
        <f>J63+'08'!K63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F64+'08'!H64</f>
        <v>0</v>
      </c>
      <c r="I64" s="522"/>
      <c r="J64" s="754"/>
      <c r="K64" s="124">
        <f>J64+'08'!K64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F65+'08'!H65</f>
        <v>0</v>
      </c>
      <c r="I65" s="759"/>
      <c r="J65" s="754"/>
      <c r="K65" s="124">
        <f>J65+'08'!K65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F66+'08'!H66</f>
        <v>0</v>
      </c>
      <c r="I66" s="759"/>
      <c r="J66" s="754"/>
      <c r="K66" s="124">
        <f>J66+'08'!K66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113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F67+'08'!H67</f>
        <v>0</v>
      </c>
      <c r="I67" s="759"/>
      <c r="J67" s="754"/>
      <c r="K67" s="124">
        <f>J67+'08'!K67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F68+'08'!H68</f>
        <v>0</v>
      </c>
      <c r="I68" s="759"/>
      <c r="J68" s="754"/>
      <c r="K68" s="124">
        <f>J68+'08'!K68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F69+'08'!H69</f>
        <v>0</v>
      </c>
      <c r="I69" s="759"/>
      <c r="J69" s="754">
        <v>0</v>
      </c>
      <c r="K69" s="124">
        <f>J69+'08'!K69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F70+'08'!H70</f>
        <v>3329.1499999999996</v>
      </c>
      <c r="I70" s="759"/>
      <c r="J70" s="754"/>
      <c r="K70" s="124">
        <f>J70+'08'!K70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F71+'08'!H71</f>
        <v>0</v>
      </c>
      <c r="I71" s="759"/>
      <c r="J71" s="754"/>
      <c r="K71" s="124">
        <f>J71+'08'!K71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F72+'08'!H72</f>
        <v>1911.376034856974</v>
      </c>
      <c r="I72" s="388"/>
      <c r="J72" s="756">
        <f>K131</f>
        <v>0</v>
      </c>
      <c r="K72" s="395">
        <f>J72+'08'!K72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F73+'08'!H73</f>
        <v>0</v>
      </c>
      <c r="I73" s="934"/>
      <c r="J73" s="931"/>
      <c r="K73" s="935">
        <f>J73+'08'!K73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82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24*9-K80</f>
        <v>216</v>
      </c>
      <c r="M80" s="139">
        <f t="shared" ref="M80:M94" si="11">K80/(24*9)</f>
        <v>0</v>
      </c>
      <c r="N80" s="965"/>
      <c r="O80" s="302">
        <f>N80+'08'!O80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24*9-K81</f>
        <v>216</v>
      </c>
      <c r="M81" s="139">
        <f t="shared" si="11"/>
        <v>0</v>
      </c>
      <c r="N81" s="965"/>
      <c r="O81" s="302">
        <f>N81+'08'!O81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5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5" si="13">IFERROR(O82/K82,0)</f>
        <v>43.535460826585258</v>
      </c>
      <c r="J82" s="138">
        <f t="shared" si="10"/>
        <v>0.96745468503522791</v>
      </c>
      <c r="K82" s="134">
        <f>F82+'08'!K82</f>
        <v>43.903888888888886</v>
      </c>
      <c r="L82" s="110">
        <f>24*9-K82</f>
        <v>172.0961111111111</v>
      </c>
      <c r="M82" s="139">
        <f t="shared" si="11"/>
        <v>0.20325874485596707</v>
      </c>
      <c r="N82" s="716">
        <v>0</v>
      </c>
      <c r="O82" s="303">
        <f>N82+'08'!O82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F83+'08'!K83</f>
        <v>64.575555555555553</v>
      </c>
      <c r="L83" s="134">
        <f>G83+'08'!L83</f>
        <v>151.42444444444445</v>
      </c>
      <c r="M83" s="139">
        <f t="shared" si="11"/>
        <v>0.29896090534979425</v>
      </c>
      <c r="N83" s="716">
        <v>0</v>
      </c>
      <c r="O83" s="303">
        <f>N83+'08'!O83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F84+'08'!K84</f>
        <v>64.977499999999992</v>
      </c>
      <c r="L84" s="134">
        <f>G84+'08'!L84</f>
        <v>151.02250000000001</v>
      </c>
      <c r="M84" s="139">
        <f t="shared" si="11"/>
        <v>0.30082175925925925</v>
      </c>
      <c r="N84" s="716">
        <v>0</v>
      </c>
      <c r="O84" s="303">
        <f>N84+'08'!O84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F85+'08'!K85</f>
        <v>0</v>
      </c>
      <c r="L85" s="134">
        <f>G85+'08'!L85</f>
        <v>216</v>
      </c>
      <c r="M85" s="139">
        <f t="shared" si="11"/>
        <v>0</v>
      </c>
      <c r="N85" s="965">
        <v>0</v>
      </c>
      <c r="O85" s="302">
        <f>N85+'08'!O85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06" t="s">
        <v>17</v>
      </c>
      <c r="C86" s="133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F86+'08'!K86</f>
        <v>0</v>
      </c>
      <c r="L86" s="134">
        <f>G86+'08'!L86</f>
        <v>192</v>
      </c>
      <c r="M86" s="139">
        <f t="shared" si="11"/>
        <v>0</v>
      </c>
      <c r="N86" s="965">
        <v>0</v>
      </c>
      <c r="O86" s="303">
        <f>N86+'08'!O86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06" t="s">
        <v>17</v>
      </c>
      <c r="C87" s="133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F87+'08'!K87</f>
        <v>0</v>
      </c>
      <c r="L87" s="134">
        <f>G87+'08'!L87</f>
        <v>192</v>
      </c>
      <c r="M87" s="139">
        <f t="shared" si="11"/>
        <v>0</v>
      </c>
      <c r="N87" s="965">
        <v>0</v>
      </c>
      <c r="O87" s="302">
        <f>N87+'08'!O87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F88+'08'!K88</f>
        <v>0</v>
      </c>
      <c r="L88" s="134">
        <f>G88+'08'!L88</f>
        <v>192</v>
      </c>
      <c r="M88" s="139">
        <f t="shared" si="11"/>
        <v>0</v>
      </c>
      <c r="N88" s="716">
        <v>0</v>
      </c>
      <c r="O88" s="303">
        <f>N88+'08'!O88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F89+'08'!K89</f>
        <v>1.6950000000000001</v>
      </c>
      <c r="L89" s="134">
        <f>G89+'08'!L89</f>
        <v>214.30500000000001</v>
      </c>
      <c r="M89" s="139">
        <f t="shared" si="11"/>
        <v>7.8472222222222224E-3</v>
      </c>
      <c r="N89" s="1001">
        <v>0</v>
      </c>
      <c r="O89" s="303">
        <f>N89+'08'!O89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F90+'08'!K90</f>
        <v>32.664166666666674</v>
      </c>
      <c r="L90" s="134">
        <f>G90+'08'!L90</f>
        <v>183.33583333333331</v>
      </c>
      <c r="M90" s="139">
        <f t="shared" si="11"/>
        <v>0.15122299382716053</v>
      </c>
      <c r="N90" s="1001">
        <v>0</v>
      </c>
      <c r="O90" s="303">
        <f>N90+'08'!O90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 t="shared" si="12"/>
        <v>0</v>
      </c>
      <c r="E91" s="138">
        <f t="shared" si="7"/>
        <v>0</v>
      </c>
      <c r="F91" s="134"/>
      <c r="G91" s="110">
        <f t="shared" si="8"/>
        <v>24</v>
      </c>
      <c r="H91" s="138">
        <f t="shared" si="9"/>
        <v>0</v>
      </c>
      <c r="I91" s="134">
        <f t="shared" si="13"/>
        <v>0</v>
      </c>
      <c r="J91" s="138">
        <f t="shared" si="10"/>
        <v>0</v>
      </c>
      <c r="K91" s="134">
        <f>F91+'08'!K91</f>
        <v>0</v>
      </c>
      <c r="L91" s="134">
        <f>G91+'08'!L91</f>
        <v>216</v>
      </c>
      <c r="M91" s="139">
        <f t="shared" si="11"/>
        <v>0</v>
      </c>
      <c r="N91" s="716">
        <v>0</v>
      </c>
      <c r="O91" s="303">
        <f>N91+'08'!O91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 t="shared" si="12"/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 t="shared" si="13"/>
        <v>140.11316982515353</v>
      </c>
      <c r="J92" s="138">
        <f t="shared" si="10"/>
        <v>0.89583581578868565</v>
      </c>
      <c r="K92" s="134">
        <f>F92+'08'!K92</f>
        <v>71.521666666666675</v>
      </c>
      <c r="L92" s="134">
        <f>G92+'08'!L92</f>
        <v>144.47833333333332</v>
      </c>
      <c r="M92" s="139">
        <f t="shared" si="11"/>
        <v>0.33111882716049384</v>
      </c>
      <c r="N92" s="716">
        <v>0</v>
      </c>
      <c r="O92" s="303">
        <f>N92+'08'!O92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 t="shared" si="12"/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 t="shared" si="13"/>
        <v>144.80399190974401</v>
      </c>
      <c r="J93" s="138">
        <f t="shared" si="10"/>
        <v>0.94516947445354405</v>
      </c>
      <c r="K93" s="134">
        <f>F93+'08'!K93</f>
        <v>64.288611111111109</v>
      </c>
      <c r="L93" s="134">
        <f>G93+'08'!L93</f>
        <v>151.71138888888891</v>
      </c>
      <c r="M93" s="139">
        <f t="shared" si="11"/>
        <v>0.29763245884773659</v>
      </c>
      <c r="N93" s="716">
        <v>0</v>
      </c>
      <c r="O93" s="303">
        <f>N93+'08'!O93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 t="shared" si="12"/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 t="shared" si="13"/>
        <v>89.046875</v>
      </c>
      <c r="J94" s="746">
        <f t="shared" si="10"/>
        <v>1.4841145833333333</v>
      </c>
      <c r="K94" s="765">
        <f>F94+'08'!K94</f>
        <v>32</v>
      </c>
      <c r="L94" s="765">
        <f>G94+'08'!L94</f>
        <v>184</v>
      </c>
      <c r="M94" s="880">
        <f t="shared" si="11"/>
        <v>0.14814814814814814</v>
      </c>
      <c r="N94" s="966">
        <f>E111+E120+E121+E122</f>
        <v>0</v>
      </c>
      <c r="O94" s="871">
        <f>N94+'08'!O94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 t="shared" si="12"/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 t="shared" si="13"/>
        <v>142.05714285714285</v>
      </c>
      <c r="J95" s="444">
        <f>IFERROR(I95/C95,0)</f>
        <v>0</v>
      </c>
      <c r="K95" s="443">
        <f>F95+'08'!K95</f>
        <v>7</v>
      </c>
      <c r="L95" s="443">
        <f>G95+'08'!L95</f>
        <v>209</v>
      </c>
      <c r="M95" s="723">
        <f>K95/(24*9)</f>
        <v>3.2407407407407406E-2</v>
      </c>
      <c r="N95" s="967">
        <f>E112+E114+E115+E118+E119</f>
        <v>0</v>
      </c>
      <c r="O95" s="713">
        <f>N95+'08'!O95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2923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54415</v>
      </c>
      <c r="H100" s="89">
        <f>H101+H110</f>
        <v>19708.249999999993</v>
      </c>
      <c r="I100" s="90">
        <f t="shared" ref="I100:I122" si="15">IFERROR((H100/G100),0)</f>
        <v>0.36218414040246244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2923</v>
      </c>
      <c r="E101" s="98">
        <f>SUM(E102:E109)</f>
        <v>0</v>
      </c>
      <c r="F101" s="99">
        <f t="shared" si="14"/>
        <v>0</v>
      </c>
      <c r="G101" s="169">
        <f>SUM(G102:G109)</f>
        <v>38110</v>
      </c>
      <c r="H101" s="98">
        <f>SUM(H102:H109)</f>
        <v>15844.349999999995</v>
      </c>
      <c r="I101" s="99">
        <f t="shared" si="15"/>
        <v>0.41575308318026749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D102+'08'!G102</f>
        <v>0</v>
      </c>
      <c r="H102" s="178">
        <f>E102+'08'!H102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290</v>
      </c>
      <c r="E103" s="166">
        <v>0</v>
      </c>
      <c r="F103" s="138">
        <f t="shared" si="14"/>
        <v>0</v>
      </c>
      <c r="G103" s="445">
        <f>D103+'08'!G103</f>
        <v>3145</v>
      </c>
      <c r="H103" s="150">
        <f>E103+'08'!H103</f>
        <v>0</v>
      </c>
      <c r="I103" s="138">
        <f t="shared" si="15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2446</v>
      </c>
      <c r="E104" s="110">
        <v>0</v>
      </c>
      <c r="F104" s="138">
        <f t="shared" si="14"/>
        <v>0</v>
      </c>
      <c r="G104" s="134">
        <f>D104+'08'!G104</f>
        <v>33602</v>
      </c>
      <c r="H104" s="178">
        <f>E104+'08'!H104</f>
        <v>12980.249999999995</v>
      </c>
      <c r="I104" s="138">
        <f t="shared" si="15"/>
        <v>0.38629397059698811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D105+'08'!G105</f>
        <v>0</v>
      </c>
      <c r="H105" s="178">
        <f>E105+'08'!H105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D106+'08'!G106</f>
        <v>0</v>
      </c>
      <c r="H106" s="150">
        <f>E106+'08'!H106</f>
        <v>1280.3</v>
      </c>
      <c r="I106" s="138">
        <f t="shared" si="15"/>
        <v>0</v>
      </c>
      <c r="J106" s="1146"/>
      <c r="K106" s="1147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D107+'08'!G107</f>
        <v>0</v>
      </c>
      <c r="H107" s="178">
        <f>E107+'08'!H107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137</v>
      </c>
      <c r="E108" s="110">
        <v>0</v>
      </c>
      <c r="F108" s="138">
        <f t="shared" si="14"/>
        <v>0</v>
      </c>
      <c r="G108" s="445">
        <f>D108+'08'!G108</f>
        <v>1013</v>
      </c>
      <c r="H108" s="178">
        <f>E108+'08'!H108</f>
        <v>826.59999999999991</v>
      </c>
      <c r="I108" s="138">
        <f t="shared" si="15"/>
        <v>0.81599210266535038</v>
      </c>
      <c r="J108" s="795"/>
      <c r="K108" s="796"/>
      <c r="L108" s="253"/>
      <c r="M108" s="253"/>
      <c r="N108" s="253"/>
      <c r="O108" s="253"/>
      <c r="P108" s="143"/>
      <c r="S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50</v>
      </c>
      <c r="E109" s="110">
        <v>0</v>
      </c>
      <c r="F109" s="138">
        <f t="shared" si="14"/>
        <v>0</v>
      </c>
      <c r="G109" s="445">
        <f>D109+'08'!G109</f>
        <v>350</v>
      </c>
      <c r="H109" s="178">
        <f>E109+'08'!H109</f>
        <v>281.59999999999997</v>
      </c>
      <c r="I109" s="138">
        <f t="shared" si="15"/>
        <v>0.80457142857142849</v>
      </c>
      <c r="J109" s="795"/>
      <c r="K109" s="796"/>
      <c r="L109" s="253"/>
      <c r="M109" s="253"/>
      <c r="N109" s="253"/>
      <c r="O109" s="143"/>
      <c r="T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1743</v>
      </c>
      <c r="E110" s="98">
        <f>SUM(E111:E122)</f>
        <v>0</v>
      </c>
      <c r="F110" s="1053">
        <f>IFERROR((E110/D110),0)</f>
        <v>0</v>
      </c>
      <c r="G110" s="1051">
        <f>SUM(G111:G122)</f>
        <v>16305</v>
      </c>
      <c r="H110" s="98">
        <f>SUM(H111:H122)</f>
        <v>3863.8999999999996</v>
      </c>
      <c r="I110" s="1053">
        <f>IFERROR((H110/G110),0)</f>
        <v>0.23697638761116219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D111+'08'!G111</f>
        <v>0</v>
      </c>
      <c r="H111" s="110">
        <f>E111+'08'!H111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 outlineLevel="1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D112+'08'!G112</f>
        <v>0</v>
      </c>
      <c r="H112" s="110">
        <f>E112+'08'!H112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 outlineLevel="1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D113+'08'!G113</f>
        <v>0</v>
      </c>
      <c r="H113" s="110">
        <f>E113+'08'!H113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D114+'08'!G114</f>
        <v>144</v>
      </c>
      <c r="H114" s="110">
        <f>E114+'08'!H114</f>
        <v>0</v>
      </c>
      <c r="I114" s="167">
        <f t="shared" si="15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D115+'08'!G115</f>
        <v>0</v>
      </c>
      <c r="H115" s="110">
        <f>E115+'08'!H115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D116+'08'!G116</f>
        <v>0</v>
      </c>
      <c r="H116" s="110">
        <f>E116+'08'!H116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D117+'08'!G117</f>
        <v>0</v>
      </c>
      <c r="H117" s="110">
        <f>E117+'08'!H117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>
        <f t="shared" si="14"/>
        <v>0</v>
      </c>
      <c r="G118" s="134">
        <f>D118+'08'!G118</f>
        <v>3175</v>
      </c>
      <c r="H118" s="110">
        <f>E118+'08'!H118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D119+'08'!G119</f>
        <v>0</v>
      </c>
      <c r="H119" s="110">
        <f>E119+'08'!H119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710</v>
      </c>
      <c r="E120" s="110">
        <v>0</v>
      </c>
      <c r="F120" s="138">
        <f t="shared" si="14"/>
        <v>0</v>
      </c>
      <c r="G120" s="134">
        <f>D120+'08'!G120</f>
        <v>6734</v>
      </c>
      <c r="H120" s="110">
        <f>E120+'08'!H120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D121+'08'!G121</f>
        <v>272</v>
      </c>
      <c r="H121" s="110">
        <f>E121+'08'!H121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0</v>
      </c>
      <c r="F122" s="138">
        <f t="shared" si="14"/>
        <v>0</v>
      </c>
      <c r="G122" s="134">
        <f>D122+'08'!G122</f>
        <v>5980</v>
      </c>
      <c r="H122" s="110">
        <f>E122+'08'!H122</f>
        <v>1823.35</v>
      </c>
      <c r="I122" s="138">
        <f t="shared" si="15"/>
        <v>0.30490802675585282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59.349781770832713</v>
      </c>
      <c r="F126" s="157">
        <f>IFERROR(E126/D126,0)</f>
        <v>1.4654267103909311</v>
      </c>
      <c r="G126" s="204">
        <v>40.5</v>
      </c>
      <c r="H126" s="200">
        <v>44.91833178648681</v>
      </c>
      <c r="I126" s="157">
        <f>IFERROR(H126/G126,0)</f>
        <v>1.10909461201202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27.319301882704849</v>
      </c>
      <c r="F127" s="157">
        <f t="shared" ref="F127:F132" si="16">IFERROR(E127/D127,0)</f>
        <v>1.6070177578061675</v>
      </c>
      <c r="G127" s="204">
        <v>17</v>
      </c>
      <c r="H127" s="200">
        <v>19.215961273699229</v>
      </c>
      <c r="I127" s="157">
        <f t="shared" ref="I127:I132" si="17">IFERROR(H127/G127,0)</f>
        <v>1.1303506631587781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73.849354461478057</v>
      </c>
      <c r="F129" s="157">
        <f t="shared" si="16"/>
        <v>3.5166359267370502</v>
      </c>
      <c r="G129" s="204">
        <v>21</v>
      </c>
      <c r="H129" s="200">
        <v>21.907074789216658</v>
      </c>
      <c r="I129" s="157">
        <f t="shared" si="17"/>
        <v>1.0431940375817457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0</v>
      </c>
      <c r="F130" s="157">
        <f t="shared" si="16"/>
        <v>0</v>
      </c>
      <c r="G130" s="204">
        <v>42</v>
      </c>
      <c r="H130" s="200">
        <v>13.446298940644803</v>
      </c>
      <c r="I130" s="157">
        <f t="shared" si="17"/>
        <v>0.32014997477725721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11.131937056753594</v>
      </c>
      <c r="F131" s="157">
        <f t="shared" si="16"/>
        <v>0.31805534447867412</v>
      </c>
      <c r="G131" s="204">
        <v>35</v>
      </c>
      <c r="H131" s="200">
        <v>21.973397208562545</v>
      </c>
      <c r="I131" s="157">
        <f t="shared" si="17"/>
        <v>0.6278113488160727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36.949369623869259</v>
      </c>
      <c r="F132" s="684">
        <f t="shared" si="16"/>
        <v>0.3669616607793153</v>
      </c>
      <c r="G132" s="688">
        <v>100.69</v>
      </c>
      <c r="H132" s="683">
        <v>70.207886375974724</v>
      </c>
      <c r="I132" s="684">
        <f t="shared" si="17"/>
        <v>0.69726771651578834</v>
      </c>
      <c r="N132" s="728" t="s">
        <v>188</v>
      </c>
      <c r="O132" s="704">
        <f>O131+'08'!O132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  <c r="S133" s="82" t="s">
        <v>148</v>
      </c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57102</v>
      </c>
      <c r="O134" s="115"/>
      <c r="P134" s="115"/>
      <c r="S134" s="483">
        <f>L135-F92-F93</f>
        <v>0</v>
      </c>
    </row>
    <row r="135" spans="1:20" ht="15.75" customHeight="1" thickBot="1">
      <c r="C135" s="115"/>
      <c r="D135" s="93"/>
      <c r="E135" s="93"/>
      <c r="F135" s="93"/>
      <c r="K135" s="365"/>
      <c r="L135" s="543">
        <f>SUM(L136:L140)</f>
        <v>0</v>
      </c>
      <c r="M135" s="366">
        <f>SUM(M136:M140)</f>
        <v>0</v>
      </c>
      <c r="N135" s="367"/>
      <c r="O135" s="382">
        <v>100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63542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J111:K111"/>
    <mergeCell ref="K133:N133"/>
    <mergeCell ref="K142:N142"/>
    <mergeCell ref="O64:P64"/>
    <mergeCell ref="O49:P49"/>
    <mergeCell ref="O50:P50"/>
    <mergeCell ref="O52:P52"/>
    <mergeCell ref="O53:P53"/>
    <mergeCell ref="O59:P59"/>
    <mergeCell ref="O68:P68"/>
    <mergeCell ref="J129:J130"/>
    <mergeCell ref="K129:L129"/>
    <mergeCell ref="I78:M78"/>
    <mergeCell ref="P78:P79"/>
    <mergeCell ref="N78:O78"/>
    <mergeCell ref="A96:K96"/>
    <mergeCell ref="O65:P65"/>
    <mergeCell ref="O66:P66"/>
    <mergeCell ref="J139:J140"/>
    <mergeCell ref="J141:J142"/>
    <mergeCell ref="O73:P73"/>
    <mergeCell ref="O62:P62"/>
    <mergeCell ref="O63:P63"/>
    <mergeCell ref="A136:A138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O60:P60"/>
    <mergeCell ref="J97:K98"/>
    <mergeCell ref="J115:K115"/>
    <mergeCell ref="M97:P97"/>
    <mergeCell ref="J101:K101"/>
    <mergeCell ref="J102:K102"/>
    <mergeCell ref="J103:K103"/>
    <mergeCell ref="J112:K112"/>
    <mergeCell ref="J114:K114"/>
    <mergeCell ref="L99:M99"/>
    <mergeCell ref="J104:K104"/>
    <mergeCell ref="J105:K105"/>
    <mergeCell ref="J106:K106"/>
    <mergeCell ref="J107:K107"/>
    <mergeCell ref="O67:P67"/>
    <mergeCell ref="A97:A99"/>
    <mergeCell ref="B97:B99"/>
    <mergeCell ref="C97:C99"/>
    <mergeCell ref="D97:F98"/>
    <mergeCell ref="G97:I98"/>
    <mergeCell ref="O23:P23"/>
    <mergeCell ref="O38:P38"/>
    <mergeCell ref="O39:P39"/>
    <mergeCell ref="O40:P40"/>
    <mergeCell ref="O41:P41"/>
    <mergeCell ref="O42:P42"/>
    <mergeCell ref="D78:H78"/>
    <mergeCell ref="N99:O99"/>
    <mergeCell ref="O72:P72"/>
    <mergeCell ref="O69:P69"/>
    <mergeCell ref="O70:P70"/>
    <mergeCell ref="O71:P71"/>
    <mergeCell ref="O30:P30"/>
    <mergeCell ref="B136:B137"/>
    <mergeCell ref="C136:I136"/>
    <mergeCell ref="A78:A79"/>
    <mergeCell ref="B78:B79"/>
    <mergeCell ref="C78:C79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23:I123"/>
    <mergeCell ref="A124:A125"/>
    <mergeCell ref="B124:B125"/>
    <mergeCell ref="C124:C125"/>
    <mergeCell ref="D124:F124"/>
    <mergeCell ref="G124:I124"/>
    <mergeCell ref="N129:P129"/>
    <mergeCell ref="O5:P5"/>
    <mergeCell ref="O6:P6"/>
    <mergeCell ref="O7:P7"/>
    <mergeCell ref="O8:P8"/>
    <mergeCell ref="A77:P77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21:P21"/>
    <mergeCell ref="O43:P43"/>
    <mergeCell ref="O44:P44"/>
    <mergeCell ref="O48:P48"/>
    <mergeCell ref="O45:P45"/>
    <mergeCell ref="O46:P46"/>
    <mergeCell ref="O47:P47"/>
    <mergeCell ref="O10:P10"/>
    <mergeCell ref="O9:P9"/>
    <mergeCell ref="O22:P22"/>
  </mergeCells>
  <pageMargins left="0.25" right="0.25" top="0.75" bottom="0.75" header="0.3" footer="0.3"/>
  <pageSetup paperSize="8" scale="46"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0" tint="-0.14999847407452621"/>
    <pageSetUpPr fitToPage="1"/>
  </sheetPr>
  <dimension ref="A1:AA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7" width="15.85546875" style="82" bestFit="1" customWidth="1"/>
    <col min="8" max="8" width="15.85546875" style="82" customWidth="1"/>
    <col min="9" max="9" width="13.7109375" style="82" bestFit="1" customWidth="1"/>
    <col min="10" max="11" width="19.5703125" style="82" customWidth="1"/>
    <col min="12" max="12" width="18.425781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5" width="10.7109375" style="82" bestFit="1" customWidth="1"/>
    <col min="26" max="26" width="11.5703125" style="82" bestFit="1" customWidth="1"/>
    <col min="27" max="27" width="9.5703125" style="82" bestFit="1" customWidth="1"/>
    <col min="28" max="16384" width="9.140625" style="82"/>
  </cols>
  <sheetData>
    <row r="1" spans="1:20" ht="20.25">
      <c r="A1" s="1221" t="str">
        <f>CONCATENATE("Ежедневный отчет производства и отгрузки за 10 ",Q1)</f>
        <v>Ежедневный отчет производства и отгрузки за 10 август</v>
      </c>
      <c r="B1" s="1221"/>
      <c r="C1" s="1221"/>
      <c r="D1" s="1221"/>
      <c r="E1" s="1221"/>
      <c r="F1" s="1221"/>
      <c r="G1" s="1221"/>
      <c r="H1" s="1221"/>
      <c r="I1" s="1221"/>
      <c r="J1" s="1221"/>
      <c r="K1" s="1221"/>
      <c r="L1" s="1221"/>
      <c r="M1" s="1221"/>
      <c r="N1" s="1221"/>
      <c r="O1" s="1221"/>
      <c r="P1" s="1221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67000</v>
      </c>
      <c r="H5" s="89">
        <f t="shared" si="0"/>
        <v>16874.071396806572</v>
      </c>
      <c r="I5" s="90">
        <f>IFERROR((H5/G5),0)</f>
        <v>0.25185181189263539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202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E6+'09'!G6</f>
        <v>0</v>
      </c>
      <c r="H6" s="110">
        <f>F6+'09'!H6</f>
        <v>6671.6154299884374</v>
      </c>
      <c r="I6" s="138"/>
      <c r="J6" s="750"/>
      <c r="K6" s="124">
        <f>J6+'09'!K6</f>
        <v>0</v>
      </c>
      <c r="L6" s="149">
        <f>D6+H6-K6-M6-N6</f>
        <v>22624.535195522654</v>
      </c>
      <c r="M6" s="101"/>
      <c r="N6" s="101">
        <v>0</v>
      </c>
      <c r="O6" s="1133"/>
      <c r="P6" s="1134"/>
      <c r="Q6" s="592"/>
      <c r="R6" s="590"/>
      <c r="S6" s="618"/>
      <c r="T6" s="202"/>
    </row>
    <row r="7" spans="1:20" ht="15.75" hidden="1" customHeight="1" outlineLevel="1">
      <c r="A7" s="103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10">
        <f>F7+'09'!H7</f>
        <v>0</v>
      </c>
      <c r="I7" s="138"/>
      <c r="J7" s="750"/>
      <c r="K7" s="124">
        <f>J7+'09'!K7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t="15.75" hidden="1" customHeight="1" outlineLevel="1">
      <c r="A8" s="103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F8+'09'!H8</f>
        <v>0</v>
      </c>
      <c r="I8" s="138"/>
      <c r="J8" s="750"/>
      <c r="K8" s="124">
        <f>J8+'09'!K8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E9+'09'!G9</f>
        <v>67000</v>
      </c>
      <c r="H9" s="98">
        <f>F9+'09'!H9</f>
        <v>10202.455966818135</v>
      </c>
      <c r="I9" s="99">
        <f>IFERROR((H9/G9),0)</f>
        <v>0.15227546219131546</v>
      </c>
      <c r="J9" s="177">
        <f>J10+J11+J12+J13</f>
        <v>0</v>
      </c>
      <c r="K9" s="100">
        <f>J9+'09'!K9</f>
        <v>17027.103675312697</v>
      </c>
      <c r="L9" s="96">
        <f>D9+H9-K9+M9+N9</f>
        <v>120247.64605291751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202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E10+'09'!G10</f>
        <v>0</v>
      </c>
      <c r="H10" s="110">
        <f>F10+'09'!H10</f>
        <v>10202.455966818135</v>
      </c>
      <c r="I10" s="99"/>
      <c r="J10" s="178">
        <v>0</v>
      </c>
      <c r="K10" s="124">
        <f>J10+'09'!K10</f>
        <v>17027.103675312697</v>
      </c>
      <c r="L10" s="203">
        <f>D10+H10-K10+M10-N10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E11+'09'!G11</f>
        <v>0</v>
      </c>
      <c r="H11" s="110">
        <f>F11+'09'!H11</f>
        <v>0</v>
      </c>
      <c r="I11" s="99"/>
      <c r="J11" s="178">
        <v>0</v>
      </c>
      <c r="K11" s="124">
        <f>J11+'09'!K11</f>
        <v>0</v>
      </c>
      <c r="L11" s="203">
        <f>D11+H11-K11+M11-N11</f>
        <v>18224.01726010743</v>
      </c>
      <c r="M11" s="101"/>
      <c r="N11" s="101"/>
      <c r="O11" s="1222"/>
      <c r="P11" s="1223"/>
      <c r="Q11" s="592"/>
      <c r="R11" s="590"/>
    </row>
    <row r="12" spans="1:20" ht="15.75" customHeight="1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E12+'09'!G12</f>
        <v>0</v>
      </c>
      <c r="H12" s="110">
        <f>F12+'09'!H12</f>
        <v>0</v>
      </c>
      <c r="I12" s="757">
        <f>IFERROR((H12/G12),0)</f>
        <v>0</v>
      </c>
      <c r="J12" s="178"/>
      <c r="K12" s="124">
        <f>J12+'09'!K12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t="15.75" hidden="1" customHeight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F13+'09'!H13</f>
        <v>0</v>
      </c>
      <c r="I13" s="99"/>
      <c r="J13" s="178"/>
      <c r="K13" s="124">
        <f>J13+'09'!K13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6759.0000000000018</v>
      </c>
      <c r="F14" s="89">
        <f>SUM(F15:F21)</f>
        <v>0</v>
      </c>
      <c r="G14" s="89">
        <f>SUM(G15:G21)</f>
        <v>60823.999999999993</v>
      </c>
      <c r="H14" s="89">
        <f>SUM(H15:H21)</f>
        <v>18857.68830004807</v>
      </c>
      <c r="I14" s="90">
        <f t="shared" ref="I14:I21" si="1">IFERROR((H14/G14),0)</f>
        <v>0.31003696402814795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t="15" hidden="1" customHeight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E15+'09'!G15</f>
        <v>0</v>
      </c>
      <c r="H15" s="110">
        <f>F15+'09'!H15</f>
        <v>0</v>
      </c>
      <c r="I15" s="138">
        <f t="shared" si="1"/>
        <v>0</v>
      </c>
      <c r="J15" s="178">
        <v>0</v>
      </c>
      <c r="K15" s="124">
        <f>J15+'09'!K15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ht="17.25" customHeight="1">
      <c r="A16" s="123" t="s">
        <v>254</v>
      </c>
      <c r="B16" s="119" t="s">
        <v>9</v>
      </c>
      <c r="C16" s="107">
        <f>'01'!C16</f>
        <v>44352</v>
      </c>
      <c r="D16" s="107">
        <f>'01'!D16</f>
        <v>6069.3572595923979</v>
      </c>
      <c r="E16" s="134">
        <v>1536.9932731747335</v>
      </c>
      <c r="F16" s="110">
        <v>0</v>
      </c>
      <c r="G16" s="110">
        <f>E16+'09'!G16</f>
        <v>13831.347662018048</v>
      </c>
      <c r="H16" s="110">
        <f>F16+'09'!H16</f>
        <v>3228.5002277343951</v>
      </c>
      <c r="I16" s="758">
        <f t="shared" si="1"/>
        <v>0.23341906418852493</v>
      </c>
      <c r="J16" s="751">
        <f>IFERROR(SUMIF(A101:A114,A16,E101:E114),0)+E111+E112+E113</f>
        <v>0</v>
      </c>
      <c r="K16" s="124">
        <f>J16+'09'!K16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07">
        <f>'01'!C17</f>
        <v>0</v>
      </c>
      <c r="D17" s="107">
        <f>'01'!D17</f>
        <v>483.23739591927495</v>
      </c>
      <c r="E17" s="108">
        <v>0</v>
      </c>
      <c r="F17" s="109">
        <v>0</v>
      </c>
      <c r="G17" s="110">
        <f>E17+'09'!G17</f>
        <v>0</v>
      </c>
      <c r="H17" s="110">
        <f>F17+'09'!H17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J17+'09'!K17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10"/>
      <c r="G18" s="110">
        <f>E18+'09'!G18</f>
        <v>0</v>
      </c>
      <c r="H18" s="110">
        <f>F18+'09'!H18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J18+'09'!K18</f>
        <v>0</v>
      </c>
      <c r="L18" s="12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27">
        <f>'01'!C19</f>
        <v>145770</v>
      </c>
      <c r="D19" s="149">
        <f>'01'!D19</f>
        <v>12764.733711905967</v>
      </c>
      <c r="E19" s="250">
        <v>5051.5762407711245</v>
      </c>
      <c r="F19" s="131">
        <v>0</v>
      </c>
      <c r="G19" s="110">
        <f>E19+'09'!G19</f>
        <v>45458.954470877768</v>
      </c>
      <c r="H19" s="110">
        <f>F19+'09'!H19</f>
        <v>15629.188072313675</v>
      </c>
      <c r="I19" s="759">
        <f t="shared" si="1"/>
        <v>0.34380878870248005</v>
      </c>
      <c r="J19" s="751">
        <f>IFERROR(SUMIF(A102:A115,A19,E102:E115),0)+E117+E115+E122</f>
        <v>0</v>
      </c>
      <c r="K19" s="124">
        <f>J19+'09'!K19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123.3004614438064</v>
      </c>
      <c r="F20" s="110">
        <v>0</v>
      </c>
      <c r="G20" s="171">
        <f>E20+'09'!G20</f>
        <v>1109.5764561115668</v>
      </c>
      <c r="H20" s="110">
        <f>F20+'09'!H20</f>
        <v>0</v>
      </c>
      <c r="I20" s="138">
        <f t="shared" si="1"/>
        <v>0</v>
      </c>
      <c r="J20" s="751">
        <f>IFERROR(SUMIF(A102:A115,A20,E102:E115),0)</f>
        <v>0</v>
      </c>
      <c r="K20" s="124">
        <f>J20+'09'!K20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47.130024610336342</v>
      </c>
      <c r="F21" s="110">
        <v>0</v>
      </c>
      <c r="G21" s="171">
        <f>E21+'09'!G21</f>
        <v>424.12141099261692</v>
      </c>
      <c r="H21" s="110">
        <f>F21+'09'!H21</f>
        <v>0</v>
      </c>
      <c r="I21" s="138">
        <f t="shared" si="1"/>
        <v>0</v>
      </c>
      <c r="J21" s="751">
        <f>IFERROR(SUMIF(A102:A115,A21,E102:E115),0)</f>
        <v>0</v>
      </c>
      <c r="K21" s="124">
        <f>J21+'09'!K21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71">
        <f>E22+'09'!G22</f>
        <v>0</v>
      </c>
      <c r="H22" s="110">
        <f>F22+'09'!H22</f>
        <v>2130.1044634377968</v>
      </c>
      <c r="I22" s="99"/>
      <c r="J22" s="751">
        <f>IFERROR(SUMIF(A103:A123,A22,E103:E123),0)+E109</f>
        <v>0</v>
      </c>
      <c r="K22" s="124">
        <f>J22+'09'!K22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E23+'09'!G23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J23+'09'!K23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110">
        <v>0</v>
      </c>
      <c r="G24" s="110">
        <f>E24+'09'!G24</f>
        <v>0</v>
      </c>
      <c r="H24" s="110">
        <f>F24+'09'!H24</f>
        <v>0</v>
      </c>
      <c r="I24" s="99"/>
      <c r="J24" s="752">
        <v>0</v>
      </c>
      <c r="K24" s="124">
        <f>J24+'09'!K24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110">
        <v>0</v>
      </c>
      <c r="G25" s="110">
        <f>E25+'09'!G25</f>
        <v>0</v>
      </c>
      <c r="H25" s="110">
        <f>F25+'09'!H25</f>
        <v>0</v>
      </c>
      <c r="I25" s="99"/>
      <c r="J25" s="752">
        <v>0</v>
      </c>
      <c r="K25" s="124">
        <f>J25+'09'!K25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110">
        <v>0</v>
      </c>
      <c r="G26" s="110">
        <f>E26+'09'!G26</f>
        <v>0</v>
      </c>
      <c r="H26" s="110">
        <f>F26+'09'!H26</f>
        <v>0</v>
      </c>
      <c r="I26" s="99"/>
      <c r="J26" s="752">
        <v>0</v>
      </c>
      <c r="K26" s="124">
        <f>J26+'09'!K26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E27+'09'!G27</f>
        <v>0</v>
      </c>
      <c r="H27" s="110">
        <f>F27+'09'!H27</f>
        <v>0</v>
      </c>
      <c r="I27" s="99"/>
      <c r="J27" s="752"/>
      <c r="K27" s="124">
        <f>J27+'09'!K27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E28+'09'!G28</f>
        <v>0</v>
      </c>
      <c r="H28" s="110">
        <f>F28+'09'!H28</f>
        <v>0</v>
      </c>
      <c r="I28" s="99"/>
      <c r="J28" s="752"/>
      <c r="K28" s="124">
        <f>J28+'09'!K28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E29+'09'!G29</f>
        <v>0</v>
      </c>
      <c r="H29" s="110">
        <f>F29+'09'!H29</f>
        <v>0</v>
      </c>
      <c r="I29" s="99"/>
      <c r="J29" s="752"/>
      <c r="K29" s="124">
        <f>J29+'09'!K29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E30+'09'!G30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J30+'09'!K30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E31+'09'!G31</f>
        <v>0</v>
      </c>
      <c r="H31" s="110">
        <f>F31+'09'!H31</f>
        <v>0</v>
      </c>
      <c r="I31" s="99"/>
      <c r="J31" s="865">
        <v>0</v>
      </c>
      <c r="K31" s="124">
        <f>J31+'09'!K31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E32+'09'!G32</f>
        <v>0</v>
      </c>
      <c r="H32" s="110">
        <f>F32+'09'!H32</f>
        <v>554.40000000000009</v>
      </c>
      <c r="I32" s="99"/>
      <c r="J32" s="865">
        <v>0</v>
      </c>
      <c r="K32" s="124">
        <f>J32+'09'!K32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E33+'09'!G33</f>
        <v>0</v>
      </c>
      <c r="H33" s="110">
        <f>F33+'09'!H33</f>
        <v>0</v>
      </c>
      <c r="I33" s="99"/>
      <c r="J33" s="865">
        <v>0</v>
      </c>
      <c r="K33" s="124">
        <f>J33+'09'!K33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E34+'09'!G34</f>
        <v>0</v>
      </c>
      <c r="H34" s="110">
        <f>F34+'09'!H34</f>
        <v>0</v>
      </c>
      <c r="I34" s="99"/>
      <c r="J34" s="865"/>
      <c r="K34" s="124">
        <f>J34+'09'!K34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E35+'09'!G35</f>
        <v>0</v>
      </c>
      <c r="H35" s="110">
        <f>F35+'09'!H35</f>
        <v>0</v>
      </c>
      <c r="I35" s="99"/>
      <c r="J35" s="865"/>
      <c r="K35" s="124">
        <f>J35+'09'!K35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E36+'09'!G36</f>
        <v>0</v>
      </c>
      <c r="H36" s="110">
        <f>F36+'09'!H36</f>
        <v>0</v>
      </c>
      <c r="I36" s="99"/>
      <c r="J36" s="110">
        <v>0</v>
      </c>
      <c r="K36" s="124">
        <f>J36+'09'!K36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E37+'09'!G37</f>
        <v>0</v>
      </c>
      <c r="H37" s="110">
        <f>F37+'09'!H37</f>
        <v>0</v>
      </c>
      <c r="I37" s="99"/>
      <c r="J37" s="110">
        <v>0</v>
      </c>
      <c r="K37" s="124">
        <f>J37+'09'!K37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E38+'09'!G38</f>
        <v>49663.905502516216</v>
      </c>
      <c r="H38" s="676">
        <f>F38+'09'!H38</f>
        <v>9132.5707721894778</v>
      </c>
      <c r="I38" s="760">
        <f>IFERROR((H38/G38),0)</f>
        <v>0.18388748689381218</v>
      </c>
      <c r="J38" s="954">
        <f>SUM(J39:J40)</f>
        <v>0</v>
      </c>
      <c r="K38" s="677">
        <f>J38+'09'!K38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F39+'09'!H39</f>
        <v>6840.5707721894778</v>
      </c>
      <c r="I39" s="138"/>
      <c r="J39" s="750">
        <f>F39</f>
        <v>0</v>
      </c>
      <c r="K39" s="124">
        <f>J39+'09'!K39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F40+'09'!H40</f>
        <v>2292</v>
      </c>
      <c r="I40" s="138"/>
      <c r="J40" s="178">
        <v>0</v>
      </c>
      <c r="K40" s="124">
        <f>J40+'09'!K40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F41+'09'!H41</f>
        <v>0</v>
      </c>
      <c r="I41" s="138"/>
      <c r="J41" s="178"/>
      <c r="K41" s="124">
        <f>J41+'09'!K41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F42+'09'!H42</f>
        <v>0</v>
      </c>
      <c r="I42" s="138"/>
      <c r="J42" s="178"/>
      <c r="K42" s="124">
        <f>J42+'09'!K42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E43+'09'!G43</f>
        <v>32200.626265581406</v>
      </c>
      <c r="H43" s="110">
        <f>F43+'09'!H43</f>
        <v>8403.7999999999993</v>
      </c>
      <c r="I43" s="138">
        <f>IFERROR((H43/G43),0)</f>
        <v>0.26098250172800674</v>
      </c>
      <c r="J43" s="178">
        <f>F43</f>
        <v>0</v>
      </c>
      <c r="K43" s="124">
        <f>J43+'09'!K43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E44+'09'!G44</f>
        <v>13615.644362917135</v>
      </c>
      <c r="H44" s="110">
        <f>F44+'09'!H44</f>
        <v>7255</v>
      </c>
      <c r="I44" s="138">
        <f>IFERROR((H44/G44),0)</f>
        <v>0.53284294203213345</v>
      </c>
      <c r="J44" s="178">
        <v>0</v>
      </c>
      <c r="K44" s="124">
        <f>J44+'09'!K44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t="15.75" hidden="1" customHeight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F45+'09'!H45</f>
        <v>0</v>
      </c>
      <c r="I45" s="138"/>
      <c r="J45" s="178"/>
      <c r="K45" s="124">
        <f>J45+'09'!K45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t="15.75" hidden="1" customHeight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F46+'09'!H46</f>
        <v>0</v>
      </c>
      <c r="I46" s="138"/>
      <c r="J46" s="178"/>
      <c r="K46" s="124">
        <f>J46+'09'!K46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t="15.75" hidden="1" customHeight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F47+'09'!H47</f>
        <v>0</v>
      </c>
      <c r="I47" s="138"/>
      <c r="J47" s="178"/>
      <c r="K47" s="124">
        <f>J47+'09'!K47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E48+'09'!G48</f>
        <v>79554.488420848167</v>
      </c>
      <c r="H48" s="110">
        <f>F48+'09'!H48</f>
        <v>15244.370772189477</v>
      </c>
      <c r="I48" s="138">
        <f>IFERROR((H48/G48),0)</f>
        <v>0.19162175604154238</v>
      </c>
      <c r="J48" s="750">
        <v>0</v>
      </c>
      <c r="K48" s="124">
        <f>J48+'09'!K48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7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107898.95024371953</v>
      </c>
      <c r="H49" s="110">
        <f>SUM(H50:H51)</f>
        <v>32176.186994748638</v>
      </c>
      <c r="I49" s="138">
        <f>IFERROR((H49/G49),0)</f>
        <v>0.29820667320738381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7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E50+'09'!G50</f>
        <v>0</v>
      </c>
      <c r="H50" s="110">
        <f>F50+'09'!H50</f>
        <v>0</v>
      </c>
      <c r="I50" s="138">
        <f>IFERROR((H50/G50),0)</f>
        <v>0</v>
      </c>
      <c r="J50" s="178"/>
      <c r="K50" s="124">
        <f>J50+'09'!K50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7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E51+'09'!G51</f>
        <v>107898.95024371953</v>
      </c>
      <c r="H51" s="110">
        <f>F51+'09'!H51</f>
        <v>32176.186994748638</v>
      </c>
      <c r="I51" s="138">
        <f>IFERROR((H51/G51),0)</f>
        <v>0.29820667320738381</v>
      </c>
      <c r="J51" s="178">
        <f>O51-P51</f>
        <v>0</v>
      </c>
      <c r="K51" s="124">
        <f>J51+'09'!K51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118"/>
      <c r="X51" s="115"/>
      <c r="Y51" s="1078" t="s">
        <v>110</v>
      </c>
      <c r="Z51" s="704">
        <f>L54</f>
        <v>12209.579158431603</v>
      </c>
      <c r="AA51" s="115"/>
    </row>
    <row r="52" spans="1:27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X52" s="115"/>
      <c r="Y52" s="1079" t="s">
        <v>258</v>
      </c>
      <c r="Z52" s="1082">
        <f>L55</f>
        <v>2640.6039748618332</v>
      </c>
      <c r="AA52" s="115"/>
    </row>
    <row r="53" spans="1:27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E53+'09'!G53</f>
        <v>0</v>
      </c>
      <c r="H53" s="110">
        <f>F53+'09'!H53</f>
        <v>0</v>
      </c>
      <c r="I53" s="759">
        <f t="shared" ref="I53:I58" si="4">IFERROR((H53/G53),0)</f>
        <v>0</v>
      </c>
      <c r="J53" s="754">
        <v>0</v>
      </c>
      <c r="K53" s="124">
        <f>J53+'09'!K53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X53" s="130"/>
      <c r="Y53" s="1080"/>
      <c r="Z53" s="305"/>
      <c r="AA53" s="130"/>
    </row>
    <row r="54" spans="1:27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E54+'09'!G54</f>
        <v>3225.8064516129029</v>
      </c>
      <c r="H54" s="110">
        <f>F54+'09'!H54</f>
        <v>0</v>
      </c>
      <c r="I54" s="759">
        <f t="shared" si="4"/>
        <v>0</v>
      </c>
      <c r="J54" s="754">
        <v>0</v>
      </c>
      <c r="K54" s="124">
        <f>J54+'09'!K54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  <c r="AA54" s="130"/>
    </row>
    <row r="55" spans="1:27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E55+'09'!G55</f>
        <v>5483.8709677419347</v>
      </c>
      <c r="H55" s="110">
        <f>F55+'09'!H55</f>
        <v>0</v>
      </c>
      <c r="I55" s="759">
        <f t="shared" si="4"/>
        <v>0</v>
      </c>
      <c r="J55" s="754">
        <v>0</v>
      </c>
      <c r="K55" s="124">
        <f>J55+'09'!K55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  <c r="AA55" s="130"/>
    </row>
    <row r="56" spans="1:27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E56+'09'!G56</f>
        <v>0</v>
      </c>
      <c r="H56" s="110">
        <f>F56+'09'!H56</f>
        <v>0</v>
      </c>
      <c r="I56" s="759">
        <f t="shared" si="4"/>
        <v>0</v>
      </c>
      <c r="J56" s="754"/>
      <c r="K56" s="124">
        <f>J56+'09'!K56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7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E57+'09'!G57</f>
        <v>0</v>
      </c>
      <c r="H57" s="110">
        <f>F57+'09'!H57</f>
        <v>0</v>
      </c>
      <c r="I57" s="759">
        <f t="shared" si="4"/>
        <v>0</v>
      </c>
      <c r="J57" s="754"/>
      <c r="K57" s="124">
        <f>J57+'09'!K57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7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E58+'09'!G58</f>
        <v>0</v>
      </c>
      <c r="H58" s="110">
        <f>F58+'09'!H58</f>
        <v>0</v>
      </c>
      <c r="I58" s="759">
        <f t="shared" si="4"/>
        <v>0</v>
      </c>
      <c r="J58" s="754">
        <v>0</v>
      </c>
      <c r="K58" s="124">
        <f>J58+'09'!K58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7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F59+'09'!H59</f>
        <v>0</v>
      </c>
      <c r="I59" s="759"/>
      <c r="J59" s="754"/>
      <c r="K59" s="124">
        <f>J59+'09'!K59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7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F60+'09'!H60</f>
        <v>0</v>
      </c>
      <c r="I60" s="759"/>
      <c r="J60" s="754"/>
      <c r="K60" s="124">
        <f>J60+'09'!K60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7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F61+'09'!H61</f>
        <v>0</v>
      </c>
      <c r="I61" s="759"/>
      <c r="J61" s="754">
        <f>D139+D141</f>
        <v>0</v>
      </c>
      <c r="K61" s="124">
        <f>J61+'09'!K61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7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F62+'09'!H62</f>
        <v>0</v>
      </c>
      <c r="I62" s="522"/>
      <c r="J62" s="754">
        <v>0</v>
      </c>
      <c r="K62" s="124">
        <f>J62+'09'!K62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7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F63+'09'!H63</f>
        <v>3329.1499999999996</v>
      </c>
      <c r="I63" s="1059"/>
      <c r="J63" s="1068"/>
      <c r="K63" s="668">
        <f>J63+'09'!K63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7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F64+'09'!H64</f>
        <v>0</v>
      </c>
      <c r="I64" s="522"/>
      <c r="J64" s="754"/>
      <c r="K64" s="124">
        <f>J64+'09'!K64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F65+'09'!H65</f>
        <v>0</v>
      </c>
      <c r="I65" s="759"/>
      <c r="J65" s="754"/>
      <c r="K65" s="124">
        <f>J65+'09'!K65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F66+'09'!H66</f>
        <v>0</v>
      </c>
      <c r="I66" s="759"/>
      <c r="J66" s="754">
        <v>0</v>
      </c>
      <c r="K66" s="124">
        <f>J66+'09'!K66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F67+'09'!H67</f>
        <v>0</v>
      </c>
      <c r="I67" s="759"/>
      <c r="J67" s="754">
        <v>0</v>
      </c>
      <c r="K67" s="124">
        <f>J67+'09'!K67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F68+'09'!H68</f>
        <v>0</v>
      </c>
      <c r="I68" s="759"/>
      <c r="J68" s="754"/>
      <c r="K68" s="124">
        <f>J68+'09'!K68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F69+'09'!H69</f>
        <v>0</v>
      </c>
      <c r="I69" s="759"/>
      <c r="J69" s="754"/>
      <c r="K69" s="124">
        <f>J69+'09'!K69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F70+'09'!H70</f>
        <v>3329.1499999999996</v>
      </c>
      <c r="I70" s="759"/>
      <c r="J70" s="754"/>
      <c r="K70" s="124">
        <f>J70+'09'!K70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F71+'09'!H71</f>
        <v>0</v>
      </c>
      <c r="I71" s="759"/>
      <c r="J71" s="754"/>
      <c r="K71" s="124">
        <f>J71+'09'!K71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F72+'09'!H72</f>
        <v>1911.376034856974</v>
      </c>
      <c r="I72" s="388"/>
      <c r="J72" s="756">
        <f>K131</f>
        <v>0</v>
      </c>
      <c r="K72" s="395">
        <f>J72+'09'!K72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F73+'09'!H73</f>
        <v>0</v>
      </c>
      <c r="I73" s="934"/>
      <c r="J73" s="931"/>
      <c r="K73" s="935">
        <f>J73+'09'!K73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t="15.75" hidden="1" customHeight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24*10-K80</f>
        <v>240</v>
      </c>
      <c r="M80" s="139">
        <f t="shared" ref="M80:M94" si="11">K80/(24*10)</f>
        <v>0</v>
      </c>
      <c r="N80" s="965"/>
      <c r="O80" s="302">
        <f>N80+'09'!O80</f>
        <v>0</v>
      </c>
      <c r="P80" s="719"/>
      <c r="Q80" s="140">
        <v>125</v>
      </c>
      <c r="R80" s="140">
        <v>125</v>
      </c>
      <c r="T80" s="93"/>
    </row>
    <row r="81" spans="1:20" ht="15.75" hidden="1" customHeight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24*10-K81</f>
        <v>240</v>
      </c>
      <c r="M81" s="139">
        <f t="shared" si="11"/>
        <v>0</v>
      </c>
      <c r="N81" s="965"/>
      <c r="O81" s="302">
        <f>N81+'09'!O81</f>
        <v>0</v>
      </c>
      <c r="P81" s="719"/>
      <c r="Q81" s="140">
        <v>127.08333333333333</v>
      </c>
      <c r="R81" s="140">
        <v>127.08333333333333</v>
      </c>
      <c r="T81" s="93"/>
    </row>
    <row r="82" spans="1:20" ht="15.75" customHeight="1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5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F82+'09'!K82</f>
        <v>43.903888888888886</v>
      </c>
      <c r="L82" s="110">
        <f>24*10-K82</f>
        <v>196.0961111111111</v>
      </c>
      <c r="M82" s="139">
        <f t="shared" si="11"/>
        <v>0.18293287037037037</v>
      </c>
      <c r="N82" s="716">
        <v>0</v>
      </c>
      <c r="O82" s="303">
        <f>N82+'09'!O82</f>
        <v>1911.376034856974</v>
      </c>
      <c r="P82" s="719"/>
      <c r="Q82" s="140">
        <v>127.08333333333333</v>
      </c>
      <c r="R82" s="140">
        <v>127.08333333333333</v>
      </c>
      <c r="T82" s="93">
        <f>432.1+K83</f>
        <v>496.67555555555555</v>
      </c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>24-F83</f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F83+'09'!K83</f>
        <v>64.575555555555553</v>
      </c>
      <c r="L83" s="134">
        <f>G83+'09'!L83</f>
        <v>175.42444444444445</v>
      </c>
      <c r="M83" s="139">
        <f t="shared" si="11"/>
        <v>0.26906481481481481</v>
      </c>
      <c r="N83" s="716">
        <v>0</v>
      </c>
      <c r="O83" s="303">
        <f>N83+'09'!O83</f>
        <v>32176.186994748638</v>
      </c>
      <c r="P83" s="719"/>
      <c r="Q83" s="140">
        <v>127.08333333333333</v>
      </c>
      <c r="R83" s="140">
        <v>127.08333333333333</v>
      </c>
      <c r="T83" s="93">
        <f>O83+219276.766</f>
        <v>251452.95299474863</v>
      </c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F84+'09'!K84</f>
        <v>64.977499999999992</v>
      </c>
      <c r="L84" s="134">
        <f>G84+'09'!L84</f>
        <v>175.02250000000001</v>
      </c>
      <c r="M84" s="139">
        <f t="shared" si="11"/>
        <v>0.27073958333333331</v>
      </c>
      <c r="N84" s="716">
        <v>0</v>
      </c>
      <c r="O84" s="303">
        <f>N84+'09'!O84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t="15.75" hidden="1" customHeight="1" outlineLevel="1">
      <c r="A85" s="132" t="str">
        <f>'01'!A85</f>
        <v xml:space="preserve">Цементная мельница №1 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F85+'09'!K85</f>
        <v>0</v>
      </c>
      <c r="L85" s="134">
        <f>G85+'09'!L85</f>
        <v>240</v>
      </c>
      <c r="M85" s="139">
        <f t="shared" si="11"/>
        <v>0</v>
      </c>
      <c r="N85" s="965">
        <v>0</v>
      </c>
      <c r="O85" s="302">
        <f>N85+'09'!O85</f>
        <v>0</v>
      </c>
      <c r="P85" s="719"/>
      <c r="Q85" s="140"/>
      <c r="R85" s="140"/>
      <c r="T85" s="93"/>
    </row>
    <row r="86" spans="1:20" ht="15.75" hidden="1" customHeight="1" outlineLevel="1">
      <c r="A86" s="132" t="str">
        <f>'01'!A86</f>
        <v>Цементная мельница №2</v>
      </c>
      <c r="B86" s="106" t="s">
        <v>17</v>
      </c>
      <c r="C86" s="133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F86+'09'!K86</f>
        <v>0</v>
      </c>
      <c r="L86" s="134">
        <f>G86+'09'!L86</f>
        <v>216</v>
      </c>
      <c r="M86" s="139">
        <f t="shared" si="11"/>
        <v>0</v>
      </c>
      <c r="N86" s="965">
        <v>0</v>
      </c>
      <c r="O86" s="303">
        <f>N86+'09'!O86</f>
        <v>0</v>
      </c>
      <c r="P86" s="719"/>
      <c r="Q86" s="140"/>
      <c r="R86" s="140"/>
      <c r="T86" s="93"/>
    </row>
    <row r="87" spans="1:20" ht="15.75" hidden="1" customHeight="1" outlineLevel="1">
      <c r="A87" s="132" t="str">
        <f>'01'!A87</f>
        <v>Цементная мельница №3</v>
      </c>
      <c r="B87" s="106" t="s">
        <v>17</v>
      </c>
      <c r="C87" s="133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F87+'09'!K87</f>
        <v>0</v>
      </c>
      <c r="L87" s="134">
        <f>G87+'09'!L87</f>
        <v>216</v>
      </c>
      <c r="M87" s="139">
        <f t="shared" si="11"/>
        <v>0</v>
      </c>
      <c r="N87" s="965">
        <v>0</v>
      </c>
      <c r="O87" s="302">
        <f>N87+'09'!O87</f>
        <v>0</v>
      </c>
      <c r="P87" s="719"/>
      <c r="Q87" s="140"/>
      <c r="R87" s="140"/>
      <c r="T87" s="93"/>
    </row>
    <row r="88" spans="1:20" ht="15.75" hidden="1" customHeight="1" collapsed="1">
      <c r="A88" s="132" t="str">
        <f>'01'!A88</f>
        <v>Цементная мельница №4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F88+'09'!K88</f>
        <v>0</v>
      </c>
      <c r="L88" s="134">
        <f>G88+'09'!L88</f>
        <v>216</v>
      </c>
      <c r="M88" s="139">
        <f t="shared" si="11"/>
        <v>0</v>
      </c>
      <c r="N88" s="716">
        <v>0</v>
      </c>
      <c r="O88" s="303">
        <f>N88+'09'!O88</f>
        <v>0</v>
      </c>
      <c r="P88" s="719"/>
      <c r="Q88" s="140"/>
      <c r="R88" s="140"/>
      <c r="T88" s="93"/>
    </row>
    <row r="89" spans="1:20" ht="15.75" customHeight="1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F89+'09'!K89</f>
        <v>1.6950000000000001</v>
      </c>
      <c r="L89" s="134">
        <f>G89+'09'!L89</f>
        <v>238.30500000000001</v>
      </c>
      <c r="M89" s="139">
        <f t="shared" si="11"/>
        <v>7.0625000000000002E-3</v>
      </c>
      <c r="N89" s="1001">
        <v>0</v>
      </c>
      <c r="O89" s="303">
        <f>N89+'09'!O89</f>
        <v>70.208358628254587</v>
      </c>
      <c r="P89" s="1002"/>
      <c r="Q89" s="140">
        <v>0</v>
      </c>
      <c r="R89" s="140">
        <v>0</v>
      </c>
      <c r="T89" s="93"/>
    </row>
    <row r="90" spans="1:20" ht="15.75" customHeight="1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F90+'09'!K90</f>
        <v>32.664166666666674</v>
      </c>
      <c r="L90" s="134">
        <f>G90+'09'!L90</f>
        <v>207.33583333333331</v>
      </c>
      <c r="M90" s="139">
        <f t="shared" si="11"/>
        <v>0.13610069444444448</v>
      </c>
      <c r="N90" s="1001">
        <v>0</v>
      </c>
      <c r="O90" s="303">
        <f>N90+'09'!O90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 t="shared" si="12"/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F91+'09'!K91</f>
        <v>0</v>
      </c>
      <c r="L91" s="134">
        <f>G91+'09'!L91</f>
        <v>240</v>
      </c>
      <c r="M91" s="139">
        <f t="shared" si="11"/>
        <v>0</v>
      </c>
      <c r="N91" s="716">
        <v>0</v>
      </c>
      <c r="O91" s="303">
        <f>N91+'09'!O91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 t="shared" si="12"/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F92+'09'!K92</f>
        <v>71.521666666666675</v>
      </c>
      <c r="L92" s="134">
        <f>G92+'09'!L92</f>
        <v>168.47833333333332</v>
      </c>
      <c r="M92" s="139">
        <f t="shared" si="11"/>
        <v>0.29800694444444448</v>
      </c>
      <c r="N92" s="716">
        <v>0</v>
      </c>
      <c r="O92" s="303">
        <f>N92+'09'!O92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 t="shared" si="12"/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F93+'09'!K93</f>
        <v>64.288611111111109</v>
      </c>
      <c r="L93" s="134">
        <f>G93+'09'!L93</f>
        <v>175.71138888888891</v>
      </c>
      <c r="M93" s="139">
        <f t="shared" si="11"/>
        <v>0.26786921296296295</v>
      </c>
      <c r="N93" s="716">
        <v>0</v>
      </c>
      <c r="O93" s="303">
        <f>N93+'09'!O93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 t="shared" si="12"/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F94+'09'!K94</f>
        <v>32</v>
      </c>
      <c r="L94" s="765">
        <f>G94+'09'!L94</f>
        <v>208</v>
      </c>
      <c r="M94" s="880">
        <f t="shared" si="11"/>
        <v>0.13333333333333333</v>
      </c>
      <c r="N94" s="966">
        <f>E111+E120+E121+E122</f>
        <v>0</v>
      </c>
      <c r="O94" s="871">
        <f>N94+'09'!O94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 t="shared" si="12"/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F95+'09'!K95</f>
        <v>7</v>
      </c>
      <c r="L95" s="443">
        <f>G95+'09'!L95</f>
        <v>233</v>
      </c>
      <c r="M95" s="723">
        <f>K95/(24*10)</f>
        <v>2.9166666666666667E-2</v>
      </c>
      <c r="N95" s="967">
        <f>E112+E114+E115+E118+E119</f>
        <v>0</v>
      </c>
      <c r="O95" s="713">
        <f>N95+'09'!O95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4721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61199</v>
      </c>
      <c r="H100" s="89">
        <f>H101+H110</f>
        <v>19708.249999999993</v>
      </c>
      <c r="I100" s="90">
        <f t="shared" ref="I100:I122" si="15">IFERROR((H100/G100),0)</f>
        <v>0.32203549077599297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4721</v>
      </c>
      <c r="E101" s="98">
        <f>SUM(E102:E109)</f>
        <v>0</v>
      </c>
      <c r="F101" s="99">
        <f t="shared" si="14"/>
        <v>0</v>
      </c>
      <c r="G101" s="169">
        <f>SUM(G102:G109)</f>
        <v>42831</v>
      </c>
      <c r="H101" s="98">
        <f>SUM(H102:H109)</f>
        <v>15844.349999999995</v>
      </c>
      <c r="I101" s="99">
        <f t="shared" si="15"/>
        <v>0.36992715556489447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D102+'09'!G102</f>
        <v>0</v>
      </c>
      <c r="H102" s="178">
        <f>E102+'09'!H102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ht="15.75" customHeight="1" outlineLevel="1">
      <c r="A103" s="254" t="s">
        <v>262</v>
      </c>
      <c r="B103" s="119" t="s">
        <v>9</v>
      </c>
      <c r="C103" s="149">
        <f>'01'!C103</f>
        <v>11500</v>
      </c>
      <c r="D103" s="134">
        <v>345</v>
      </c>
      <c r="E103" s="166">
        <v>0</v>
      </c>
      <c r="F103" s="138">
        <f t="shared" si="14"/>
        <v>0</v>
      </c>
      <c r="G103" s="445">
        <f>D103+'09'!G103</f>
        <v>3490</v>
      </c>
      <c r="H103" s="150">
        <f>E103+'09'!H103</f>
        <v>0</v>
      </c>
      <c r="I103" s="138">
        <f t="shared" si="15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4288</v>
      </c>
      <c r="E104" s="110">
        <v>0</v>
      </c>
      <c r="F104" s="138">
        <f t="shared" si="14"/>
        <v>0</v>
      </c>
      <c r="G104" s="134">
        <f>D104+'09'!G104</f>
        <v>37890</v>
      </c>
      <c r="H104" s="178">
        <f>E104+'09'!H104</f>
        <v>12980.249999999995</v>
      </c>
      <c r="I104" s="138">
        <f t="shared" si="15"/>
        <v>0.34257719714964358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D105+'09'!G105</f>
        <v>0</v>
      </c>
      <c r="H105" s="178">
        <f>E105+'09'!H105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ht="15.75" customHeight="1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D106+'09'!G106</f>
        <v>0</v>
      </c>
      <c r="H106" s="150">
        <f>E106+'09'!H106</f>
        <v>1280.3</v>
      </c>
      <c r="I106" s="138">
        <f t="shared" si="15"/>
        <v>0</v>
      </c>
      <c r="J106" s="1146"/>
      <c r="K106" s="1147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D107+'09'!G107</f>
        <v>0</v>
      </c>
      <c r="H107" s="178">
        <f>E107+'09'!H107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63</v>
      </c>
      <c r="E108" s="110">
        <v>0</v>
      </c>
      <c r="F108" s="138">
        <f t="shared" si="14"/>
        <v>0</v>
      </c>
      <c r="G108" s="445">
        <f>D108+'09'!G108</f>
        <v>1076</v>
      </c>
      <c r="H108" s="178">
        <f>E108+'09'!H108</f>
        <v>826.59999999999991</v>
      </c>
      <c r="I108" s="138">
        <f t="shared" si="15"/>
        <v>0.76821561338289956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445">
        <f>D109+'09'!G109</f>
        <v>375</v>
      </c>
      <c r="H109" s="178">
        <f>E109+'09'!H109</f>
        <v>281.59999999999997</v>
      </c>
      <c r="I109" s="138">
        <f t="shared" si="15"/>
        <v>0.75093333333333323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2063</v>
      </c>
      <c r="E110" s="98">
        <f>SUM(E111:E122)</f>
        <v>0</v>
      </c>
      <c r="F110" s="1053">
        <f>IFERROR((E110/D110),0)</f>
        <v>0</v>
      </c>
      <c r="G110" s="1051">
        <f>SUM(G111:G122)</f>
        <v>18368</v>
      </c>
      <c r="H110" s="98">
        <f>SUM(H111:H122)</f>
        <v>3863.8999999999996</v>
      </c>
      <c r="I110" s="1053">
        <f>IFERROR((H110/G110),0)</f>
        <v>0.21036040940766548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D111+'09'!G111</f>
        <v>0</v>
      </c>
      <c r="H111" s="178">
        <f>E111+'09'!H111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 ht="15.75" customHeight="1" outlineLevel="1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D112+'09'!G112</f>
        <v>0</v>
      </c>
      <c r="H112" s="178">
        <f>E112+'09'!H112</f>
        <v>994.39999999999986</v>
      </c>
      <c r="I112" s="138">
        <f>IFERROR((H112/G112),0)</f>
        <v>0</v>
      </c>
      <c r="J112" s="1146"/>
      <c r="K112" s="1147"/>
      <c r="L112" s="143"/>
      <c r="M112" s="152"/>
      <c r="N112" s="253"/>
      <c r="O112" s="253"/>
      <c r="P112" s="143"/>
      <c r="T112" s="93"/>
    </row>
    <row r="113" spans="1:20" ht="15.75" customHeight="1" outlineLevel="1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D113+'09'!G113</f>
        <v>0</v>
      </c>
      <c r="H113" s="178">
        <f>E113+'09'!H113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D114+'09'!G114</f>
        <v>160</v>
      </c>
      <c r="H114" s="178">
        <f>E114+'09'!H114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D115+'09'!G115</f>
        <v>0</v>
      </c>
      <c r="H115" s="178">
        <f>E115+'09'!H115</f>
        <v>0</v>
      </c>
      <c r="I115" s="138">
        <f t="shared" si="15"/>
        <v>0</v>
      </c>
      <c r="J115" s="799"/>
      <c r="K115" s="800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D116+'09'!G116</f>
        <v>0</v>
      </c>
      <c r="H116" s="178">
        <f>E116+'09'!H116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D117+'09'!G117</f>
        <v>0</v>
      </c>
      <c r="H117" s="178">
        <f>E117+'09'!H117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325</v>
      </c>
      <c r="E118" s="110">
        <v>0</v>
      </c>
      <c r="F118" s="138">
        <f t="shared" si="14"/>
        <v>0</v>
      </c>
      <c r="G118" s="134">
        <f>D118+'09'!G118</f>
        <v>3500</v>
      </c>
      <c r="H118" s="178">
        <f>E118+'09'!H118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D119+'09'!G119</f>
        <v>0</v>
      </c>
      <c r="H119" s="178">
        <f>E119+'09'!H119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914</v>
      </c>
      <c r="E120" s="110">
        <v>0</v>
      </c>
      <c r="F120" s="138">
        <f t="shared" si="14"/>
        <v>0</v>
      </c>
      <c r="G120" s="134">
        <f>D120+'09'!G120</f>
        <v>7648</v>
      </c>
      <c r="H120" s="178">
        <f>E120+'09'!H120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D121+'09'!G121</f>
        <v>272</v>
      </c>
      <c r="H121" s="178">
        <f>E121+'09'!H121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808</v>
      </c>
      <c r="E122" s="110">
        <v>0</v>
      </c>
      <c r="F122" s="138">
        <f t="shared" si="14"/>
        <v>0</v>
      </c>
      <c r="G122" s="134">
        <f>D122+'09'!G122</f>
        <v>6788</v>
      </c>
      <c r="H122" s="178">
        <f>E122+'09'!H122</f>
        <v>1823.35</v>
      </c>
      <c r="I122" s="138">
        <f t="shared" si="15"/>
        <v>0.26861373011196227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7" t="s">
        <v>89</v>
      </c>
      <c r="K124" s="442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0</v>
      </c>
      <c r="K125" s="328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19" t="s">
        <v>182</v>
      </c>
      <c r="C126" s="155" t="s">
        <v>189</v>
      </c>
      <c r="D126" s="352">
        <v>40.5</v>
      </c>
      <c r="E126" s="256">
        <v>48.994742526041492</v>
      </c>
      <c r="F126" s="157">
        <f>IFERROR(E126/D126,0)</f>
        <v>1.2097467290380615</v>
      </c>
      <c r="G126" s="204">
        <v>40.5</v>
      </c>
      <c r="H126" s="200">
        <v>45.328523874789674</v>
      </c>
      <c r="I126" s="157">
        <f>IFERROR(H126/G126,0)</f>
        <v>1.1192228117232019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19" t="s">
        <v>182</v>
      </c>
      <c r="C127" s="155" t="s">
        <v>178</v>
      </c>
      <c r="D127" s="352">
        <v>17</v>
      </c>
      <c r="E127" s="256">
        <v>17.262041712663805</v>
      </c>
      <c r="F127" s="157">
        <f t="shared" ref="F127:F132" si="16">IFERROR(E127/D127,0)</f>
        <v>1.0154142183919885</v>
      </c>
      <c r="G127" s="204">
        <v>17</v>
      </c>
      <c r="H127" s="200">
        <v>18.971446632406913</v>
      </c>
      <c r="I127" s="157">
        <f t="shared" ref="I127:I132" si="17">IFERROR(H127/G127,0)</f>
        <v>1.1159674489651126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19" t="str">
        <f>'01'!B128</f>
        <v>ГДж/тн.</v>
      </c>
      <c r="C128" s="155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19" t="s">
        <v>182</v>
      </c>
      <c r="C129" s="155" t="s">
        <v>183</v>
      </c>
      <c r="D129" s="352">
        <v>21</v>
      </c>
      <c r="E129" s="256">
        <v>23.583987055836506</v>
      </c>
      <c r="F129" s="157">
        <f t="shared" si="16"/>
        <v>1.1230470026588812</v>
      </c>
      <c r="G129" s="204">
        <v>21</v>
      </c>
      <c r="H129" s="200">
        <v>22.075193969322015</v>
      </c>
      <c r="I129" s="157">
        <f t="shared" si="17"/>
        <v>1.0511997128248578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19" t="s">
        <v>182</v>
      </c>
      <c r="C130" s="155" t="s">
        <v>161</v>
      </c>
      <c r="D130" s="352">
        <v>42</v>
      </c>
      <c r="E130" s="256">
        <v>0</v>
      </c>
      <c r="F130" s="157">
        <f t="shared" si="16"/>
        <v>0</v>
      </c>
      <c r="G130" s="204">
        <v>42</v>
      </c>
      <c r="H130" s="200">
        <v>13.754799517688095</v>
      </c>
      <c r="I130" s="157">
        <f t="shared" si="17"/>
        <v>0.32749522661162134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96" t="s">
        <v>165</v>
      </c>
      <c r="P130" s="696" t="s">
        <v>166</v>
      </c>
      <c r="T130" s="93"/>
    </row>
    <row r="131" spans="1:20">
      <c r="A131" s="327" t="s">
        <v>180</v>
      </c>
      <c r="B131" s="159" t="s">
        <v>182</v>
      </c>
      <c r="C131" s="973" t="s">
        <v>162</v>
      </c>
      <c r="D131" s="352">
        <v>35</v>
      </c>
      <c r="E131" s="256">
        <v>39.37235494676797</v>
      </c>
      <c r="F131" s="157">
        <f t="shared" si="16"/>
        <v>1.1249244270505134</v>
      </c>
      <c r="G131" s="204">
        <v>35</v>
      </c>
      <c r="H131" s="200">
        <v>23.536122252307603</v>
      </c>
      <c r="I131" s="157">
        <f t="shared" si="17"/>
        <v>0.6724606357802172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110.58569139531812</v>
      </c>
      <c r="F132" s="684">
        <f t="shared" si="16"/>
        <v>1.0982787903001106</v>
      </c>
      <c r="G132" s="688">
        <v>100.69</v>
      </c>
      <c r="H132" s="683">
        <v>73.129253462040424</v>
      </c>
      <c r="I132" s="684">
        <f t="shared" si="17"/>
        <v>0.72628119437918781</v>
      </c>
      <c r="N132" s="728" t="s">
        <v>188</v>
      </c>
      <c r="O132" s="704">
        <f>O131+'09'!O132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129591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186386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3">
    <mergeCell ref="J143:J144"/>
    <mergeCell ref="J145:J146"/>
    <mergeCell ref="J147:J148"/>
    <mergeCell ref="A96:K96"/>
    <mergeCell ref="C97:C99"/>
    <mergeCell ref="D97:F98"/>
    <mergeCell ref="G97:I98"/>
    <mergeCell ref="A124:A125"/>
    <mergeCell ref="B124:B125"/>
    <mergeCell ref="C124:C125"/>
    <mergeCell ref="D124:F124"/>
    <mergeCell ref="B136:B137"/>
    <mergeCell ref="C136:I136"/>
    <mergeCell ref="J139:J140"/>
    <mergeCell ref="J141:J142"/>
    <mergeCell ref="J97:K98"/>
    <mergeCell ref="A123:I123"/>
    <mergeCell ref="J107:K107"/>
    <mergeCell ref="J111:K111"/>
    <mergeCell ref="J112:K112"/>
    <mergeCell ref="A97:A99"/>
    <mergeCell ref="B97:B99"/>
    <mergeCell ref="G124:I124"/>
    <mergeCell ref="J101:K101"/>
    <mergeCell ref="J102:K102"/>
    <mergeCell ref="J103:K103"/>
    <mergeCell ref="J104:K104"/>
    <mergeCell ref="J105:K105"/>
    <mergeCell ref="J106:K106"/>
    <mergeCell ref="O30:P30"/>
    <mergeCell ref="O22:P22"/>
    <mergeCell ref="K142:N142"/>
    <mergeCell ref="M97:P97"/>
    <mergeCell ref="J114:K114"/>
    <mergeCell ref="L99:M99"/>
    <mergeCell ref="N99:O99"/>
    <mergeCell ref="J129:J130"/>
    <mergeCell ref="O60:P60"/>
    <mergeCell ref="O69:P69"/>
    <mergeCell ref="O70:P70"/>
    <mergeCell ref="O71:P71"/>
    <mergeCell ref="N129:P129"/>
    <mergeCell ref="O73:P73"/>
    <mergeCell ref="O62:P62"/>
    <mergeCell ref="O63:P63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O14:P14"/>
    <mergeCell ref="O15:P15"/>
    <mergeCell ref="O67:P67"/>
    <mergeCell ref="O68:P68"/>
    <mergeCell ref="O72:P72"/>
    <mergeCell ref="O53:P53"/>
    <mergeCell ref="O43:P43"/>
    <mergeCell ref="O44:P44"/>
    <mergeCell ref="P78:P79"/>
    <mergeCell ref="O48:P48"/>
    <mergeCell ref="O45:P45"/>
    <mergeCell ref="O64:P64"/>
    <mergeCell ref="O65:P65"/>
    <mergeCell ref="O66:P66"/>
    <mergeCell ref="O59:P59"/>
    <mergeCell ref="O61:P61"/>
    <mergeCell ref="O54:P54"/>
    <mergeCell ref="N78:O78"/>
    <mergeCell ref="A77:P77"/>
    <mergeCell ref="O20:P20"/>
    <mergeCell ref="O55:P55"/>
    <mergeCell ref="O56:P56"/>
    <mergeCell ref="O57:P57"/>
    <mergeCell ref="O58:P58"/>
    <mergeCell ref="A136:A138"/>
    <mergeCell ref="O46:P46"/>
    <mergeCell ref="O47:P47"/>
    <mergeCell ref="O49:P49"/>
    <mergeCell ref="O50:P50"/>
    <mergeCell ref="O52:P52"/>
    <mergeCell ref="O16:P16"/>
    <mergeCell ref="O21:P21"/>
    <mergeCell ref="O23:P23"/>
    <mergeCell ref="O38:P38"/>
    <mergeCell ref="O39:P39"/>
    <mergeCell ref="O40:P40"/>
    <mergeCell ref="O41:P41"/>
    <mergeCell ref="O42:P42"/>
    <mergeCell ref="A78:A79"/>
    <mergeCell ref="B78:B79"/>
    <mergeCell ref="C78:C79"/>
    <mergeCell ref="D78:H78"/>
    <mergeCell ref="I78:M78"/>
    <mergeCell ref="O17:P17"/>
    <mergeCell ref="O18:P18"/>
    <mergeCell ref="O19:P19"/>
    <mergeCell ref="K133:N133"/>
    <mergeCell ref="K129:L129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7" man="1"/>
  </rowBreaks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11 ",Q1)</f>
        <v>Ежедневный отчет производства и отгрузки за 11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73700</v>
      </c>
      <c r="H5" s="89">
        <f t="shared" si="0"/>
        <v>16874.071396806572</v>
      </c>
      <c r="I5" s="90">
        <f>IFERROR((H5/G5),0)</f>
        <v>0.22895619262966854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118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E6+'10'!G6</f>
        <v>0</v>
      </c>
      <c r="H6" s="110">
        <f>F6+'10'!H6</f>
        <v>6671.6154299884374</v>
      </c>
      <c r="I6" s="138"/>
      <c r="J6" s="750"/>
      <c r="K6" s="124">
        <f>J6+'10'!K6</f>
        <v>0</v>
      </c>
      <c r="L6" s="149">
        <f>D6+H6-K6-M6-N6</f>
        <v>22624.535195522654</v>
      </c>
      <c r="M6" s="101"/>
      <c r="N6" s="101">
        <v>0</v>
      </c>
      <c r="O6" s="1133"/>
      <c r="P6" s="1134"/>
      <c r="Q6" s="592"/>
      <c r="R6" s="590"/>
      <c r="S6" s="618"/>
      <c r="T6" s="118"/>
    </row>
    <row r="7" spans="1:20" hidden="1" outlineLevel="1">
      <c r="A7" s="103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90">
        <f>F7+'10'!H7</f>
        <v>0</v>
      </c>
      <c r="I7" s="138"/>
      <c r="J7" s="750"/>
      <c r="K7" s="124">
        <f>J7+'10'!K7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90">
        <f>F8+'10'!H8</f>
        <v>0</v>
      </c>
      <c r="I8" s="138"/>
      <c r="J8" s="750"/>
      <c r="K8" s="124">
        <f>J8+'10'!K8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E9+'10'!G9</f>
        <v>73700</v>
      </c>
      <c r="H9" s="98">
        <f>F9+'10'!H9</f>
        <v>10202.455966818135</v>
      </c>
      <c r="I9" s="99">
        <f>IFERROR((H9/G9),0)</f>
        <v>0.13843223835574131</v>
      </c>
      <c r="J9" s="177">
        <f>J10+J11+J13+J12</f>
        <v>0</v>
      </c>
      <c r="K9" s="100">
        <f>J9+'10'!K9</f>
        <v>17027.103675312697</v>
      </c>
      <c r="L9" s="96">
        <f>D9+H9-K9+M9+N9</f>
        <v>120247.64605291751</v>
      </c>
      <c r="M9" s="101"/>
      <c r="N9" s="101"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118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E10+'10'!G10</f>
        <v>0</v>
      </c>
      <c r="H10" s="110">
        <f>F10+'10'!H10</f>
        <v>10202.455966818135</v>
      </c>
      <c r="I10" s="99"/>
      <c r="J10" s="178">
        <v>0</v>
      </c>
      <c r="K10" s="124">
        <f>J10+'10'!K10</f>
        <v>17027.103675312697</v>
      </c>
      <c r="L10" s="149">
        <f>D10+H10-K10+M10-N10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E11+'10'!G11</f>
        <v>0</v>
      </c>
      <c r="H11" s="110">
        <f>F11+'10'!H11</f>
        <v>0</v>
      </c>
      <c r="I11" s="99"/>
      <c r="J11" s="178">
        <v>0</v>
      </c>
      <c r="K11" s="124">
        <f>J11+'10'!K11</f>
        <v>0</v>
      </c>
      <c r="L11" s="149">
        <f>D11+H11-K11+M11-N11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E12+'10'!G12</f>
        <v>0</v>
      </c>
      <c r="H12" s="110">
        <f>F12+'10'!H12</f>
        <v>0</v>
      </c>
      <c r="I12" s="757">
        <f>IFERROR((H12/G12),0)</f>
        <v>0</v>
      </c>
      <c r="J12" s="178"/>
      <c r="K12" s="124">
        <f>J12+'10'!K12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F13+'10'!H13</f>
        <v>0</v>
      </c>
      <c r="I13" s="99"/>
      <c r="J13" s="178"/>
      <c r="K13" s="124">
        <f>J13+'10'!K13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6739</v>
      </c>
      <c r="F14" s="89">
        <f>SUM(F15:F21)</f>
        <v>0</v>
      </c>
      <c r="G14" s="89">
        <f>SUM(G15:G21)</f>
        <v>67563</v>
      </c>
      <c r="H14" s="89">
        <f>SUM(H15:H21)</f>
        <v>18857.68830004807</v>
      </c>
      <c r="I14" s="90">
        <f t="shared" ref="I14:I21" si="1">IFERROR((H14/G14),0)</f>
        <v>0.2791126548561797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110">
        <f>E15+'10'!G15</f>
        <v>0</v>
      </c>
      <c r="H15" s="110">
        <f>F15+'10'!H15</f>
        <v>0</v>
      </c>
      <c r="I15" s="138">
        <f t="shared" si="1"/>
        <v>0</v>
      </c>
      <c r="J15" s="178">
        <v>0</v>
      </c>
      <c r="K15" s="124">
        <f>J15+'10'!K15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s="182" customFormat="1">
      <c r="A16" s="123" t="s">
        <v>254</v>
      </c>
      <c r="B16" s="308" t="s">
        <v>9</v>
      </c>
      <c r="C16" s="179">
        <f>'01'!C16</f>
        <v>44352</v>
      </c>
      <c r="D16" s="179">
        <f>'01'!D16</f>
        <v>6069.3572595923979</v>
      </c>
      <c r="E16" s="134">
        <v>1532.4452830188679</v>
      </c>
      <c r="F16" s="171">
        <v>0</v>
      </c>
      <c r="G16" s="171">
        <f>E16+'10'!G16</f>
        <v>15363.792945036916</v>
      </c>
      <c r="H16" s="171">
        <f>F16+'10'!H16</f>
        <v>3228.5002277343951</v>
      </c>
      <c r="I16" s="959">
        <f t="shared" si="1"/>
        <v>0.21013692642722853</v>
      </c>
      <c r="J16" s="751">
        <f>IFERROR(SUMIF(A101:A114,A16,E101:E114),0)+E111+E112+E113</f>
        <v>0</v>
      </c>
      <c r="K16" s="180">
        <f>J16+'10'!K16</f>
        <v>3320.85</v>
      </c>
      <c r="L16" s="400">
        <f t="shared" si="2"/>
        <v>5977.0074873267931</v>
      </c>
      <c r="M16" s="420"/>
      <c r="N16" s="437"/>
      <c r="O16" s="1224"/>
      <c r="P16" s="1225"/>
      <c r="Q16" s="591"/>
      <c r="R16" s="590"/>
      <c r="S16" s="1045"/>
      <c r="T16" s="1045"/>
    </row>
    <row r="17" spans="1:20" s="182" customFormat="1" ht="18" customHeight="1">
      <c r="A17" s="734" t="s">
        <v>262</v>
      </c>
      <c r="B17" s="308" t="s">
        <v>9</v>
      </c>
      <c r="C17" s="179">
        <f>'01'!C17</f>
        <v>0</v>
      </c>
      <c r="D17" s="179">
        <f>'01'!D17</f>
        <v>483.23739591927495</v>
      </c>
      <c r="E17" s="108">
        <v>0</v>
      </c>
      <c r="F17" s="173">
        <v>0</v>
      </c>
      <c r="G17" s="171">
        <f>E17+'10'!G17</f>
        <v>0</v>
      </c>
      <c r="H17" s="171">
        <f>F17+'10'!H17</f>
        <v>0</v>
      </c>
      <c r="I17" s="959">
        <f t="shared" si="1"/>
        <v>0</v>
      </c>
      <c r="J17" s="751">
        <f>IFERROR(SUMIF(A102:A115,A17,E102:E115),0)+E116+E119+E121+E114</f>
        <v>0</v>
      </c>
      <c r="K17" s="180">
        <f>J17+'10'!K17</f>
        <v>0</v>
      </c>
      <c r="L17" s="400">
        <f t="shared" si="2"/>
        <v>483.23739591927495</v>
      </c>
      <c r="M17" s="101"/>
      <c r="N17" s="437"/>
      <c r="O17" s="1224"/>
      <c r="P17" s="1225"/>
      <c r="Q17" s="590"/>
      <c r="R17" s="590"/>
      <c r="S17" s="1045" t="s">
        <v>248</v>
      </c>
      <c r="T17" s="1046" t="e">
        <f>O51/F5</f>
        <v>#DIV/0!</v>
      </c>
    </row>
    <row r="18" spans="1:20" s="182" customFormat="1" ht="15" customHeight="1">
      <c r="A18" s="123" t="s">
        <v>85</v>
      </c>
      <c r="B18" s="308" t="s">
        <v>9</v>
      </c>
      <c r="C18" s="203">
        <f>'01'!C18</f>
        <v>1360</v>
      </c>
      <c r="D18" s="203">
        <f>'01'!D18</f>
        <v>3183.2380657083054</v>
      </c>
      <c r="E18" s="134"/>
      <c r="F18" s="171"/>
      <c r="G18" s="171">
        <f>E18+'10'!G18</f>
        <v>0</v>
      </c>
      <c r="H18" s="171">
        <f>F18+'10'!H18</f>
        <v>0</v>
      </c>
      <c r="I18" s="960">
        <f t="shared" si="1"/>
        <v>0</v>
      </c>
      <c r="J18" s="751">
        <f>IFERROR(SUMIF(A102:A115,A18,E102:E115),0)+E118+E120</f>
        <v>0</v>
      </c>
      <c r="K18" s="180">
        <f>J18+'10'!K18</f>
        <v>0</v>
      </c>
      <c r="L18" s="203">
        <f>D18+H18-K18-M18</f>
        <v>3183.2380657083054</v>
      </c>
      <c r="M18" s="101"/>
      <c r="N18" s="437"/>
      <c r="O18" s="1224"/>
      <c r="P18" s="1225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5036.628537735849</v>
      </c>
      <c r="F19" s="131">
        <v>0</v>
      </c>
      <c r="G19" s="110">
        <f>E19+'10'!G19</f>
        <v>50495.583008613619</v>
      </c>
      <c r="H19" s="171">
        <f>F19+'10'!H19</f>
        <v>15629.188072313675</v>
      </c>
      <c r="I19" s="759">
        <f t="shared" si="1"/>
        <v>0.30951594458564075</v>
      </c>
      <c r="J19" s="751">
        <f>IFERROR(SUMIF(A102:A115,A19,E102:E115),0)+E117+E115+E122</f>
        <v>0</v>
      </c>
      <c r="K19" s="124">
        <f>J19+'10'!K19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122.93561320754716</v>
      </c>
      <c r="F20" s="110">
        <v>0</v>
      </c>
      <c r="G20" s="110">
        <f>E20+'10'!G20</f>
        <v>1232.5120693191141</v>
      </c>
      <c r="H20" s="171">
        <f>F20+'10'!H20</f>
        <v>0</v>
      </c>
      <c r="I20" s="138">
        <f t="shared" si="1"/>
        <v>0</v>
      </c>
      <c r="J20" s="751">
        <f>IFERROR(SUMIF(A102:A115,A20,E102:E115),0)</f>
        <v>0</v>
      </c>
      <c r="K20" s="124">
        <f>J20+'10'!K20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46.990566037735846</v>
      </c>
      <c r="F21" s="110">
        <v>0</v>
      </c>
      <c r="G21" s="110">
        <f>E21+'10'!G21</f>
        <v>471.11197703035276</v>
      </c>
      <c r="H21" s="171">
        <f>F21+'10'!H21</f>
        <v>0</v>
      </c>
      <c r="I21" s="138">
        <f t="shared" si="1"/>
        <v>0</v>
      </c>
      <c r="J21" s="751">
        <f>IFERROR(SUMIF(A102:A115,A21,E102:E115),0)</f>
        <v>0</v>
      </c>
      <c r="K21" s="124">
        <f>J21+'10'!K21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E22+'10'!G22</f>
        <v>0</v>
      </c>
      <c r="H22" s="171">
        <f>F22+'10'!H22</f>
        <v>2130.1044634377968</v>
      </c>
      <c r="I22" s="99"/>
      <c r="J22" s="751">
        <f>IFERROR(SUMIF(A103:A123,A22,E103:E123),0)+E109</f>
        <v>0</v>
      </c>
      <c r="K22" s="124">
        <f>J22+'10'!K22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252">
        <f>E23+'10'!G23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862">
        <f>J23+'10'!K23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71">
        <f>E24+'10'!G24</f>
        <v>0</v>
      </c>
      <c r="H24" s="171">
        <f>F24+'10'!H24</f>
        <v>0</v>
      </c>
      <c r="I24" s="99"/>
      <c r="J24" s="752">
        <v>0</v>
      </c>
      <c r="K24" s="180">
        <f>J24+'10'!K24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71">
        <f>E25+'10'!G25</f>
        <v>0</v>
      </c>
      <c r="H25" s="171">
        <f>F25+'10'!H25</f>
        <v>0</v>
      </c>
      <c r="I25" s="99"/>
      <c r="J25" s="752">
        <v>0</v>
      </c>
      <c r="K25" s="180">
        <f>J25+'10'!K25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71">
        <f>E26+'10'!G26</f>
        <v>0</v>
      </c>
      <c r="H26" s="171">
        <f>F26+'10'!H26</f>
        <v>0</v>
      </c>
      <c r="I26" s="99"/>
      <c r="J26" s="752">
        <v>0</v>
      </c>
      <c r="K26" s="180">
        <f>J26+'10'!K26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71">
        <f>E27+'10'!G27</f>
        <v>0</v>
      </c>
      <c r="H27" s="171">
        <f>F27+'10'!H27</f>
        <v>0</v>
      </c>
      <c r="I27" s="99"/>
      <c r="J27" s="752"/>
      <c r="K27" s="180">
        <f>J27+'10'!K27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71">
        <f>E28+'10'!G28</f>
        <v>0</v>
      </c>
      <c r="H28" s="171">
        <f>F28+'10'!H28</f>
        <v>0</v>
      </c>
      <c r="I28" s="99"/>
      <c r="J28" s="752"/>
      <c r="K28" s="180">
        <f>J28+'10'!K28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71">
        <f>E29+'10'!G29</f>
        <v>0</v>
      </c>
      <c r="H29" s="171">
        <f>F29+'10'!H29</f>
        <v>0</v>
      </c>
      <c r="I29" s="99"/>
      <c r="J29" s="752"/>
      <c r="K29" s="180">
        <f>J29+'10'!K29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252">
        <f>E30+'10'!G30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862">
        <f>J30+'10'!K30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71">
        <f>E31+'10'!G31</f>
        <v>0</v>
      </c>
      <c r="H31" s="171">
        <f>F31+'10'!H31</f>
        <v>0</v>
      </c>
      <c r="I31" s="99"/>
      <c r="J31" s="865">
        <v>0</v>
      </c>
      <c r="K31" s="180">
        <f>J31+'10'!K31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71">
        <f>E32+'10'!G32</f>
        <v>0</v>
      </c>
      <c r="H32" s="171">
        <f>F32+'10'!H32</f>
        <v>554.40000000000009</v>
      </c>
      <c r="I32" s="99"/>
      <c r="J32" s="865">
        <v>0</v>
      </c>
      <c r="K32" s="180">
        <f>J32+'10'!K32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71">
        <f>E33+'10'!G33</f>
        <v>0</v>
      </c>
      <c r="H33" s="171">
        <f>F33+'10'!H33</f>
        <v>0</v>
      </c>
      <c r="I33" s="99"/>
      <c r="J33" s="865">
        <v>0</v>
      </c>
      <c r="K33" s="180">
        <f>J33+'10'!K33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71">
        <f>E34+'10'!G34</f>
        <v>0</v>
      </c>
      <c r="H34" s="171">
        <f>F34+'10'!H34</f>
        <v>0</v>
      </c>
      <c r="I34" s="99"/>
      <c r="J34" s="865"/>
      <c r="K34" s="180">
        <f>J34+'10'!K34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71">
        <f>E35+'10'!G35</f>
        <v>0</v>
      </c>
      <c r="H35" s="171">
        <f>F35+'10'!H35</f>
        <v>0</v>
      </c>
      <c r="I35" s="99"/>
      <c r="J35" s="865"/>
      <c r="K35" s="180">
        <f>J35+'10'!K35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71">
        <f>E36+'10'!G36</f>
        <v>0</v>
      </c>
      <c r="H36" s="171">
        <f>F36+'10'!H36</f>
        <v>0</v>
      </c>
      <c r="I36" s="99"/>
      <c r="J36" s="110">
        <v>0</v>
      </c>
      <c r="K36" s="180">
        <f>J36+'10'!K36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71">
        <f>E37+'10'!G37</f>
        <v>0</v>
      </c>
      <c r="H37" s="171">
        <f>F37+'10'!H37</f>
        <v>0</v>
      </c>
      <c r="I37" s="99"/>
      <c r="J37" s="110">
        <v>0</v>
      </c>
      <c r="K37" s="180">
        <f>J37+'10'!K37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E38+'10'!G38</f>
        <v>54630.296052767837</v>
      </c>
      <c r="H38" s="676">
        <f>F38+'10'!H38</f>
        <v>9132.5707721894778</v>
      </c>
      <c r="I38" s="760">
        <f>IFERROR((H38/G38),0)</f>
        <v>0.16717044263073835</v>
      </c>
      <c r="J38" s="954">
        <f>SUM(J39:J40)</f>
        <v>0</v>
      </c>
      <c r="K38" s="677">
        <f>J38+'10'!K38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208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F39+'10'!H39</f>
        <v>6840.5707721894778</v>
      </c>
      <c r="I39" s="138"/>
      <c r="J39" s="750">
        <f>F39</f>
        <v>0</v>
      </c>
      <c r="K39" s="124">
        <f>J39+'10'!K39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F40+'10'!H40</f>
        <v>2292</v>
      </c>
      <c r="I40" s="138"/>
      <c r="J40" s="178">
        <v>0</v>
      </c>
      <c r="K40" s="124">
        <f>J40+'10'!K40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F41+'10'!H41</f>
        <v>0</v>
      </c>
      <c r="I41" s="138"/>
      <c r="J41" s="178"/>
      <c r="K41" s="124">
        <f>J41+'10'!K41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F42+'10'!H42</f>
        <v>0</v>
      </c>
      <c r="I42" s="138"/>
      <c r="J42" s="178"/>
      <c r="K42" s="124">
        <f>J42+'10'!K42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E43+'10'!G43</f>
        <v>35420.688892139544</v>
      </c>
      <c r="H43" s="110">
        <f>F43+'10'!H43</f>
        <v>8403.7999999999993</v>
      </c>
      <c r="I43" s="138">
        <f>IFERROR((H43/G43),0)</f>
        <v>0.23725681975273344</v>
      </c>
      <c r="J43" s="178">
        <f>F43</f>
        <v>0</v>
      </c>
      <c r="K43" s="124">
        <f>J43+'10'!K43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E44+'10'!G44</f>
        <v>14977.208799208849</v>
      </c>
      <c r="H44" s="110">
        <f>F44+'10'!H44</f>
        <v>7255</v>
      </c>
      <c r="I44" s="138">
        <f>IFERROR((H44/G44),0)</f>
        <v>0.48440267457466679</v>
      </c>
      <c r="J44" s="178">
        <v>0</v>
      </c>
      <c r="K44" s="124">
        <f>J44+'10'!K44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118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/>
      <c r="G45" s="110"/>
      <c r="H45" s="110">
        <f>F45+'10'!H45</f>
        <v>0</v>
      </c>
      <c r="I45" s="138"/>
      <c r="J45" s="178"/>
      <c r="K45" s="124">
        <f>J45+'10'!K45</f>
        <v>0</v>
      </c>
      <c r="L45" s="149"/>
      <c r="M45" s="198"/>
      <c r="N45" s="117"/>
      <c r="O45" s="1125"/>
      <c r="P45" s="1126"/>
      <c r="Q45" s="595"/>
      <c r="R45" s="594"/>
      <c r="S45" s="618"/>
      <c r="T45" s="118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F46+'10'!H46</f>
        <v>0</v>
      </c>
      <c r="I46" s="138"/>
      <c r="J46" s="178"/>
      <c r="K46" s="124">
        <f>J46+'10'!K46</f>
        <v>0</v>
      </c>
      <c r="L46" s="149"/>
      <c r="M46" s="198"/>
      <c r="N46" s="117"/>
      <c r="O46" s="1125"/>
      <c r="P46" s="1126"/>
      <c r="Q46" s="595"/>
      <c r="R46" s="594"/>
      <c r="S46" s="618"/>
      <c r="T46" s="118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F47+'10'!H47</f>
        <v>0</v>
      </c>
      <c r="I47" s="138"/>
      <c r="J47" s="178"/>
      <c r="K47" s="124">
        <f>J47+'10'!K47</f>
        <v>0</v>
      </c>
      <c r="L47" s="149"/>
      <c r="M47" s="198"/>
      <c r="N47" s="117"/>
      <c r="O47" s="1125"/>
      <c r="P47" s="1126"/>
      <c r="Q47" s="595"/>
      <c r="R47" s="594"/>
      <c r="S47" s="618"/>
      <c r="T47" s="118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E48+'10'!G48</f>
        <v>87509.937262932988</v>
      </c>
      <c r="H48" s="110">
        <f>F48+'10'!H48</f>
        <v>15244.370772189477</v>
      </c>
      <c r="I48" s="138">
        <f>IFERROR((H48/G48),0)</f>
        <v>0.17420159640140218</v>
      </c>
      <c r="J48" s="750">
        <v>0</v>
      </c>
      <c r="K48" s="124">
        <f>J48+'10'!K48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118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118898.95024371953</v>
      </c>
      <c r="H49" s="110">
        <f>SUM(H50:H51)</f>
        <v>32176.186994748638</v>
      </c>
      <c r="I49" s="138">
        <f>IFERROR((H49/G49),0)</f>
        <v>0.27061792327681417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118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E50+'10'!G50</f>
        <v>0</v>
      </c>
      <c r="H50" s="110">
        <f>F50+'10'!H50</f>
        <v>0</v>
      </c>
      <c r="I50" s="138">
        <f>IFERROR((H50/G50),0)</f>
        <v>0</v>
      </c>
      <c r="J50" s="178"/>
      <c r="K50" s="124">
        <f>J50+'10'!K50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118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E51+'10'!G51</f>
        <v>118898.95024371953</v>
      </c>
      <c r="H51" s="110">
        <f>F51+'10'!H51</f>
        <v>32176.186994748638</v>
      </c>
      <c r="I51" s="138">
        <f>IFERROR((H51/G51),0)</f>
        <v>0.27061792327681417</v>
      </c>
      <c r="J51" s="178">
        <f>O51-P51</f>
        <v>0</v>
      </c>
      <c r="K51" s="124">
        <f>J51+'10'!K51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208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E53+'10'!G53</f>
        <v>0</v>
      </c>
      <c r="H53" s="110">
        <f>F53+'10'!H53</f>
        <v>0</v>
      </c>
      <c r="I53" s="759">
        <f t="shared" ref="I53:I58" si="4">IFERROR((H53/G53),0)</f>
        <v>0</v>
      </c>
      <c r="J53" s="754"/>
      <c r="K53" s="124">
        <f>J53+'10'!K53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E54+'10'!G54</f>
        <v>3548.3870967741932</v>
      </c>
      <c r="H54" s="110">
        <f>F54+'10'!H54</f>
        <v>0</v>
      </c>
      <c r="I54" s="759">
        <f t="shared" si="4"/>
        <v>0</v>
      </c>
      <c r="J54" s="754">
        <v>0</v>
      </c>
      <c r="K54" s="124">
        <f>J54+'10'!K54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E55+'10'!G55</f>
        <v>6032.2580645161279</v>
      </c>
      <c r="H55" s="110">
        <f>F55+'10'!H55</f>
        <v>0</v>
      </c>
      <c r="I55" s="759">
        <f t="shared" si="4"/>
        <v>0</v>
      </c>
      <c r="J55" s="754">
        <v>0</v>
      </c>
      <c r="K55" s="124">
        <f>J55+'10'!K55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E56+'10'!G56</f>
        <v>0</v>
      </c>
      <c r="H56" s="110">
        <f>F56+'10'!H56</f>
        <v>0</v>
      </c>
      <c r="I56" s="759">
        <f t="shared" si="4"/>
        <v>0</v>
      </c>
      <c r="J56" s="754"/>
      <c r="K56" s="124">
        <f>J56+'10'!K56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/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E57+'10'!G57</f>
        <v>0</v>
      </c>
      <c r="H57" s="110">
        <f>F57+'10'!H57</f>
        <v>0</v>
      </c>
      <c r="I57" s="759">
        <f t="shared" si="4"/>
        <v>0</v>
      </c>
      <c r="J57" s="754"/>
      <c r="K57" s="124">
        <f>J57+'10'!K57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E58+'10'!G58</f>
        <v>0</v>
      </c>
      <c r="H58" s="110">
        <f>F58+'10'!H58</f>
        <v>0</v>
      </c>
      <c r="I58" s="759">
        <f t="shared" si="4"/>
        <v>0</v>
      </c>
      <c r="J58" s="754">
        <v>0</v>
      </c>
      <c r="K58" s="124">
        <f>J58+'10'!K58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F59+'10'!H59</f>
        <v>0</v>
      </c>
      <c r="I59" s="759"/>
      <c r="J59" s="754"/>
      <c r="K59" s="124">
        <f>J59+'10'!K59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F60+'10'!H60</f>
        <v>0</v>
      </c>
      <c r="I60" s="759"/>
      <c r="J60" s="754"/>
      <c r="K60" s="124">
        <f>J60+'10'!K60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F61+'10'!H61</f>
        <v>0</v>
      </c>
      <c r="I61" s="759"/>
      <c r="J61" s="754">
        <f>D139+D141</f>
        <v>0</v>
      </c>
      <c r="K61" s="124">
        <f>J61+'10'!K61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F62+'10'!H62</f>
        <v>0</v>
      </c>
      <c r="I62" s="522"/>
      <c r="J62" s="754">
        <v>0</v>
      </c>
      <c r="K62" s="124">
        <f>J62+'10'!K62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F63+'10'!H63</f>
        <v>3329.1499999999996</v>
      </c>
      <c r="I63" s="1059"/>
      <c r="J63" s="1068"/>
      <c r="K63" s="668">
        <f>J63+'10'!K63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F64+'10'!H64</f>
        <v>0</v>
      </c>
      <c r="I64" s="522"/>
      <c r="J64" s="754"/>
      <c r="K64" s="124">
        <f>J64+'10'!K64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F65+'10'!H65</f>
        <v>0</v>
      </c>
      <c r="I65" s="759"/>
      <c r="J65" s="754"/>
      <c r="K65" s="124">
        <f>J65+'10'!K65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F66+'10'!H66</f>
        <v>0</v>
      </c>
      <c r="I66" s="759"/>
      <c r="J66" s="754"/>
      <c r="K66" s="124">
        <f>J66+'10'!K66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F67+'10'!H67</f>
        <v>0</v>
      </c>
      <c r="I67" s="759"/>
      <c r="J67" s="754"/>
      <c r="K67" s="124">
        <f>J67+'10'!K67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F68+'10'!H68</f>
        <v>0</v>
      </c>
      <c r="I68" s="759"/>
      <c r="J68" s="754"/>
      <c r="K68" s="124">
        <f>J68+'10'!K68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F69+'10'!H69</f>
        <v>0</v>
      </c>
      <c r="I69" s="759"/>
      <c r="J69" s="754"/>
      <c r="K69" s="124">
        <f>J69+'10'!K69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F70+'10'!H70</f>
        <v>3329.1499999999996</v>
      </c>
      <c r="I70" s="759"/>
      <c r="J70" s="754"/>
      <c r="K70" s="124">
        <f>J70+'10'!K70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F71+'10'!H71</f>
        <v>0</v>
      </c>
      <c r="I71" s="759"/>
      <c r="J71" s="754"/>
      <c r="K71" s="124">
        <f>J71+'10'!K71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F72+'10'!H72</f>
        <v>1911.376034856974</v>
      </c>
      <c r="I72" s="388"/>
      <c r="J72" s="756">
        <f>K131</f>
        <v>0</v>
      </c>
      <c r="K72" s="395">
        <f>J72+'10'!K72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F73+'10'!H73</f>
        <v>0</v>
      </c>
      <c r="I73" s="934"/>
      <c r="J73" s="931"/>
      <c r="K73" s="935">
        <f>J73+'10'!K73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24*11-K80</f>
        <v>264</v>
      </c>
      <c r="M80" s="139">
        <f t="shared" ref="M80:M94" si="11">K80/(24*11)</f>
        <v>0</v>
      </c>
      <c r="N80" s="965"/>
      <c r="O80" s="302">
        <f>N80+'10'!O80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24*11-K81</f>
        <v>264</v>
      </c>
      <c r="M81" s="139">
        <f t="shared" si="11"/>
        <v>0</v>
      </c>
      <c r="N81" s="965"/>
      <c r="O81" s="302">
        <f>N81+'10'!O81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5" si="13">IFERROR(O82/K82,0)</f>
        <v>43.535460826585258</v>
      </c>
      <c r="J82" s="138">
        <f t="shared" si="10"/>
        <v>0.96745468503522791</v>
      </c>
      <c r="K82" s="134">
        <f>F82+'10'!K82</f>
        <v>43.903888888888886</v>
      </c>
      <c r="L82" s="110">
        <f>24*11-K82</f>
        <v>220.0961111111111</v>
      </c>
      <c r="M82" s="139">
        <f t="shared" si="11"/>
        <v>0.16630260942760941</v>
      </c>
      <c r="N82" s="716">
        <v>0</v>
      </c>
      <c r="O82" s="303">
        <f>N82+'10'!O82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F83+'10'!K83</f>
        <v>64.575555555555553</v>
      </c>
      <c r="L83" s="134">
        <f>G83+'10'!L83</f>
        <v>199.42444444444445</v>
      </c>
      <c r="M83" s="139">
        <f t="shared" si="11"/>
        <v>0.2446043771043771</v>
      </c>
      <c r="N83" s="716">
        <v>0</v>
      </c>
      <c r="O83" s="303">
        <f>N83+'10'!O83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F84+'10'!K84</f>
        <v>64.977499999999992</v>
      </c>
      <c r="L84" s="134">
        <f>G84+'10'!L84</f>
        <v>199.02250000000001</v>
      </c>
      <c r="M84" s="139">
        <f t="shared" si="11"/>
        <v>0.24612689393939391</v>
      </c>
      <c r="N84" s="716">
        <v>0</v>
      </c>
      <c r="O84" s="303">
        <f>N84+'10'!O84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06" t="s">
        <v>17</v>
      </c>
      <c r="C85" s="13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F85+'10'!K85</f>
        <v>0</v>
      </c>
      <c r="L85" s="134">
        <f>G85+'10'!L85</f>
        <v>264</v>
      </c>
      <c r="M85" s="139">
        <f t="shared" si="11"/>
        <v>0</v>
      </c>
      <c r="N85" s="965">
        <v>0</v>
      </c>
      <c r="O85" s="302">
        <f>N85+'10'!O85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06" t="s">
        <v>17</v>
      </c>
      <c r="C86" s="133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F86+'10'!K86</f>
        <v>0</v>
      </c>
      <c r="L86" s="134">
        <f>G86+'10'!L86</f>
        <v>240</v>
      </c>
      <c r="M86" s="139">
        <f t="shared" si="11"/>
        <v>0</v>
      </c>
      <c r="N86" s="965">
        <v>0</v>
      </c>
      <c r="O86" s="303">
        <f>N86+'10'!O86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06" t="s">
        <v>17</v>
      </c>
      <c r="C87" s="133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F87+'10'!K87</f>
        <v>0</v>
      </c>
      <c r="L87" s="134">
        <f>G87+'10'!L87</f>
        <v>240</v>
      </c>
      <c r="M87" s="139">
        <f t="shared" si="11"/>
        <v>0</v>
      </c>
      <c r="N87" s="965">
        <v>0</v>
      </c>
      <c r="O87" s="302">
        <f>N87+'10'!O87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06" t="s">
        <v>17</v>
      </c>
      <c r="C88" s="13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F88+'10'!K88</f>
        <v>0</v>
      </c>
      <c r="L88" s="134">
        <f>G88+'10'!L88</f>
        <v>240</v>
      </c>
      <c r="M88" s="139">
        <f t="shared" si="11"/>
        <v>0</v>
      </c>
      <c r="N88" s="716">
        <v>0</v>
      </c>
      <c r="O88" s="303">
        <f>N88+'10'!O88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F89+'10'!K89</f>
        <v>1.6950000000000001</v>
      </c>
      <c r="L89" s="134">
        <f>G89+'10'!L89</f>
        <v>262.30500000000001</v>
      </c>
      <c r="M89" s="139">
        <f t="shared" si="11"/>
        <v>6.420454545454546E-3</v>
      </c>
      <c r="N89" s="1001">
        <v>0</v>
      </c>
      <c r="O89" s="303">
        <f>N89+'10'!O89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F90+'10'!K90</f>
        <v>32.664166666666674</v>
      </c>
      <c r="L90" s="134">
        <f>G90+'10'!L90</f>
        <v>231.33583333333331</v>
      </c>
      <c r="M90" s="139">
        <f t="shared" si="11"/>
        <v>0.12372790404040407</v>
      </c>
      <c r="N90" s="1001">
        <v>0</v>
      </c>
      <c r="O90" s="303">
        <f>N90+'10'!O90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 t="shared" si="13"/>
        <v>0</v>
      </c>
      <c r="J91" s="138">
        <f t="shared" si="10"/>
        <v>0</v>
      </c>
      <c r="K91" s="134">
        <f>F91+'10'!K91</f>
        <v>0</v>
      </c>
      <c r="L91" s="134">
        <f>G91+'10'!L91</f>
        <v>264</v>
      </c>
      <c r="M91" s="139">
        <f t="shared" si="11"/>
        <v>0</v>
      </c>
      <c r="N91" s="716">
        <v>0</v>
      </c>
      <c r="O91" s="303">
        <f>N91+'10'!O91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 t="shared" si="13"/>
        <v>140.11316982515353</v>
      </c>
      <c r="J92" s="138">
        <f t="shared" si="10"/>
        <v>0.89583581578868565</v>
      </c>
      <c r="K92" s="134">
        <f>F92+'10'!K92</f>
        <v>71.521666666666675</v>
      </c>
      <c r="L92" s="134">
        <f>G92+'10'!L92</f>
        <v>192.47833333333332</v>
      </c>
      <c r="M92" s="139">
        <f t="shared" si="11"/>
        <v>0.2709154040404041</v>
      </c>
      <c r="N92" s="716">
        <v>0</v>
      </c>
      <c r="O92" s="303">
        <f>N92+'10'!O92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 t="shared" si="13"/>
        <v>144.80399190974401</v>
      </c>
      <c r="J93" s="138">
        <f t="shared" si="10"/>
        <v>0.94516947445354405</v>
      </c>
      <c r="K93" s="134">
        <f>F93+'10'!K93</f>
        <v>64.288611111111109</v>
      </c>
      <c r="L93" s="134">
        <f>G93+'10'!L93</f>
        <v>199.71138888888891</v>
      </c>
      <c r="M93" s="139">
        <f t="shared" si="11"/>
        <v>0.24351746632996632</v>
      </c>
      <c r="N93" s="716">
        <v>0</v>
      </c>
      <c r="O93" s="303">
        <f>N93+'10'!O93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 t="shared" si="13"/>
        <v>89.046875</v>
      </c>
      <c r="J94" s="746">
        <f t="shared" si="10"/>
        <v>1.4841145833333333</v>
      </c>
      <c r="K94" s="765">
        <f>F94+'10'!K94</f>
        <v>32</v>
      </c>
      <c r="L94" s="765">
        <f>G94+'10'!L94</f>
        <v>232</v>
      </c>
      <c r="M94" s="880">
        <f t="shared" si="11"/>
        <v>0.12121212121212122</v>
      </c>
      <c r="N94" s="966">
        <f>E111+E120+E121+E122</f>
        <v>0</v>
      </c>
      <c r="O94" s="871">
        <f>N94+'10'!O94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 t="shared" si="13"/>
        <v>142.05714285714285</v>
      </c>
      <c r="J95" s="444">
        <f>IFERROR(I95/C95,0)</f>
        <v>0</v>
      </c>
      <c r="K95" s="443">
        <f>F95+'10'!K95</f>
        <v>7</v>
      </c>
      <c r="L95" s="443">
        <f>G95+'10'!L95</f>
        <v>257</v>
      </c>
      <c r="M95" s="723">
        <f>K95/(24*11)</f>
        <v>2.6515151515151516E-2</v>
      </c>
      <c r="N95" s="967">
        <f>E112+E114+E115+E118+E119</f>
        <v>0</v>
      </c>
      <c r="O95" s="713">
        <f>N95+'10'!O95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5263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67963</v>
      </c>
      <c r="H100" s="89">
        <f>H101+H110</f>
        <v>19708.249999999993</v>
      </c>
      <c r="I100" s="90">
        <f t="shared" ref="I100:I122" si="15">IFERROR((H100/G100),0)</f>
        <v>0.28998499183379178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5263</v>
      </c>
      <c r="E101" s="98">
        <f>SUM(E102:E109)</f>
        <v>0</v>
      </c>
      <c r="F101" s="99">
        <f t="shared" si="14"/>
        <v>0</v>
      </c>
      <c r="G101" s="169">
        <f>SUM(G102:G109)</f>
        <v>48094</v>
      </c>
      <c r="H101" s="98">
        <f>SUM(H102:H109)</f>
        <v>15844.349999999995</v>
      </c>
      <c r="I101" s="99">
        <f t="shared" si="15"/>
        <v>0.32944546097226257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D102+'10'!G102</f>
        <v>0</v>
      </c>
      <c r="H102" s="178">
        <f>E102+'10'!H102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395</v>
      </c>
      <c r="E103" s="166">
        <v>0</v>
      </c>
      <c r="F103" s="138">
        <f t="shared" si="14"/>
        <v>0</v>
      </c>
      <c r="G103" s="445">
        <f>D103+'10'!G103</f>
        <v>3885</v>
      </c>
      <c r="H103" s="150">
        <f>E103+'10'!H103</f>
        <v>0</v>
      </c>
      <c r="I103" s="138">
        <f t="shared" si="15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4656</v>
      </c>
      <c r="E104" s="110">
        <v>0</v>
      </c>
      <c r="F104" s="138">
        <f t="shared" si="14"/>
        <v>0</v>
      </c>
      <c r="G104" s="134">
        <f>D104+'10'!G104</f>
        <v>42546</v>
      </c>
      <c r="H104" s="178">
        <f>E104+'10'!H104</f>
        <v>12980.249999999995</v>
      </c>
      <c r="I104" s="138">
        <f t="shared" si="15"/>
        <v>0.3050874347764771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D105+'10'!G105</f>
        <v>0</v>
      </c>
      <c r="H105" s="178">
        <f>E105+'10'!H105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D106+'10'!G106</f>
        <v>0</v>
      </c>
      <c r="H106" s="150">
        <f>E106+'10'!H106</f>
        <v>1280.3</v>
      </c>
      <c r="I106" s="138">
        <f t="shared" si="15"/>
        <v>0</v>
      </c>
      <c r="J106" s="1146"/>
      <c r="K106" s="1147"/>
      <c r="L106" s="253"/>
      <c r="M106" s="253"/>
      <c r="N106" s="148"/>
      <c r="O106" s="148"/>
      <c r="P106" s="143"/>
      <c r="T106" s="93"/>
    </row>
    <row r="107" spans="1:20" ht="15.75" customHeight="1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D107+'10'!G107</f>
        <v>0</v>
      </c>
      <c r="H107" s="178">
        <f>E107+'10'!H107</f>
        <v>0</v>
      </c>
      <c r="I107" s="138">
        <f t="shared" si="15"/>
        <v>0</v>
      </c>
      <c r="J107" s="1146"/>
      <c r="K107" s="1147"/>
      <c r="N107" s="93"/>
    </row>
    <row r="108" spans="1:20" ht="15.75" customHeight="1">
      <c r="A108" s="123" t="s">
        <v>245</v>
      </c>
      <c r="B108" s="119" t="s">
        <v>9</v>
      </c>
      <c r="C108" s="149">
        <f>'01'!C108</f>
        <v>3558</v>
      </c>
      <c r="D108" s="134">
        <v>187</v>
      </c>
      <c r="E108" s="110">
        <v>0</v>
      </c>
      <c r="F108" s="138">
        <f t="shared" si="14"/>
        <v>0</v>
      </c>
      <c r="G108" s="445">
        <f>D108+'10'!G108</f>
        <v>1263</v>
      </c>
      <c r="H108" s="178">
        <f>E108+'10'!H108</f>
        <v>826.59999999999991</v>
      </c>
      <c r="I108" s="138">
        <f t="shared" si="15"/>
        <v>0.65447347585114801</v>
      </c>
      <c r="J108" s="795"/>
      <c r="K108" s="796"/>
      <c r="N108" s="93"/>
    </row>
    <row r="109" spans="1:20" ht="15.75" customHeight="1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445">
        <f>D109+'10'!G109</f>
        <v>400</v>
      </c>
      <c r="H109" s="178">
        <f>E109+'10'!H109</f>
        <v>281.59999999999997</v>
      </c>
      <c r="I109" s="138">
        <f t="shared" si="15"/>
        <v>0.70399999999999996</v>
      </c>
      <c r="J109" s="795"/>
      <c r="K109" s="796"/>
      <c r="M109" s="93"/>
    </row>
    <row r="110" spans="1:20" ht="15.75" customHeight="1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1501</v>
      </c>
      <c r="E110" s="98">
        <f>SUM(E111:E122)</f>
        <v>0</v>
      </c>
      <c r="F110" s="1053">
        <f>IFERROR((E110/D110),0)</f>
        <v>0</v>
      </c>
      <c r="G110" s="1051">
        <f>SUM(G111:G122)</f>
        <v>19869</v>
      </c>
      <c r="H110" s="98">
        <f>SUM(H111:H122)</f>
        <v>3863.8999999999996</v>
      </c>
      <c r="I110" s="1053">
        <f>IFERROR((H110/G110),0)</f>
        <v>0.19446877044642405</v>
      </c>
      <c r="J110" s="795"/>
      <c r="K110" s="796"/>
      <c r="N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D111+'10'!G111</f>
        <v>0</v>
      </c>
      <c r="H111" s="110">
        <f>E111+'10'!H111</f>
        <v>1026.1499999999999</v>
      </c>
      <c r="I111" s="138">
        <f>IFERROR((H111/G111),0)</f>
        <v>0</v>
      </c>
      <c r="J111" s="1146"/>
      <c r="K111" s="1147"/>
      <c r="M111" s="82"/>
      <c r="N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D112+'10'!G112</f>
        <v>0</v>
      </c>
      <c r="H112" s="110">
        <f>E112+'10'!H112</f>
        <v>994.39999999999986</v>
      </c>
      <c r="I112" s="138">
        <f>IFERROR((H112/G112),0)</f>
        <v>0</v>
      </c>
      <c r="J112" s="1205"/>
      <c r="K112" s="1206"/>
      <c r="Q112" s="627" t="e">
        <f>#REF!/#REF!</f>
        <v>#REF!</v>
      </c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D113+'10'!G113</f>
        <v>0</v>
      </c>
      <c r="H113" s="110">
        <f>E113+'10'!H113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D114+'10'!G114</f>
        <v>176</v>
      </c>
      <c r="H114" s="110">
        <f>E114+'10'!H114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D115+'10'!G115</f>
        <v>0</v>
      </c>
      <c r="H115" s="110">
        <f>E115+'10'!H115</f>
        <v>0</v>
      </c>
      <c r="I115" s="138">
        <f t="shared" si="15"/>
        <v>0</v>
      </c>
      <c r="J115" s="1226"/>
      <c r="K115" s="122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D116+'10'!G116</f>
        <v>0</v>
      </c>
      <c r="H116" s="110">
        <f>E116+'10'!H116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D117+'10'!G117</f>
        <v>0</v>
      </c>
      <c r="H117" s="110">
        <f>E117+'10'!H117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375</v>
      </c>
      <c r="E118" s="110">
        <v>0</v>
      </c>
      <c r="F118" s="138">
        <f t="shared" si="14"/>
        <v>0</v>
      </c>
      <c r="G118" s="134">
        <f>D118+'10'!G118</f>
        <v>3875</v>
      </c>
      <c r="H118" s="110">
        <f>E118+'10'!H118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D119+'10'!G119</f>
        <v>0</v>
      </c>
      <c r="H119" s="110">
        <f>E119+'10'!H119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370</v>
      </c>
      <c r="E120" s="110">
        <v>0</v>
      </c>
      <c r="F120" s="138">
        <f t="shared" si="14"/>
        <v>0</v>
      </c>
      <c r="G120" s="134">
        <f>D120+'10'!G120</f>
        <v>8018</v>
      </c>
      <c r="H120" s="110">
        <f>E120+'10'!H120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D121+'10'!G121</f>
        <v>272</v>
      </c>
      <c r="H121" s="110">
        <f>E121+'10'!H121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740</v>
      </c>
      <c r="E122" s="110">
        <v>0</v>
      </c>
      <c r="F122" s="138">
        <f t="shared" si="14"/>
        <v>0</v>
      </c>
      <c r="G122" s="134">
        <f>D122+'10'!G122</f>
        <v>7528</v>
      </c>
      <c r="H122" s="110">
        <f>E122+'10'!H122</f>
        <v>1823.35</v>
      </c>
      <c r="I122" s="138">
        <f t="shared" si="15"/>
        <v>0.24220908607863972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347" t="s">
        <v>89</v>
      </c>
      <c r="K124" s="175" t="s">
        <v>90</v>
      </c>
      <c r="N124" s="93"/>
    </row>
    <row r="125" spans="1:20" ht="16.5" thickBot="1">
      <c r="A125" s="1209"/>
      <c r="B125" s="1210"/>
      <c r="C125" s="1211"/>
      <c r="D125" s="913" t="s">
        <v>3</v>
      </c>
      <c r="E125" s="174" t="s">
        <v>2</v>
      </c>
      <c r="F125" s="175" t="s">
        <v>1</v>
      </c>
      <c r="G125" s="176" t="s">
        <v>3</v>
      </c>
      <c r="H125" s="174" t="s">
        <v>2</v>
      </c>
      <c r="I125" s="175" t="s">
        <v>1</v>
      </c>
      <c r="J125" s="380">
        <f>SUM(N85:N91)</f>
        <v>0</v>
      </c>
      <c r="K125" s="305">
        <f>N92+N93</f>
        <v>0</v>
      </c>
      <c r="N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46.985469102370033</v>
      </c>
      <c r="F126" s="157">
        <f>IFERROR(E126/D126,0)</f>
        <v>1.1601350395646921</v>
      </c>
      <c r="G126" s="204">
        <v>40.5</v>
      </c>
      <c r="H126" s="200">
        <v>45.484490834453837</v>
      </c>
      <c r="I126" s="157">
        <f>IFERROR(H126/G126,0)</f>
        <v>1.1230738477642923</v>
      </c>
      <c r="J126" s="697"/>
      <c r="K126" s="598"/>
      <c r="N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17.153672048502127</v>
      </c>
      <c r="F127" s="157">
        <f t="shared" ref="F127:F132" si="16">IFERROR(E127/D127,0)</f>
        <v>1.0090395322648309</v>
      </c>
      <c r="G127" s="204">
        <v>17</v>
      </c>
      <c r="H127" s="200">
        <v>18.77153691752309</v>
      </c>
      <c r="I127" s="157">
        <f t="shared" ref="I127:I132" si="17">IFERROR(H127/G127,0)</f>
        <v>1.1042080539719465</v>
      </c>
      <c r="J127" s="154"/>
      <c r="K127" s="154"/>
      <c r="N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O128" s="93"/>
    </row>
    <row r="129" spans="1:20" ht="31.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21.259669645229977</v>
      </c>
      <c r="F129" s="157">
        <f t="shared" si="16"/>
        <v>1.0123652212014274</v>
      </c>
      <c r="G129" s="204">
        <v>21</v>
      </c>
      <c r="H129" s="200">
        <v>21.993292866626263</v>
      </c>
      <c r="I129" s="157">
        <f t="shared" si="17"/>
        <v>1.0472996603155362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0</v>
      </c>
      <c r="F130" s="157">
        <f t="shared" si="16"/>
        <v>0</v>
      </c>
      <c r="G130" s="204">
        <v>42</v>
      </c>
      <c r="H130" s="200">
        <v>28.388233400043728</v>
      </c>
      <c r="I130" s="157">
        <f t="shared" si="17"/>
        <v>0.67591031904866017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84" t="s">
        <v>165</v>
      </c>
      <c r="P130" s="84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37.868480685892372</v>
      </c>
      <c r="F131" s="157">
        <f t="shared" si="16"/>
        <v>1.0819565910254962</v>
      </c>
      <c r="G131" s="204">
        <v>35</v>
      </c>
      <c r="H131" s="200">
        <v>24.941918558047842</v>
      </c>
      <c r="I131" s="157">
        <f t="shared" si="17"/>
        <v>0.7126262445156526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100.99139636048704</v>
      </c>
      <c r="F132" s="684">
        <f t="shared" si="16"/>
        <v>1.0029933097674748</v>
      </c>
      <c r="G132" s="688">
        <v>100.69</v>
      </c>
      <c r="H132" s="683">
        <v>74.796881937491321</v>
      </c>
      <c r="I132" s="684">
        <f t="shared" si="17"/>
        <v>0.74284320128603953</v>
      </c>
      <c r="N132" s="728" t="s">
        <v>188</v>
      </c>
      <c r="O132" s="704">
        <f>O131+'10'!O132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130084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217060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14:K114"/>
    <mergeCell ref="L99:M99"/>
    <mergeCell ref="K129:L129"/>
    <mergeCell ref="J143:J144"/>
    <mergeCell ref="J145:J146"/>
    <mergeCell ref="K133:N133"/>
    <mergeCell ref="N129:P129"/>
    <mergeCell ref="O69:P69"/>
    <mergeCell ref="J141:J142"/>
    <mergeCell ref="J129:J130"/>
    <mergeCell ref="O5:P5"/>
    <mergeCell ref="O6:P6"/>
    <mergeCell ref="O7:P7"/>
    <mergeCell ref="O8:P8"/>
    <mergeCell ref="A77:P77"/>
    <mergeCell ref="O11:P11"/>
    <mergeCell ref="O12:P12"/>
    <mergeCell ref="O23:P23"/>
    <mergeCell ref="O38:P38"/>
    <mergeCell ref="O39:P39"/>
    <mergeCell ref="O40:P40"/>
    <mergeCell ref="O41:P41"/>
    <mergeCell ref="O42:P42"/>
    <mergeCell ref="O43:P43"/>
    <mergeCell ref="O44:P44"/>
    <mergeCell ref="O9:P9"/>
    <mergeCell ref="O10:P10"/>
    <mergeCell ref="O30:P30"/>
    <mergeCell ref="O68:P68"/>
    <mergeCell ref="O72:P72"/>
    <mergeCell ref="O73:P73"/>
    <mergeCell ref="O60:P60"/>
    <mergeCell ref="O62:P62"/>
    <mergeCell ref="O64:P64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13:P13"/>
    <mergeCell ref="O14:P14"/>
    <mergeCell ref="O15:P15"/>
    <mergeCell ref="O17:P17"/>
    <mergeCell ref="O18:P18"/>
    <mergeCell ref="O19:P19"/>
    <mergeCell ref="O22:P22"/>
    <mergeCell ref="O63:P63"/>
    <mergeCell ref="J139:J140"/>
    <mergeCell ref="O70:P70"/>
    <mergeCell ref="O65:P65"/>
    <mergeCell ref="J112:K112"/>
    <mergeCell ref="O20:P20"/>
    <mergeCell ref="O16:P16"/>
    <mergeCell ref="O21:P21"/>
    <mergeCell ref="P78:P79"/>
    <mergeCell ref="N78:O78"/>
    <mergeCell ref="O48:P48"/>
    <mergeCell ref="O45:P45"/>
    <mergeCell ref="O46:P46"/>
    <mergeCell ref="O47:P47"/>
    <mergeCell ref="O49:P49"/>
    <mergeCell ref="O50:P50"/>
    <mergeCell ref="O52:P52"/>
    <mergeCell ref="K142:N142"/>
    <mergeCell ref="J105:K105"/>
    <mergeCell ref="D124:F124"/>
    <mergeCell ref="G124:I124"/>
    <mergeCell ref="C97:C99"/>
    <mergeCell ref="A136:A138"/>
    <mergeCell ref="B136:B137"/>
    <mergeCell ref="C136:I136"/>
    <mergeCell ref="N99:O99"/>
    <mergeCell ref="J106:K106"/>
    <mergeCell ref="J107:K107"/>
    <mergeCell ref="J111:K111"/>
    <mergeCell ref="A97:A99"/>
    <mergeCell ref="B97:B99"/>
    <mergeCell ref="O53:P53"/>
    <mergeCell ref="O59:P59"/>
    <mergeCell ref="O71:P71"/>
    <mergeCell ref="O66:P66"/>
    <mergeCell ref="O67:P67"/>
    <mergeCell ref="A123:I123"/>
    <mergeCell ref="A124:A125"/>
    <mergeCell ref="B124:B125"/>
    <mergeCell ref="C124:C125"/>
    <mergeCell ref="D97:F98"/>
    <mergeCell ref="G97:I98"/>
    <mergeCell ref="A78:A79"/>
    <mergeCell ref="B78:B79"/>
    <mergeCell ref="C78:C79"/>
    <mergeCell ref="D78:H78"/>
    <mergeCell ref="I78:M78"/>
    <mergeCell ref="A96:K96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12 ",Q1)</f>
        <v>Ежедневный отчет производства и отгрузки за 12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80400</v>
      </c>
      <c r="H5" s="89">
        <f t="shared" si="0"/>
        <v>16874.071396806572</v>
      </c>
      <c r="I5" s="90">
        <f>IFERROR((H5/G5),0)</f>
        <v>0.2098765099105295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E6+'11'!G6</f>
        <v>0</v>
      </c>
      <c r="H6" s="110">
        <f>F6+'11'!H6</f>
        <v>6671.6154299884374</v>
      </c>
      <c r="I6" s="138"/>
      <c r="J6" s="750"/>
      <c r="K6" s="124">
        <f>J6+'11'!K6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F7+'11'!H7</f>
        <v>0</v>
      </c>
      <c r="I7" s="99"/>
      <c r="J7" s="750"/>
      <c r="K7" s="124">
        <f>J7+'11'!K7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F8+'11'!H8</f>
        <v>0</v>
      </c>
      <c r="I8" s="138"/>
      <c r="J8" s="750"/>
      <c r="K8" s="124">
        <f>J8+'11'!K8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E9+'11'!G9</f>
        <v>80400</v>
      </c>
      <c r="H9" s="98">
        <f>F9+'11'!H9</f>
        <v>10202.455966818135</v>
      </c>
      <c r="I9" s="99">
        <f>IFERROR((H9/G9),0)</f>
        <v>0.12689621849276289</v>
      </c>
      <c r="J9" s="177">
        <f>J10+J11+J12+J13</f>
        <v>0</v>
      </c>
      <c r="K9" s="100">
        <f>J9+'11'!K9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E10+'11'!G10</f>
        <v>0</v>
      </c>
      <c r="H10" s="110">
        <f>F10+'11'!H10</f>
        <v>10202.455966818135</v>
      </c>
      <c r="I10" s="99"/>
      <c r="J10" s="178">
        <v>0</v>
      </c>
      <c r="K10" s="124">
        <f>J10+'11'!K10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E11+'11'!G11</f>
        <v>0</v>
      </c>
      <c r="H11" s="110">
        <f>F11+'11'!H11</f>
        <v>0</v>
      </c>
      <c r="I11" s="99"/>
      <c r="J11" s="178">
        <v>0</v>
      </c>
      <c r="K11" s="124">
        <f>J11+'11'!K11</f>
        <v>0</v>
      </c>
      <c r="L11" s="149">
        <f>D11+H11-K11+M11+N11</f>
        <v>18224.01726010743</v>
      </c>
      <c r="M11" s="101"/>
      <c r="N11" s="309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E12+'11'!G12</f>
        <v>0</v>
      </c>
      <c r="H12" s="110">
        <f>F12+'11'!H12</f>
        <v>0</v>
      </c>
      <c r="I12" s="757">
        <f>IFERROR((H12/G12),0)</f>
        <v>0</v>
      </c>
      <c r="J12" s="178"/>
      <c r="K12" s="124">
        <f>J12+'11'!K12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F13+'11'!H13</f>
        <v>0</v>
      </c>
      <c r="I13" s="99"/>
      <c r="J13" s="178"/>
      <c r="K13" s="124">
        <f>J13+'11'!K13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6471</v>
      </c>
      <c r="F14" s="89">
        <f>SUM(F15:F21)</f>
        <v>0</v>
      </c>
      <c r="G14" s="89">
        <f>SUM(G15:G21)</f>
        <v>74034</v>
      </c>
      <c r="H14" s="89">
        <f>SUM(H15:H21)</f>
        <v>18857.68830004807</v>
      </c>
      <c r="I14" s="90">
        <f t="shared" ref="I14:I21" si="1">IFERROR((H14/G14),0)</f>
        <v>0.25471659372785571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E15+'11'!G15</f>
        <v>0</v>
      </c>
      <c r="H15" s="110">
        <f>F15+'11'!H15</f>
        <v>0</v>
      </c>
      <c r="I15" s="138">
        <f t="shared" si="1"/>
        <v>0</v>
      </c>
      <c r="J15" s="178">
        <v>0</v>
      </c>
      <c r="K15" s="124">
        <f>J15+'11'!K15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s="182" customFormat="1" outlineLevel="1">
      <c r="A16" s="123" t="s">
        <v>254</v>
      </c>
      <c r="B16" s="308" t="s">
        <v>9</v>
      </c>
      <c r="C16" s="179">
        <f>'01'!C16</f>
        <v>44352</v>
      </c>
      <c r="D16" s="179">
        <f>'01'!D16</f>
        <v>6069.3572595923979</v>
      </c>
      <c r="E16" s="134">
        <v>1471.5022149302708</v>
      </c>
      <c r="F16" s="171">
        <v>0</v>
      </c>
      <c r="G16" s="171">
        <f>E16+'11'!G16</f>
        <v>16835.295159967187</v>
      </c>
      <c r="H16" s="171">
        <f>F16+'11'!H16</f>
        <v>3228.5002277343951</v>
      </c>
      <c r="I16" s="959">
        <f t="shared" si="1"/>
        <v>0.19176974309375208</v>
      </c>
      <c r="J16" s="751">
        <f>IFERROR(SUMIF(A101:A114,A16,E101:E114),0)+E111+E112+E113</f>
        <v>0</v>
      </c>
      <c r="K16" s="180">
        <f>J16+'11'!K16</f>
        <v>3320.85</v>
      </c>
      <c r="L16" s="400">
        <f t="shared" si="2"/>
        <v>5977.0074873267931</v>
      </c>
      <c r="M16" s="420"/>
      <c r="N16" s="437"/>
      <c r="O16" s="1224"/>
      <c r="P16" s="1225"/>
      <c r="Q16" s="591"/>
      <c r="R16" s="590"/>
      <c r="S16" s="1045"/>
      <c r="T16" s="1045"/>
    </row>
    <row r="17" spans="1:20" s="182" customFormat="1" ht="18" customHeight="1">
      <c r="A17" s="734" t="s">
        <v>262</v>
      </c>
      <c r="B17" s="308" t="s">
        <v>9</v>
      </c>
      <c r="C17" s="179">
        <f>'01'!C17</f>
        <v>0</v>
      </c>
      <c r="D17" s="179">
        <f>'01'!D17</f>
        <v>483.23739591927495</v>
      </c>
      <c r="E17" s="108">
        <v>0</v>
      </c>
      <c r="F17" s="173">
        <v>0</v>
      </c>
      <c r="G17" s="171">
        <f>E17+'11'!G17</f>
        <v>0</v>
      </c>
      <c r="H17" s="171">
        <f>F17+'11'!H17</f>
        <v>0</v>
      </c>
      <c r="I17" s="959">
        <f t="shared" si="1"/>
        <v>0</v>
      </c>
      <c r="J17" s="751">
        <f>IFERROR(SUMIF(A102:A115,A17,E102:E115),0)+E116+E119+E121+E114</f>
        <v>0</v>
      </c>
      <c r="K17" s="180">
        <f>J17+'11'!K17</f>
        <v>0</v>
      </c>
      <c r="L17" s="400">
        <f t="shared" si="2"/>
        <v>483.23739591927495</v>
      </c>
      <c r="M17" s="101"/>
      <c r="N17" s="437"/>
      <c r="O17" s="1224"/>
      <c r="P17" s="1225"/>
      <c r="Q17" s="590"/>
      <c r="R17" s="590"/>
      <c r="S17" s="1045" t="s">
        <v>248</v>
      </c>
      <c r="T17" s="1046" t="e">
        <f>O51/F5</f>
        <v>#DIV/0!</v>
      </c>
    </row>
    <row r="18" spans="1:20" s="182" customFormat="1" ht="15" customHeight="1">
      <c r="A18" s="123" t="s">
        <v>85</v>
      </c>
      <c r="B18" s="308" t="s">
        <v>9</v>
      </c>
      <c r="C18" s="203">
        <f>'01'!C18</f>
        <v>1360</v>
      </c>
      <c r="D18" s="203">
        <f>'01'!D18</f>
        <v>3183.2380657083054</v>
      </c>
      <c r="E18" s="134"/>
      <c r="F18" s="171"/>
      <c r="G18" s="171">
        <f>E18+'11'!G18</f>
        <v>0</v>
      </c>
      <c r="H18" s="171">
        <f>F18+'11'!H18</f>
        <v>0</v>
      </c>
      <c r="I18" s="960">
        <f t="shared" si="1"/>
        <v>0</v>
      </c>
      <c r="J18" s="751">
        <f>IFERROR(SUMIF(A102:A115,A18,E102:E115),0)+E118+E120</f>
        <v>0</v>
      </c>
      <c r="K18" s="180">
        <f>J18+'11'!K18</f>
        <v>0</v>
      </c>
      <c r="L18" s="203">
        <f>D18+H18-K18-M18</f>
        <v>3183.2380657083054</v>
      </c>
      <c r="M18" s="101"/>
      <c r="N18" s="437"/>
      <c r="O18" s="1224"/>
      <c r="P18" s="1225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4836.3293170631659</v>
      </c>
      <c r="F19" s="131">
        <v>0</v>
      </c>
      <c r="G19" s="110">
        <f>E19+'11'!G19</f>
        <v>55331.912325676785</v>
      </c>
      <c r="H19" s="110">
        <f>F19+'11'!H19</f>
        <v>15629.188072313675</v>
      </c>
      <c r="I19" s="759">
        <f t="shared" si="1"/>
        <v>0.28246246000539815</v>
      </c>
      <c r="J19" s="751">
        <f>IFERROR(SUMIF(A102:A115,A19,E102:E115),0)+E117+E115+E122</f>
        <v>0</v>
      </c>
      <c r="K19" s="124">
        <f>J19+'11'!K19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118.04664684167349</v>
      </c>
      <c r="F20" s="110">
        <v>0</v>
      </c>
      <c r="G20" s="110">
        <f>E20+'11'!G20</f>
        <v>1350.5587161607875</v>
      </c>
      <c r="H20" s="110">
        <f>F20+'11'!H20</f>
        <v>0</v>
      </c>
      <c r="I20" s="138">
        <f t="shared" si="1"/>
        <v>0</v>
      </c>
      <c r="J20" s="751">
        <f>IFERROR(SUMIF(A102:A115,A20,E102:E115),0)</f>
        <v>0</v>
      </c>
      <c r="K20" s="124">
        <f>J20+'11'!K20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45.121821164889248</v>
      </c>
      <c r="F21" s="110">
        <v>0</v>
      </c>
      <c r="G21" s="110">
        <f>E21+'11'!G21</f>
        <v>516.233798195242</v>
      </c>
      <c r="H21" s="110">
        <f>F21+'11'!H21</f>
        <v>0</v>
      </c>
      <c r="I21" s="138">
        <f t="shared" si="1"/>
        <v>0</v>
      </c>
      <c r="J21" s="751">
        <f>IFERROR(SUMIF(A102:A115,A21,E102:E115),0)</f>
        <v>0</v>
      </c>
      <c r="K21" s="124">
        <f>J21+'11'!K21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E22+'11'!G22</f>
        <v>0</v>
      </c>
      <c r="H22" s="110">
        <f>F22+'11'!H22</f>
        <v>2130.1044634377968</v>
      </c>
      <c r="I22" s="99"/>
      <c r="J22" s="751">
        <f>IFERROR(SUMIF(A103:A123,A22,E103:E123),0)+E109</f>
        <v>0</v>
      </c>
      <c r="K22" s="124">
        <f>J22+'11'!K22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252">
        <f>E23+'11'!G23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862">
        <f>J23+'11'!K23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71">
        <f>E24+'11'!G24</f>
        <v>0</v>
      </c>
      <c r="H24" s="110">
        <f>F24+'11'!H24</f>
        <v>0</v>
      </c>
      <c r="I24" s="99"/>
      <c r="J24" s="752">
        <v>0</v>
      </c>
      <c r="K24" s="180">
        <f>J24+'11'!K24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71">
        <f>E25+'11'!G25</f>
        <v>0</v>
      </c>
      <c r="H25" s="110">
        <f>F25+'11'!H25</f>
        <v>0</v>
      </c>
      <c r="I25" s="99"/>
      <c r="J25" s="752">
        <v>0</v>
      </c>
      <c r="K25" s="180">
        <f>J25+'11'!K25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71">
        <f>E26+'11'!G26</f>
        <v>0</v>
      </c>
      <c r="H26" s="110">
        <f>F26+'11'!H26</f>
        <v>0</v>
      </c>
      <c r="I26" s="99"/>
      <c r="J26" s="752">
        <v>0</v>
      </c>
      <c r="K26" s="180">
        <f>J26+'11'!K26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71">
        <f>E27+'11'!G27</f>
        <v>0</v>
      </c>
      <c r="H27" s="110">
        <f>F27+'11'!H27</f>
        <v>0</v>
      </c>
      <c r="I27" s="99"/>
      <c r="J27" s="752"/>
      <c r="K27" s="180">
        <f>J27+'11'!K27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71">
        <f>E28+'11'!G28</f>
        <v>0</v>
      </c>
      <c r="H28" s="110">
        <f>F28+'11'!H28</f>
        <v>0</v>
      </c>
      <c r="I28" s="99"/>
      <c r="J28" s="752"/>
      <c r="K28" s="180">
        <f>J28+'11'!K28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71">
        <f>E29+'11'!G29</f>
        <v>0</v>
      </c>
      <c r="H29" s="110">
        <f>F29+'11'!H29</f>
        <v>0</v>
      </c>
      <c r="I29" s="99"/>
      <c r="J29" s="752"/>
      <c r="K29" s="180">
        <f>J29+'11'!K29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252">
        <f>E30+'11'!G30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862">
        <f>J30+'11'!K30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71">
        <f>E31+'11'!G31</f>
        <v>0</v>
      </c>
      <c r="H31" s="110">
        <f>F31+'11'!H31</f>
        <v>0</v>
      </c>
      <c r="I31" s="99"/>
      <c r="J31" s="865">
        <v>0</v>
      </c>
      <c r="K31" s="180">
        <f>J31+'11'!K31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71">
        <f>E32+'11'!G32</f>
        <v>0</v>
      </c>
      <c r="H32" s="110">
        <f>F32+'11'!H32</f>
        <v>554.40000000000009</v>
      </c>
      <c r="I32" s="99"/>
      <c r="J32" s="865">
        <v>0</v>
      </c>
      <c r="K32" s="180">
        <f>J32+'11'!K32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71">
        <f>E33+'11'!G33</f>
        <v>0</v>
      </c>
      <c r="H33" s="110">
        <f>F33+'11'!H33</f>
        <v>0</v>
      </c>
      <c r="I33" s="99"/>
      <c r="J33" s="865">
        <v>0</v>
      </c>
      <c r="K33" s="180">
        <f>J33+'11'!K33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71">
        <f>E34+'11'!G34</f>
        <v>0</v>
      </c>
      <c r="H34" s="110">
        <f>F34+'11'!H34</f>
        <v>0</v>
      </c>
      <c r="I34" s="99"/>
      <c r="J34" s="865"/>
      <c r="K34" s="180">
        <f>J34+'11'!K34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71">
        <f>E35+'11'!G35</f>
        <v>0</v>
      </c>
      <c r="H35" s="110">
        <f>F35+'11'!H35</f>
        <v>0</v>
      </c>
      <c r="I35" s="99"/>
      <c r="J35" s="865"/>
      <c r="K35" s="180">
        <f>J35+'11'!K35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71">
        <f>E36+'11'!G36</f>
        <v>0</v>
      </c>
      <c r="H36" s="110">
        <f>F36+'11'!H36</f>
        <v>0</v>
      </c>
      <c r="I36" s="99"/>
      <c r="J36" s="110">
        <v>0</v>
      </c>
      <c r="K36" s="180">
        <f>J36+'11'!K36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71">
        <f>E37+'11'!G37</f>
        <v>0</v>
      </c>
      <c r="H37" s="110">
        <f>F37+'11'!H37</f>
        <v>0</v>
      </c>
      <c r="I37" s="99"/>
      <c r="J37" s="110">
        <v>0</v>
      </c>
      <c r="K37" s="180">
        <f>J37+'11'!K37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E38+'11'!G38</f>
        <v>59596.686603019458</v>
      </c>
      <c r="H38" s="676">
        <f>F38+'11'!H38</f>
        <v>9132.5707721894778</v>
      </c>
      <c r="I38" s="760">
        <f>IFERROR((H38/G38),0)</f>
        <v>0.15323957241151015</v>
      </c>
      <c r="J38" s="954">
        <f>SUM(J39:J40)</f>
        <v>0</v>
      </c>
      <c r="K38" s="677">
        <f>J38+'11'!K38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F39+'11'!H39</f>
        <v>6840.5707721894778</v>
      </c>
      <c r="I39" s="138"/>
      <c r="J39" s="750">
        <f>F39</f>
        <v>0</v>
      </c>
      <c r="K39" s="124">
        <f>J39+'11'!K39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 ht="15.75" customHeight="1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F40+'11'!H40</f>
        <v>2292</v>
      </c>
      <c r="I40" s="138"/>
      <c r="J40" s="178">
        <v>0</v>
      </c>
      <c r="K40" s="124">
        <f>J40+'11'!K40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F41+'11'!H41</f>
        <v>0</v>
      </c>
      <c r="I41" s="138"/>
      <c r="J41" s="178"/>
      <c r="K41" s="124">
        <f>J41+'11'!K41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F42+'11'!H42</f>
        <v>0</v>
      </c>
      <c r="I42" s="138"/>
      <c r="J42" s="178"/>
      <c r="K42" s="124">
        <f>J42+'11'!K42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E43+'11'!G43</f>
        <v>38640.751518697682</v>
      </c>
      <c r="H43" s="110">
        <f>F43+'11'!H43</f>
        <v>8403.7999999999993</v>
      </c>
      <c r="I43" s="138">
        <f>IFERROR((H43/G43),0)</f>
        <v>0.21748541810667232</v>
      </c>
      <c r="J43" s="178">
        <f>F43</f>
        <v>0</v>
      </c>
      <c r="K43" s="124">
        <f>J43+'11'!K43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E44+'11'!G44</f>
        <v>16338.773235500563</v>
      </c>
      <c r="H44" s="110">
        <f>F44+'11'!H44</f>
        <v>7255</v>
      </c>
      <c r="I44" s="138">
        <f>IFERROR((H44/G44),0)</f>
        <v>0.44403578502677787</v>
      </c>
      <c r="J44" s="178">
        <v>0</v>
      </c>
      <c r="K44" s="124">
        <f>J44+'11'!K44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/>
      <c r="G45" s="110"/>
      <c r="H45" s="110">
        <f>F45+'11'!H45</f>
        <v>0</v>
      </c>
      <c r="I45" s="138"/>
      <c r="J45" s="178"/>
      <c r="K45" s="124">
        <f>J45+'11'!K45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F46+'11'!H46</f>
        <v>0</v>
      </c>
      <c r="I46" s="138"/>
      <c r="J46" s="178"/>
      <c r="K46" s="124">
        <f>J46+'11'!K46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F47+'11'!H47</f>
        <v>0</v>
      </c>
      <c r="I47" s="138"/>
      <c r="J47" s="178"/>
      <c r="K47" s="124">
        <f>J47+'11'!K47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71">
        <f>E48+'11'!G48</f>
        <v>95465.386105017809</v>
      </c>
      <c r="H48" s="171">
        <f>F48+'11'!H48</f>
        <v>15244.370772189477</v>
      </c>
      <c r="I48" s="960">
        <f>IFERROR((H48/G48),0)</f>
        <v>0.15968479670128533</v>
      </c>
      <c r="J48" s="750">
        <v>0</v>
      </c>
      <c r="K48" s="124">
        <f>J48+'11'!K48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129898.95024371953</v>
      </c>
      <c r="H49" s="110">
        <f>SUM(H50:H51)</f>
        <v>32176.186994748638</v>
      </c>
      <c r="I49" s="138">
        <f>IFERROR((H49/G49),0)</f>
        <v>0.24770167067846893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E50+'11'!G50</f>
        <v>0</v>
      </c>
      <c r="H50" s="110">
        <f>F50+'11'!H50</f>
        <v>0</v>
      </c>
      <c r="I50" s="138">
        <f>IFERROR((H50/G50),0)</f>
        <v>0</v>
      </c>
      <c r="J50" s="178"/>
      <c r="K50" s="124">
        <f>J50+'11'!K50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E51+'11'!G51</f>
        <v>129898.95024371953</v>
      </c>
      <c r="H51" s="110">
        <f>F51+'11'!H51</f>
        <v>32176.186994748638</v>
      </c>
      <c r="I51" s="138">
        <f>IFERROR((H51/G51),0)</f>
        <v>0.24770167067846893</v>
      </c>
      <c r="J51" s="178">
        <f>O51-P51</f>
        <v>0</v>
      </c>
      <c r="K51" s="124">
        <f>J51+'11'!K51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E53+'11'!G53</f>
        <v>0</v>
      </c>
      <c r="H53" s="110">
        <f>F53+'11'!H53</f>
        <v>0</v>
      </c>
      <c r="I53" s="759">
        <f t="shared" ref="I53:I58" si="4">IFERROR((H53/G53),0)</f>
        <v>0</v>
      </c>
      <c r="J53" s="754"/>
      <c r="K53" s="124">
        <f>J53+'11'!K53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E54+'11'!G54</f>
        <v>3870.9677419354834</v>
      </c>
      <c r="H54" s="110">
        <f>F54+'11'!H54</f>
        <v>0</v>
      </c>
      <c r="I54" s="759">
        <f t="shared" si="4"/>
        <v>0</v>
      </c>
      <c r="J54" s="754">
        <v>0</v>
      </c>
      <c r="K54" s="124">
        <f>J54+'11'!K54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E55+'11'!G55</f>
        <v>6580.6451612903211</v>
      </c>
      <c r="H55" s="110">
        <f>F55+'11'!H55</f>
        <v>0</v>
      </c>
      <c r="I55" s="759">
        <f t="shared" si="4"/>
        <v>0</v>
      </c>
      <c r="J55" s="754">
        <v>0</v>
      </c>
      <c r="K55" s="124">
        <f>J55+'11'!K55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E56+'11'!G56</f>
        <v>0</v>
      </c>
      <c r="H56" s="110">
        <f>F56+'11'!H56</f>
        <v>0</v>
      </c>
      <c r="I56" s="759">
        <f t="shared" si="4"/>
        <v>0</v>
      </c>
      <c r="J56" s="754"/>
      <c r="K56" s="124">
        <f>J56+'11'!K56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E57+'11'!G57</f>
        <v>0</v>
      </c>
      <c r="H57" s="110">
        <f>F57+'11'!H57</f>
        <v>0</v>
      </c>
      <c r="I57" s="759">
        <f t="shared" si="4"/>
        <v>0</v>
      </c>
      <c r="J57" s="754"/>
      <c r="K57" s="124">
        <f>J57+'11'!K57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E58+'11'!G58</f>
        <v>0</v>
      </c>
      <c r="H58" s="110">
        <f>F58+'11'!H58</f>
        <v>0</v>
      </c>
      <c r="I58" s="759">
        <f t="shared" si="4"/>
        <v>0</v>
      </c>
      <c r="J58" s="754">
        <v>0</v>
      </c>
      <c r="K58" s="124">
        <f>(J58+'11'!K58)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F59+'11'!H59</f>
        <v>0</v>
      </c>
      <c r="I59" s="759"/>
      <c r="J59" s="754"/>
      <c r="K59" s="124">
        <f>(J59+'11'!K59)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F60+'11'!H60</f>
        <v>0</v>
      </c>
      <c r="I60" s="759"/>
      <c r="J60" s="754"/>
      <c r="K60" s="124">
        <f>(J60+'11'!K60)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F61+'11'!H61</f>
        <v>0</v>
      </c>
      <c r="I61" s="759"/>
      <c r="J61" s="754">
        <f>D139+D141</f>
        <v>0</v>
      </c>
      <c r="K61" s="124">
        <f>(J61+'11'!K61)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F62+'11'!H62</f>
        <v>0</v>
      </c>
      <c r="I62" s="522"/>
      <c r="J62" s="754">
        <v>0</v>
      </c>
      <c r="K62" s="124">
        <f>(J62+'11'!K62)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F63+'11'!H63</f>
        <v>3329.1499999999996</v>
      </c>
      <c r="I63" s="1059"/>
      <c r="J63" s="1068"/>
      <c r="K63" s="668">
        <f>(J63+'11'!K63)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F64+'11'!H64</f>
        <v>0</v>
      </c>
      <c r="I64" s="522"/>
      <c r="J64" s="754"/>
      <c r="K64" s="124">
        <f>(J64+'11'!K64)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F65+'11'!H65</f>
        <v>0</v>
      </c>
      <c r="I65" s="759"/>
      <c r="J65" s="754"/>
      <c r="K65" s="124">
        <f>(J65+'11'!K65)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F66+'11'!H66</f>
        <v>0</v>
      </c>
      <c r="I66" s="759"/>
      <c r="J66" s="754"/>
      <c r="K66" s="124">
        <f>(J66+'11'!K66)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F67+'11'!H67</f>
        <v>0</v>
      </c>
      <c r="I67" s="759"/>
      <c r="J67" s="754"/>
      <c r="K67" s="124">
        <f>(J67+'11'!K67)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F68+'11'!H68</f>
        <v>0</v>
      </c>
      <c r="I68" s="759"/>
      <c r="J68" s="754"/>
      <c r="K68" s="124">
        <f>(J68+'11'!K68)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F69+'11'!H69</f>
        <v>0</v>
      </c>
      <c r="I69" s="759"/>
      <c r="J69" s="754"/>
      <c r="K69" s="124">
        <f>(J69+'11'!K69)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F70+'11'!H70</f>
        <v>3329.1499999999996</v>
      </c>
      <c r="I70" s="759"/>
      <c r="J70" s="754"/>
      <c r="K70" s="124">
        <f>(J70+'11'!K70)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F71+'11'!H71</f>
        <v>0</v>
      </c>
      <c r="I71" s="759"/>
      <c r="J71" s="754"/>
      <c r="K71" s="124">
        <f>(J71+'11'!K71)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F72+'11'!H72</f>
        <v>1911.376034856974</v>
      </c>
      <c r="I72" s="388"/>
      <c r="J72" s="756">
        <f>K131</f>
        <v>0</v>
      </c>
      <c r="K72" s="395">
        <f>(J72+'11'!K72)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F73+'11'!H73</f>
        <v>0</v>
      </c>
      <c r="I73" s="934"/>
      <c r="J73" s="931"/>
      <c r="K73" s="935">
        <f>(J73+'11'!K73)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8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24*12-K80</f>
        <v>288</v>
      </c>
      <c r="M80" s="139">
        <f t="shared" ref="M80:M94" si="11">K80/(24*12)</f>
        <v>0</v>
      </c>
      <c r="N80" s="965"/>
      <c r="O80" s="302">
        <f>N80+'11'!O80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8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24*12-K81</f>
        <v>288</v>
      </c>
      <c r="M81" s="139">
        <f t="shared" si="11"/>
        <v>0</v>
      </c>
      <c r="N81" s="965"/>
      <c r="O81" s="302">
        <f>N81+'11'!O81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33">
        <f>'01'!C82</f>
        <v>45</v>
      </c>
      <c r="D82" s="134">
        <f t="shared" ref="D82:D95" si="12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3">IFERROR(O82/K82,0)</f>
        <v>43.535460826585258</v>
      </c>
      <c r="J82" s="138">
        <f t="shared" si="10"/>
        <v>0.96745468503522791</v>
      </c>
      <c r="K82" s="134">
        <f>F82+'11'!K82</f>
        <v>43.903888888888886</v>
      </c>
      <c r="L82" s="178">
        <f>24*12-K82</f>
        <v>244.0961111111111</v>
      </c>
      <c r="M82" s="139">
        <f t="shared" si="11"/>
        <v>0.1524440586419753</v>
      </c>
      <c r="N82" s="716">
        <v>0</v>
      </c>
      <c r="O82" s="303">
        <f>N82+'11'!O82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33">
        <f>'01'!C83</f>
        <v>500</v>
      </c>
      <c r="D83" s="134">
        <f t="shared" si="12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3"/>
        <v>498.27193460328596</v>
      </c>
      <c r="J83" s="138">
        <f t="shared" si="10"/>
        <v>0.9965438692065719</v>
      </c>
      <c r="K83" s="134">
        <f>F83+'11'!K83</f>
        <v>64.575555555555553</v>
      </c>
      <c r="L83" s="178">
        <f>G83+'11'!L83</f>
        <v>223.42444444444445</v>
      </c>
      <c r="M83" s="139">
        <f t="shared" si="11"/>
        <v>0.22422067901234566</v>
      </c>
      <c r="N83" s="716">
        <v>0</v>
      </c>
      <c r="O83" s="303">
        <f>N83+'11'!O83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2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3"/>
        <v>259.69099144791005</v>
      </c>
      <c r="J84" s="138">
        <f t="shared" si="10"/>
        <v>0</v>
      </c>
      <c r="K84" s="134">
        <f>F84+'11'!K84</f>
        <v>64.977499999999992</v>
      </c>
      <c r="L84" s="178">
        <f>G84+'11'!L84</f>
        <v>223.02250000000001</v>
      </c>
      <c r="M84" s="139">
        <f t="shared" si="11"/>
        <v>0.22561631944444441</v>
      </c>
      <c r="N84" s="716">
        <v>0</v>
      </c>
      <c r="O84" s="303">
        <f>N84+'11'!O84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tr">
        <f>'01'!A85</f>
        <v xml:space="preserve">Цементная мельница №1 </v>
      </c>
      <c r="B85" s="106" t="s">
        <v>17</v>
      </c>
      <c r="C85" s="183">
        <f>'01'!C85</f>
        <v>0</v>
      </c>
      <c r="D85" s="134">
        <f t="shared" si="12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3"/>
        <v>0</v>
      </c>
      <c r="J85" s="138">
        <f t="shared" si="10"/>
        <v>0</v>
      </c>
      <c r="K85" s="134">
        <f>F85+'11'!K85</f>
        <v>0</v>
      </c>
      <c r="L85" s="178">
        <f>G85+'11'!L85</f>
        <v>288</v>
      </c>
      <c r="M85" s="139">
        <f t="shared" si="11"/>
        <v>0</v>
      </c>
      <c r="N85" s="965">
        <v>0</v>
      </c>
      <c r="O85" s="302">
        <f>N85+'11'!O85</f>
        <v>0</v>
      </c>
      <c r="P85" s="719"/>
      <c r="Q85" s="140"/>
      <c r="R85" s="140"/>
      <c r="T85" s="93"/>
    </row>
    <row r="86" spans="1:20" hidden="1" outlineLevel="1">
      <c r="A86" s="132" t="str">
        <f>'01'!A86</f>
        <v>Цементная мельница №2</v>
      </c>
      <c r="B86" s="106" t="s">
        <v>17</v>
      </c>
      <c r="C86" s="183">
        <f>'01'!C86</f>
        <v>0</v>
      </c>
      <c r="D86" s="134">
        <f t="shared" si="12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3"/>
        <v>0</v>
      </c>
      <c r="J86" s="138">
        <f t="shared" si="10"/>
        <v>0</v>
      </c>
      <c r="K86" s="134">
        <f>F86+'11'!K86</f>
        <v>0</v>
      </c>
      <c r="L86" s="178">
        <f>G86+'11'!L86</f>
        <v>264</v>
      </c>
      <c r="M86" s="139">
        <f t="shared" si="11"/>
        <v>0</v>
      </c>
      <c r="N86" s="965">
        <v>0</v>
      </c>
      <c r="O86" s="303">
        <f>N86+'11'!O86</f>
        <v>0</v>
      </c>
      <c r="P86" s="719"/>
      <c r="Q86" s="140"/>
      <c r="R86" s="140"/>
      <c r="T86" s="93"/>
    </row>
    <row r="87" spans="1:20" hidden="1" outlineLevel="1">
      <c r="A87" s="132" t="str">
        <f>'01'!A87</f>
        <v>Цементная мельница №3</v>
      </c>
      <c r="B87" s="106" t="s">
        <v>17</v>
      </c>
      <c r="C87" s="183">
        <f>'01'!C87</f>
        <v>0</v>
      </c>
      <c r="D87" s="134">
        <f t="shared" si="12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3"/>
        <v>0</v>
      </c>
      <c r="J87" s="138">
        <f t="shared" si="10"/>
        <v>0</v>
      </c>
      <c r="K87" s="134">
        <f>F87+'11'!K87</f>
        <v>0</v>
      </c>
      <c r="L87" s="178">
        <f>G87+'11'!L87</f>
        <v>264</v>
      </c>
      <c r="M87" s="139">
        <f t="shared" si="11"/>
        <v>0</v>
      </c>
      <c r="N87" s="965">
        <v>0</v>
      </c>
      <c r="O87" s="302">
        <f>N87+'11'!O87</f>
        <v>0</v>
      </c>
      <c r="P87" s="719"/>
      <c r="Q87" s="140"/>
      <c r="R87" s="140"/>
      <c r="T87" s="93"/>
    </row>
    <row r="88" spans="1:20" hidden="1" collapsed="1">
      <c r="A88" s="132" t="str">
        <f>'01'!A88</f>
        <v>Цементная мельница №4</v>
      </c>
      <c r="B88" s="106" t="s">
        <v>17</v>
      </c>
      <c r="C88" s="183">
        <f>'01'!C88</f>
        <v>0</v>
      </c>
      <c r="D88" s="134">
        <f t="shared" si="12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3"/>
        <v>0</v>
      </c>
      <c r="J88" s="138">
        <f t="shared" si="10"/>
        <v>0</v>
      </c>
      <c r="K88" s="134">
        <f>F88+'11'!K88</f>
        <v>0</v>
      </c>
      <c r="L88" s="178">
        <f>G88+'11'!L88</f>
        <v>264</v>
      </c>
      <c r="M88" s="139">
        <f t="shared" si="11"/>
        <v>0</v>
      </c>
      <c r="N88" s="716">
        <v>0</v>
      </c>
      <c r="O88" s="303">
        <f>N88+'11'!O88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2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3"/>
        <v>41.420860547642825</v>
      </c>
      <c r="J89" s="138">
        <f t="shared" si="10"/>
        <v>0.88129490526899623</v>
      </c>
      <c r="K89" s="134">
        <f>F89+'11'!K89</f>
        <v>1.6950000000000001</v>
      </c>
      <c r="L89" s="178">
        <f>G89+'11'!L89</f>
        <v>286.30500000000001</v>
      </c>
      <c r="M89" s="139">
        <f t="shared" si="11"/>
        <v>5.8854166666666673E-3</v>
      </c>
      <c r="N89" s="1001">
        <v>0</v>
      </c>
      <c r="O89" s="303">
        <f>N89+'11'!O89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2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3"/>
        <v>48.591763261195744</v>
      </c>
      <c r="J90" s="138">
        <f t="shared" si="10"/>
        <v>1.0338673034296968</v>
      </c>
      <c r="K90" s="134">
        <f>F90+'11'!K90</f>
        <v>32.664166666666674</v>
      </c>
      <c r="L90" s="178">
        <f>G90+'11'!L90</f>
        <v>255.33583333333331</v>
      </c>
      <c r="M90" s="139">
        <f t="shared" si="11"/>
        <v>0.1134172453703704</v>
      </c>
      <c r="N90" s="1001">
        <v>0</v>
      </c>
      <c r="O90" s="303">
        <f>N90+'11'!O90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83">
        <f>'01'!C91</f>
        <v>0</v>
      </c>
      <c r="D91" s="134">
        <f t="shared" si="12"/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F91+'11'!K91</f>
        <v>0</v>
      </c>
      <c r="L91" s="178">
        <f>G91+'11'!L91</f>
        <v>288</v>
      </c>
      <c r="M91" s="139">
        <f t="shared" si="11"/>
        <v>0</v>
      </c>
      <c r="N91" s="716">
        <v>0</v>
      </c>
      <c r="O91" s="716">
        <f>N91+'11'!O91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 t="shared" si="12"/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F92+'11'!K92</f>
        <v>71.521666666666675</v>
      </c>
      <c r="L92" s="178">
        <f>G92+'11'!L92</f>
        <v>216.47833333333332</v>
      </c>
      <c r="M92" s="139">
        <f t="shared" si="11"/>
        <v>0.2483391203703704</v>
      </c>
      <c r="N92" s="716">
        <v>0</v>
      </c>
      <c r="O92" s="303">
        <f>N92+'11'!O92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 t="shared" si="12"/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F93+'11'!K93</f>
        <v>64.288611111111109</v>
      </c>
      <c r="L93" s="178">
        <f>G93+'11'!L93</f>
        <v>223.71138888888891</v>
      </c>
      <c r="M93" s="139">
        <f t="shared" si="11"/>
        <v>0.22322434413580247</v>
      </c>
      <c r="N93" s="716">
        <v>0</v>
      </c>
      <c r="O93" s="303">
        <f>N93+'11'!O93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 t="shared" si="12"/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F94+'11'!K94</f>
        <v>32</v>
      </c>
      <c r="L94" s="869">
        <f>G94+'11'!L94</f>
        <v>256</v>
      </c>
      <c r="M94" s="880">
        <f t="shared" si="11"/>
        <v>0.1111111111111111</v>
      </c>
      <c r="N94" s="966">
        <f>E111+E120+E121+E122</f>
        <v>0</v>
      </c>
      <c r="O94" s="871">
        <f>N94+'11'!O94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 t="shared" si="12"/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F95+'11'!K95</f>
        <v>7</v>
      </c>
      <c r="L95" s="554">
        <f>G95+'11'!L95</f>
        <v>281</v>
      </c>
      <c r="M95" s="723">
        <f>K95/(24*12)</f>
        <v>2.4305555555555556E-2</v>
      </c>
      <c r="N95" s="967">
        <f>E112+E114+E115+E118+E119</f>
        <v>0</v>
      </c>
      <c r="O95" s="713">
        <f>N95+'11'!O95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4871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74509</v>
      </c>
      <c r="H100" s="89">
        <f>H101+H110</f>
        <v>19708.249999999993</v>
      </c>
      <c r="I100" s="90">
        <f t="shared" ref="I100:I122" si="15">IFERROR((H100/G100),0)</f>
        <v>0.2645083144318135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4871</v>
      </c>
      <c r="E101" s="98">
        <f>SUM(E102:E109)</f>
        <v>0</v>
      </c>
      <c r="F101" s="99">
        <f t="shared" si="14"/>
        <v>0</v>
      </c>
      <c r="G101" s="169">
        <f>SUM(G102:G109)</f>
        <v>52965</v>
      </c>
      <c r="H101" s="98">
        <f>SUM(H102:H109)</f>
        <v>15844.349999999995</v>
      </c>
      <c r="I101" s="99">
        <f t="shared" si="15"/>
        <v>0.29914755026904549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D102+'11'!G102</f>
        <v>0</v>
      </c>
      <c r="H102" s="178">
        <f>E102+'11'!H102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345</v>
      </c>
      <c r="E103" s="166">
        <v>0</v>
      </c>
      <c r="F103" s="138">
        <f t="shared" si="14"/>
        <v>0</v>
      </c>
      <c r="G103" s="445">
        <f>D103+'11'!G103</f>
        <v>4230</v>
      </c>
      <c r="H103" s="150">
        <f>E103+'11'!H103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4388</v>
      </c>
      <c r="E104" s="110">
        <v>0</v>
      </c>
      <c r="F104" s="138">
        <f t="shared" si="14"/>
        <v>0</v>
      </c>
      <c r="G104" s="134">
        <f>D104+'11'!G104</f>
        <v>46934</v>
      </c>
      <c r="H104" s="178">
        <f>E104+'11'!H104</f>
        <v>12980.249999999995</v>
      </c>
      <c r="I104" s="138">
        <f t="shared" si="15"/>
        <v>0.27656389824008171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D105+'11'!G105</f>
        <v>0</v>
      </c>
      <c r="H105" s="178">
        <f>E105+'11'!H105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D106+'11'!G106</f>
        <v>0</v>
      </c>
      <c r="H106" s="178">
        <f>E106+'11'!H106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D107+'11'!G107</f>
        <v>0</v>
      </c>
      <c r="H107" s="178">
        <f>E107+'11'!H107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63</v>
      </c>
      <c r="E108" s="110">
        <v>0</v>
      </c>
      <c r="F108" s="138">
        <f t="shared" si="14"/>
        <v>0</v>
      </c>
      <c r="G108" s="134">
        <f>D108+'11'!G108</f>
        <v>1326</v>
      </c>
      <c r="H108" s="178">
        <f>E108+'11'!H108</f>
        <v>826.59999999999991</v>
      </c>
      <c r="I108" s="138">
        <f t="shared" si="15"/>
        <v>0.62337858220211151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75</v>
      </c>
      <c r="E109" s="110">
        <v>0</v>
      </c>
      <c r="F109" s="138">
        <f t="shared" si="14"/>
        <v>0</v>
      </c>
      <c r="G109" s="134">
        <f>D109+'11'!G109</f>
        <v>475</v>
      </c>
      <c r="H109" s="178">
        <f>E109+'11'!H109</f>
        <v>281.59999999999997</v>
      </c>
      <c r="I109" s="138">
        <f t="shared" si="15"/>
        <v>0.59284210526315784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1675</v>
      </c>
      <c r="E110" s="98">
        <f>SUM(E111:E122)</f>
        <v>0</v>
      </c>
      <c r="F110" s="1053">
        <f>IFERROR((E110/D110),0)</f>
        <v>0</v>
      </c>
      <c r="G110" s="1051">
        <f>SUM(G111:G122)</f>
        <v>21544</v>
      </c>
      <c r="H110" s="98">
        <f>SUM(H111:H122)</f>
        <v>3863.8999999999996</v>
      </c>
      <c r="I110" s="1055">
        <f>IFERROR((H110/G110),0)</f>
        <v>0.17934923876717415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D111+'11'!G111</f>
        <v>0</v>
      </c>
      <c r="H111" s="110">
        <f>E111+'11'!H111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D112+'11'!G112</f>
        <v>0</v>
      </c>
      <c r="H112" s="110">
        <f>E112+'11'!H112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D113+'11'!G113</f>
        <v>0</v>
      </c>
      <c r="H113" s="110">
        <f>E113+'11'!H113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D114+'11'!G114</f>
        <v>192</v>
      </c>
      <c r="H114" s="110">
        <f>E114+'11'!H114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110">
        <v>0</v>
      </c>
      <c r="F115" s="138">
        <f t="shared" si="14"/>
        <v>0</v>
      </c>
      <c r="G115" s="134">
        <f>D115+'11'!G115</f>
        <v>0</v>
      </c>
      <c r="H115" s="110">
        <f>E115+'11'!H115</f>
        <v>0</v>
      </c>
      <c r="I115" s="138">
        <f t="shared" si="15"/>
        <v>0</v>
      </c>
      <c r="J115" s="1226"/>
      <c r="K115" s="122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D116+'11'!G116</f>
        <v>0</v>
      </c>
      <c r="H116" s="110">
        <f>E116+'11'!H116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D117+'11'!G117</f>
        <v>0</v>
      </c>
      <c r="H117" s="110">
        <f>E117+'11'!H117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>
        <f t="shared" si="14"/>
        <v>0</v>
      </c>
      <c r="G118" s="134">
        <f>D118+'11'!G118</f>
        <v>4220</v>
      </c>
      <c r="H118" s="110">
        <f>E118+'11'!H118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D119+'11'!G119</f>
        <v>0</v>
      </c>
      <c r="H119" s="110">
        <f>E119+'11'!H119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710</v>
      </c>
      <c r="E120" s="110">
        <v>0</v>
      </c>
      <c r="F120" s="138">
        <f t="shared" si="14"/>
        <v>0</v>
      </c>
      <c r="G120" s="134">
        <f>D120+'11'!G120</f>
        <v>8728</v>
      </c>
      <c r="H120" s="110">
        <f>E120+'11'!H120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D121+'11'!G121</f>
        <v>272</v>
      </c>
      <c r="H121" s="110">
        <f>E121+'11'!H121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604</v>
      </c>
      <c r="E122" s="110">
        <v>0</v>
      </c>
      <c r="F122" s="138">
        <f t="shared" si="14"/>
        <v>0</v>
      </c>
      <c r="G122" s="134">
        <f>D122+'11'!G122</f>
        <v>8132</v>
      </c>
      <c r="H122" s="110">
        <f>E122+'11'!H122</f>
        <v>1823.35</v>
      </c>
      <c r="I122" s="138">
        <f t="shared" si="15"/>
        <v>0.2242191342843089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 customHeight="1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46.22182283615237</v>
      </c>
      <c r="F126" s="157">
        <f>IFERROR(E126/D126,0)</f>
        <v>1.1412795762012931</v>
      </c>
      <c r="G126" s="204">
        <v>40.5</v>
      </c>
      <c r="H126" s="200">
        <v>45.546568350937171</v>
      </c>
      <c r="I126" s="157">
        <f>IFERROR(H126/G126,0)</f>
        <v>1.1246066259490659</v>
      </c>
      <c r="J126" s="697"/>
      <c r="K126" s="598"/>
      <c r="L126" s="154"/>
      <c r="M126" s="154"/>
      <c r="N126" s="154"/>
      <c r="O126" s="154"/>
      <c r="P126" s="154"/>
      <c r="T126" s="93"/>
    </row>
    <row r="127" spans="1:20" ht="15.75" customHeight="1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10.30463621120486</v>
      </c>
      <c r="F127" s="157">
        <f t="shared" ref="F127:F132" si="16">IFERROR(E127/D127,0)</f>
        <v>0.60615507124734469</v>
      </c>
      <c r="G127" s="204">
        <v>17</v>
      </c>
      <c r="H127" s="200">
        <v>17.827288247092898</v>
      </c>
      <c r="I127" s="157">
        <f t="shared" ref="I127:I132" si="17">IFERROR(H127/G127,0)</f>
        <v>1.0486640145348765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tr">
        <f>'01'!B128</f>
        <v>ГДж/тн.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21.648504054328139</v>
      </c>
      <c r="F129" s="157">
        <f t="shared" si="16"/>
        <v>1.0308811454441971</v>
      </c>
      <c r="G129" s="204">
        <v>21</v>
      </c>
      <c r="H129" s="200">
        <v>21.962320296005224</v>
      </c>
      <c r="I129" s="157">
        <f t="shared" si="17"/>
        <v>1.0458247760002488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1.65421032691904</v>
      </c>
      <c r="F130" s="157">
        <f t="shared" si="16"/>
        <v>3.9385960164739046E-2</v>
      </c>
      <c r="G130" s="204">
        <v>42</v>
      </c>
      <c r="H130" s="200">
        <v>21.002772563072536</v>
      </c>
      <c r="I130" s="157">
        <f t="shared" si="17"/>
        <v>0.50006601340648893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29" t="s">
        <v>165</v>
      </c>
      <c r="P130" s="629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38.440916402396539</v>
      </c>
      <c r="F131" s="157">
        <f t="shared" si="16"/>
        <v>1.0983118972113297</v>
      </c>
      <c r="G131" s="204">
        <v>35</v>
      </c>
      <c r="H131" s="200">
        <v>26.294226262176963</v>
      </c>
      <c r="I131" s="157">
        <f t="shared" si="17"/>
        <v>0.75126360749077037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73.039337953452034</v>
      </c>
      <c r="F132" s="684">
        <f t="shared" si="16"/>
        <v>0.72538820094797929</v>
      </c>
      <c r="G132" s="688">
        <v>100.69</v>
      </c>
      <c r="H132" s="683">
        <v>74.15567126128839</v>
      </c>
      <c r="I132" s="684">
        <f t="shared" si="17"/>
        <v>0.73647503487226529</v>
      </c>
      <c r="N132" s="728" t="s">
        <v>188</v>
      </c>
      <c r="O132" s="704">
        <f>O131+'11'!O132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130180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484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250097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14:K114"/>
    <mergeCell ref="L99:M99"/>
    <mergeCell ref="N99:O99"/>
    <mergeCell ref="J112:K112"/>
    <mergeCell ref="J129:J130"/>
    <mergeCell ref="J145:J146"/>
    <mergeCell ref="K142:N142"/>
    <mergeCell ref="J143:J144"/>
    <mergeCell ref="O60:P60"/>
    <mergeCell ref="J139:J140"/>
    <mergeCell ref="J141:J142"/>
    <mergeCell ref="O66:P66"/>
    <mergeCell ref="O67:P67"/>
    <mergeCell ref="O68:P68"/>
    <mergeCell ref="O72:P72"/>
    <mergeCell ref="O73:P73"/>
    <mergeCell ref="A77:P77"/>
    <mergeCell ref="A136:A138"/>
    <mergeCell ref="B136:B137"/>
    <mergeCell ref="C136:I136"/>
    <mergeCell ref="O69:P69"/>
    <mergeCell ref="O70:P70"/>
    <mergeCell ref="O71:P71"/>
    <mergeCell ref="A123:I123"/>
    <mergeCell ref="A124:A125"/>
    <mergeCell ref="K133:N133"/>
    <mergeCell ref="I78:M78"/>
    <mergeCell ref="B124:B125"/>
    <mergeCell ref="C124:C125"/>
    <mergeCell ref="D124:F124"/>
    <mergeCell ref="B97:B99"/>
    <mergeCell ref="C97:C99"/>
    <mergeCell ref="G97:I98"/>
    <mergeCell ref="G124:I124"/>
    <mergeCell ref="J106:K106"/>
    <mergeCell ref="J107:K107"/>
    <mergeCell ref="J105:K105"/>
    <mergeCell ref="J111:K111"/>
    <mergeCell ref="N129:P129"/>
    <mergeCell ref="K129:L129"/>
    <mergeCell ref="D97:F98"/>
    <mergeCell ref="O50:P50"/>
    <mergeCell ref="O63:P63"/>
    <mergeCell ref="O64:P64"/>
    <mergeCell ref="O65:P65"/>
    <mergeCell ref="P78:P79"/>
    <mergeCell ref="N78:O78"/>
    <mergeCell ref="A96:K96"/>
    <mergeCell ref="O53:P53"/>
    <mergeCell ref="O59:P59"/>
    <mergeCell ref="O62:P62"/>
    <mergeCell ref="A78:A79"/>
    <mergeCell ref="B78:B79"/>
    <mergeCell ref="C78:C79"/>
    <mergeCell ref="D78:H78"/>
    <mergeCell ref="A97:A99"/>
    <mergeCell ref="O5:P5"/>
    <mergeCell ref="O6:P6"/>
    <mergeCell ref="O7:P7"/>
    <mergeCell ref="O11:P11"/>
    <mergeCell ref="O8:P8"/>
    <mergeCell ref="O18:P18"/>
    <mergeCell ref="O19:P19"/>
    <mergeCell ref="O20:P20"/>
    <mergeCell ref="O9:P9"/>
    <mergeCell ref="O10:P10"/>
    <mergeCell ref="O12:P12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42:P42"/>
    <mergeCell ref="O43:P43"/>
    <mergeCell ref="O52:P52"/>
    <mergeCell ref="O49:P49"/>
    <mergeCell ref="O13:P13"/>
    <mergeCell ref="O14:P14"/>
    <mergeCell ref="O15:P15"/>
    <mergeCell ref="O16:P16"/>
    <mergeCell ref="O23:P23"/>
    <mergeCell ref="O38:P38"/>
    <mergeCell ref="O39:P39"/>
    <mergeCell ref="O40:P40"/>
    <mergeCell ref="O41:P41"/>
    <mergeCell ref="O17:P17"/>
    <mergeCell ref="O21:P21"/>
    <mergeCell ref="O44:P44"/>
    <mergeCell ref="O48:P48"/>
    <mergeCell ref="O46:P46"/>
    <mergeCell ref="O47:P47"/>
    <mergeCell ref="O45:P45"/>
    <mergeCell ref="O30:P30"/>
    <mergeCell ref="O22:P2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7" man="1"/>
  </rowBreak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2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5.85546875" style="82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1" ht="20.25">
      <c r="A1" s="1085" t="str">
        <f>CONCATENATE("Ежедневный отчет производства и отгрузки за 13 ",Q1)</f>
        <v>Ежедневный отчет производства и отгрузки за 13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1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1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1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  <c r="U4" s="115"/>
    </row>
    <row r="5" spans="1:21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>F6+F9</f>
        <v>0</v>
      </c>
      <c r="G5" s="89">
        <f t="shared" si="0"/>
        <v>87100</v>
      </c>
      <c r="H5" s="89">
        <f t="shared" si="0"/>
        <v>16874.071396806572</v>
      </c>
      <c r="I5" s="90">
        <f>IFERROR((H5/G5),0)</f>
        <v>0.19373216299433493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1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E6+'12'!G6</f>
        <v>0</v>
      </c>
      <c r="H6" s="110">
        <f>F6+'12'!H6</f>
        <v>6671.6154299884374</v>
      </c>
      <c r="I6" s="138"/>
      <c r="J6" s="750"/>
      <c r="K6" s="124">
        <f>J6+'12'!K6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1" hidden="1" outlineLevel="1">
      <c r="A7" s="162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10">
        <f>F7+'12'!H7</f>
        <v>0</v>
      </c>
      <c r="I7" s="99"/>
      <c r="J7" s="750"/>
      <c r="K7" s="124">
        <f>J7+'12'!K7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1" hidden="1" outlineLevel="1">
      <c r="A8" s="162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F8+'12'!H8</f>
        <v>0</v>
      </c>
      <c r="I8" s="138"/>
      <c r="J8" s="750"/>
      <c r="K8" s="124">
        <f>J8+'12'!K8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1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E9+'12'!G9</f>
        <v>87100</v>
      </c>
      <c r="H9" s="98">
        <f>F9+'12'!H9</f>
        <v>10202.455966818135</v>
      </c>
      <c r="I9" s="99">
        <f>IFERROR((H9/G9),0)</f>
        <v>0.11713497091639651</v>
      </c>
      <c r="J9" s="177">
        <f>J10+J11+J13+J12</f>
        <v>0</v>
      </c>
      <c r="K9" s="100">
        <f>J9+'12'!K9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1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E10+'12'!G10</f>
        <v>0</v>
      </c>
      <c r="H10" s="110">
        <f>F10+'12'!H10</f>
        <v>10202.455966818135</v>
      </c>
      <c r="I10" s="99"/>
      <c r="J10" s="178">
        <v>0</v>
      </c>
      <c r="K10" s="124">
        <f>J10+'12'!K10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1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E11+'12'!G11</f>
        <v>0</v>
      </c>
      <c r="H11" s="110">
        <f>F11+'12'!H11</f>
        <v>0</v>
      </c>
      <c r="I11" s="99"/>
      <c r="J11" s="178">
        <v>0</v>
      </c>
      <c r="K11" s="124">
        <f>J11+'12'!K11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1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E12+'12'!G12</f>
        <v>0</v>
      </c>
      <c r="H12" s="110">
        <f>F12+'12'!H12</f>
        <v>0</v>
      </c>
      <c r="I12" s="757">
        <f>IFERROR((H12/G12),0)</f>
        <v>0</v>
      </c>
      <c r="J12" s="178"/>
      <c r="K12" s="124">
        <f>J12+'12'!K12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1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F13+'12'!H13</f>
        <v>0</v>
      </c>
      <c r="I13" s="99"/>
      <c r="J13" s="178"/>
      <c r="K13" s="124">
        <f>J13+'12'!K13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1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6837</v>
      </c>
      <c r="F14" s="89">
        <f>SUM(F15:F21)</f>
        <v>0</v>
      </c>
      <c r="G14" s="89">
        <f>SUM(G15:G21)</f>
        <v>80871</v>
      </c>
      <c r="H14" s="89">
        <f>SUM(H15:H21)</f>
        <v>18857.68830004807</v>
      </c>
      <c r="I14" s="90">
        <f t="shared" ref="I14:I21" si="1">IFERROR((H14/G14),0)</f>
        <v>0.23318233112052614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1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110">
        <f>E15+'12'!G15</f>
        <v>0</v>
      </c>
      <c r="H15" s="110">
        <f>F15+'12'!H15</f>
        <v>0</v>
      </c>
      <c r="I15" s="138">
        <f t="shared" si="1"/>
        <v>0</v>
      </c>
      <c r="J15" s="178">
        <v>0</v>
      </c>
      <c r="K15" s="124">
        <f>J15+'12'!K15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1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1554.7304347826089</v>
      </c>
      <c r="F16" s="171">
        <v>0</v>
      </c>
      <c r="G16" s="110">
        <f>E16+'12'!G16</f>
        <v>18390.025594749797</v>
      </c>
      <c r="H16" s="110">
        <f>F16+'12'!H16</f>
        <v>3228.5002277343951</v>
      </c>
      <c r="I16" s="758">
        <f t="shared" si="1"/>
        <v>0.17555713618235017</v>
      </c>
      <c r="J16" s="751">
        <f>IFERROR(SUMIF(A101:A114,A16,E101:E114),0)+E111+E112+E113</f>
        <v>0</v>
      </c>
      <c r="K16" s="124">
        <f>J16+'12'!K16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E17+'12'!G17</f>
        <v>0</v>
      </c>
      <c r="H17" s="110">
        <f>F17+'12'!H17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J17+'12'!K17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71"/>
      <c r="G18" s="110">
        <f>E18+'12'!G18</f>
        <v>0</v>
      </c>
      <c r="H18" s="110">
        <f>F18+'12'!H18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J18+'12'!K18</f>
        <v>0</v>
      </c>
      <c r="L18" s="12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5109.872282608696</v>
      </c>
      <c r="F19" s="131">
        <v>0</v>
      </c>
      <c r="G19" s="110">
        <f>E19+'12'!G19</f>
        <v>60441.784608285481</v>
      </c>
      <c r="H19" s="110">
        <f>F19+'12'!H19</f>
        <v>15629.188072313675</v>
      </c>
      <c r="I19" s="759">
        <f t="shared" si="1"/>
        <v>0.25858250502701396</v>
      </c>
      <c r="J19" s="751">
        <f>IFERROR(SUMIF(A102:A115,A19,E102:E115),0)+E117+E115+E122</f>
        <v>0</v>
      </c>
      <c r="K19" s="124">
        <f>J19+'12'!K19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124.7233695652174</v>
      </c>
      <c r="F20" s="110">
        <v>0</v>
      </c>
      <c r="G20" s="110">
        <f>E20+'12'!G20</f>
        <v>1475.2820857260049</v>
      </c>
      <c r="H20" s="110">
        <f>F20+'12'!H20</f>
        <v>0</v>
      </c>
      <c r="I20" s="138">
        <f t="shared" si="1"/>
        <v>0</v>
      </c>
      <c r="J20" s="751">
        <f>IFERROR(SUMIF(A102:A115,A20,E102:E115),0)</f>
        <v>0</v>
      </c>
      <c r="K20" s="124">
        <f>J20+'12'!K20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47.673913043478258</v>
      </c>
      <c r="F21" s="110">
        <v>0</v>
      </c>
      <c r="G21" s="110">
        <f>E21+'12'!G21</f>
        <v>563.90771123872025</v>
      </c>
      <c r="H21" s="110">
        <f>F21+'12'!H21</f>
        <v>0</v>
      </c>
      <c r="I21" s="138">
        <f t="shared" si="1"/>
        <v>0</v>
      </c>
      <c r="J21" s="751">
        <f>IFERROR(SUMIF(A102:A115,A21,E102:E115),0)</f>
        <v>0</v>
      </c>
      <c r="K21" s="124">
        <f>J21+'12'!K21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98">
        <v>0</v>
      </c>
      <c r="G22" s="110">
        <f>E22+'12'!G22</f>
        <v>0</v>
      </c>
      <c r="H22" s="110">
        <f>F22+'12'!H22</f>
        <v>2130.1044634377968</v>
      </c>
      <c r="I22" s="99"/>
      <c r="J22" s="751">
        <f>IFERROR(SUMIF(A103:A123,A22,E103:E123),0)+E109</f>
        <v>0</v>
      </c>
      <c r="K22" s="124">
        <f>J22+'12'!K22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E23+'12'!G23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J23+'12'!K23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E24+'12'!G24</f>
        <v>0</v>
      </c>
      <c r="H24" s="110">
        <f>F24+'12'!H24</f>
        <v>0</v>
      </c>
      <c r="I24" s="99"/>
      <c r="J24" s="752">
        <v>0</v>
      </c>
      <c r="K24" s="124">
        <f>J24+'12'!K24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E25+'12'!G25</f>
        <v>0</v>
      </c>
      <c r="H25" s="110">
        <f>F25+'12'!H25</f>
        <v>0</v>
      </c>
      <c r="I25" s="99"/>
      <c r="J25" s="752">
        <v>0</v>
      </c>
      <c r="K25" s="124">
        <f>J25+'12'!K25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E26+'12'!G26</f>
        <v>0</v>
      </c>
      <c r="H26" s="110">
        <f>F26+'12'!H26</f>
        <v>0</v>
      </c>
      <c r="I26" s="99"/>
      <c r="J26" s="752">
        <v>0</v>
      </c>
      <c r="K26" s="124">
        <f>J26+'12'!K26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E27+'12'!G27</f>
        <v>0</v>
      </c>
      <c r="H27" s="110">
        <f>F27+'12'!H27</f>
        <v>0</v>
      </c>
      <c r="I27" s="99"/>
      <c r="J27" s="752"/>
      <c r="K27" s="124">
        <f>J27+'12'!K27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E28+'12'!G28</f>
        <v>0</v>
      </c>
      <c r="H28" s="110">
        <f>F28+'12'!H28</f>
        <v>0</v>
      </c>
      <c r="I28" s="99"/>
      <c r="J28" s="752"/>
      <c r="K28" s="124">
        <f>J28+'12'!K28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E29+'12'!G29</f>
        <v>0</v>
      </c>
      <c r="H29" s="110">
        <f>F29+'12'!H29</f>
        <v>0</v>
      </c>
      <c r="I29" s="99"/>
      <c r="J29" s="752"/>
      <c r="K29" s="124">
        <f>J29+'12'!K29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E30+'12'!G30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J30+'12'!K30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2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E31+'12'!G31</f>
        <v>0</v>
      </c>
      <c r="H31" s="110">
        <f>F31+'12'!H31</f>
        <v>0</v>
      </c>
      <c r="I31" s="99"/>
      <c r="J31" s="865">
        <v>0</v>
      </c>
      <c r="K31" s="124">
        <f>J31+'12'!K31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2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E32+'12'!G32</f>
        <v>0</v>
      </c>
      <c r="H32" s="110">
        <f>F32+'12'!H32</f>
        <v>554.40000000000009</v>
      </c>
      <c r="I32" s="99"/>
      <c r="J32" s="865">
        <v>0</v>
      </c>
      <c r="K32" s="124">
        <f>J32+'12'!K32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1" s="120" customFormat="1" hidden="1" outlineLevel="2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E33+'12'!G33</f>
        <v>0</v>
      </c>
      <c r="H33" s="110">
        <f>F33+'12'!H33</f>
        <v>0</v>
      </c>
      <c r="I33" s="99"/>
      <c r="J33" s="865">
        <v>0</v>
      </c>
      <c r="K33" s="124">
        <f>J33+'12'!K33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1" s="120" customFormat="1" hidden="1" outlineLevel="2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E34+'12'!G34</f>
        <v>0</v>
      </c>
      <c r="H34" s="110">
        <f>F34+'12'!H34</f>
        <v>0</v>
      </c>
      <c r="I34" s="99"/>
      <c r="J34" s="865"/>
      <c r="K34" s="124">
        <f>J34+'12'!K34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1" s="120" customFormat="1" hidden="1" outlineLevel="2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E35+'12'!G35</f>
        <v>0</v>
      </c>
      <c r="H35" s="110">
        <f>F35+'12'!H35</f>
        <v>0</v>
      </c>
      <c r="I35" s="99"/>
      <c r="J35" s="865"/>
      <c r="K35" s="124">
        <f>J35+'12'!K35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1" s="120" customFormat="1" hidden="1" outlineLevel="2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E36+'12'!G36</f>
        <v>0</v>
      </c>
      <c r="H36" s="110">
        <f>F36+'12'!H36</f>
        <v>0</v>
      </c>
      <c r="I36" s="99"/>
      <c r="J36" s="110">
        <v>0</v>
      </c>
      <c r="K36" s="124">
        <f>J36+'12'!K36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1" s="120" customFormat="1" hidden="1" outlineLevel="2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E37+'12'!G37</f>
        <v>0</v>
      </c>
      <c r="H37" s="110">
        <f>F37+'12'!H37</f>
        <v>0</v>
      </c>
      <c r="I37" s="99"/>
      <c r="J37" s="110">
        <v>0</v>
      </c>
      <c r="K37" s="124">
        <f>J37+'12'!K37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E38+'12'!G38</f>
        <v>64563.077153271079</v>
      </c>
      <c r="H38" s="676">
        <f>F38+'12'!H38</f>
        <v>9132.5707721894778</v>
      </c>
      <c r="I38" s="760">
        <f>IFERROR((H38/G38),0)</f>
        <v>0.14145191299524015</v>
      </c>
      <c r="J38" s="954">
        <f>SUM(J39:J40)</f>
        <v>0</v>
      </c>
      <c r="K38" s="677">
        <f>J38+'12'!K38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F39+'12'!H39</f>
        <v>6840.5707721894778</v>
      </c>
      <c r="I39" s="138"/>
      <c r="J39" s="750">
        <f>F39</f>
        <v>0</v>
      </c>
      <c r="K39" s="124">
        <f>J39+'12'!K39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1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F40+'12'!H40</f>
        <v>2292</v>
      </c>
      <c r="I40" s="138"/>
      <c r="J40" s="178">
        <v>0</v>
      </c>
      <c r="K40" s="124">
        <f>J40+'12'!K40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1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F41+'12'!H41</f>
        <v>0</v>
      </c>
      <c r="I41" s="138"/>
      <c r="J41" s="178"/>
      <c r="K41" s="124">
        <f>J41+'12'!K41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1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F42+'12'!H42</f>
        <v>0</v>
      </c>
      <c r="I42" s="138"/>
      <c r="J42" s="178"/>
      <c r="K42" s="124">
        <f>J42+'12'!K42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E43+'12'!G43</f>
        <v>41860.814145255819</v>
      </c>
      <c r="H43" s="110">
        <f>F43+'12'!H43</f>
        <v>8403.7999999999993</v>
      </c>
      <c r="I43" s="138">
        <f>IFERROR((H43/G43),0)</f>
        <v>0.20075577056000524</v>
      </c>
      <c r="J43" s="178">
        <f>F43</f>
        <v>0</v>
      </c>
      <c r="K43" s="124">
        <f>J43+'12'!K43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1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E44+'12'!G44</f>
        <v>17700.337671792277</v>
      </c>
      <c r="H44" s="110">
        <f>F44+'12'!H44</f>
        <v>7255</v>
      </c>
      <c r="I44" s="138">
        <f>IFERROR((H44/G44),0)</f>
        <v>0.40987918617856417</v>
      </c>
      <c r="J44" s="178">
        <v>0</v>
      </c>
      <c r="K44" s="124">
        <f>J44+'12'!K44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1" s="120" customFormat="1" hidden="1" outlineLevel="1">
      <c r="A45" s="103" t="s">
        <v>70</v>
      </c>
      <c r="B45" s="119"/>
      <c r="C45" s="149"/>
      <c r="D45" s="149"/>
      <c r="E45" s="134"/>
      <c r="F45" s="110"/>
      <c r="G45" s="110"/>
      <c r="H45" s="110">
        <f>F45+'12'!H45</f>
        <v>0</v>
      </c>
      <c r="I45" s="138"/>
      <c r="J45" s="178"/>
      <c r="K45" s="124">
        <f>J45+'12'!K45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1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F46+'12'!H46</f>
        <v>0</v>
      </c>
      <c r="I46" s="138"/>
      <c r="J46" s="178"/>
      <c r="K46" s="124">
        <f>J46+'12'!K46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1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F47+'12'!H47</f>
        <v>0</v>
      </c>
      <c r="I47" s="138"/>
      <c r="J47" s="178"/>
      <c r="K47" s="124">
        <f>J47+'12'!K47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1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E48+'12'!G48</f>
        <v>103420.83494710263</v>
      </c>
      <c r="H48" s="110">
        <f>F48+'12'!H48</f>
        <v>15244.370772189477</v>
      </c>
      <c r="I48" s="138">
        <f>IFERROR((H48/G48),0)</f>
        <v>0.14740135080118644</v>
      </c>
      <c r="J48" s="750">
        <v>0</v>
      </c>
      <c r="K48" s="124">
        <f>J48+'12'!K48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  <c r="U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140898.95024371953</v>
      </c>
      <c r="H49" s="110">
        <f>F49+'12'!H49</f>
        <v>32176.186994748638</v>
      </c>
      <c r="I49" s="138">
        <f>IFERROR((H49/G49),0)</f>
        <v>0.22836356792646059</v>
      </c>
      <c r="J49" s="178">
        <f>SUM(J50:J51)</f>
        <v>0</v>
      </c>
      <c r="K49" s="124">
        <f>J49+'12'!K49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E50+'12'!G50</f>
        <v>0</v>
      </c>
      <c r="H50" s="110">
        <f>F50+'12'!H50</f>
        <v>0</v>
      </c>
      <c r="I50" s="138">
        <f>IFERROR((H50/G50),0)</f>
        <v>0</v>
      </c>
      <c r="J50" s="178"/>
      <c r="K50" s="124">
        <f>J50+'12'!K50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E51+'12'!G51</f>
        <v>140898.95024371953</v>
      </c>
      <c r="H51" s="110">
        <f>F51+'12'!H51</f>
        <v>32176.186994748638</v>
      </c>
      <c r="I51" s="138">
        <f>IFERROR((H51/G51),0)</f>
        <v>0.22836356792646059</v>
      </c>
      <c r="J51" s="178">
        <f>O51-P51</f>
        <v>0</v>
      </c>
      <c r="K51" s="124">
        <f>J51+'12'!K51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184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24">
        <f>J52+'12'!K52</f>
        <v>0</v>
      </c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E53+'12'!G53</f>
        <v>0</v>
      </c>
      <c r="H53" s="110">
        <f>F53+'12'!H53</f>
        <v>0</v>
      </c>
      <c r="I53" s="759">
        <f t="shared" ref="I53:I58" si="4">IFERROR((H53/G53),0)</f>
        <v>0</v>
      </c>
      <c r="J53" s="754"/>
      <c r="K53" s="124">
        <f>J53+'12'!K53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E54+'12'!G54</f>
        <v>4193.5483870967737</v>
      </c>
      <c r="H54" s="110">
        <f>F54+'12'!H54</f>
        <v>0</v>
      </c>
      <c r="I54" s="759">
        <f t="shared" si="4"/>
        <v>0</v>
      </c>
      <c r="J54" s="754">
        <v>0</v>
      </c>
      <c r="K54" s="124">
        <f>J54+'12'!K54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E55+'12'!G55</f>
        <v>7129.0322580645143</v>
      </c>
      <c r="H55" s="110">
        <f>F55+'12'!H55</f>
        <v>0</v>
      </c>
      <c r="I55" s="759">
        <f t="shared" si="4"/>
        <v>0</v>
      </c>
      <c r="J55" s="754">
        <v>0</v>
      </c>
      <c r="K55" s="124">
        <f>J55+'12'!K55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E56+'12'!G56</f>
        <v>0</v>
      </c>
      <c r="H56" s="110">
        <f>F56+'12'!H56</f>
        <v>0</v>
      </c>
      <c r="I56" s="759">
        <f t="shared" si="4"/>
        <v>0</v>
      </c>
      <c r="J56" s="754"/>
      <c r="K56" s="124">
        <f>J56+'12'!K56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/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E57+'12'!G57</f>
        <v>0</v>
      </c>
      <c r="H57" s="110">
        <f>F57+'12'!H57</f>
        <v>0</v>
      </c>
      <c r="I57" s="759">
        <f t="shared" si="4"/>
        <v>0</v>
      </c>
      <c r="J57" s="754"/>
      <c r="K57" s="124">
        <f>J57+'12'!K57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E58+'12'!G58</f>
        <v>0</v>
      </c>
      <c r="H58" s="110">
        <f>F58+'12'!H58</f>
        <v>0</v>
      </c>
      <c r="I58" s="759">
        <f t="shared" si="4"/>
        <v>0</v>
      </c>
      <c r="J58" s="754">
        <v>0</v>
      </c>
      <c r="K58" s="124">
        <f>J58+'12'!K58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F59+'12'!H59</f>
        <v>0</v>
      </c>
      <c r="I59" s="759"/>
      <c r="J59" s="754"/>
      <c r="K59" s="124">
        <f>J59+'12'!K59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F60+'12'!H60</f>
        <v>0</v>
      </c>
      <c r="I60" s="759"/>
      <c r="J60" s="754"/>
      <c r="K60" s="124">
        <f>J60+'12'!K60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F61+'12'!H61</f>
        <v>0</v>
      </c>
      <c r="I61" s="759"/>
      <c r="J61" s="754">
        <f>D139+D141</f>
        <v>0</v>
      </c>
      <c r="K61" s="124">
        <f>J61+'12'!K61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F62+'12'!H62</f>
        <v>0</v>
      </c>
      <c r="I62" s="522"/>
      <c r="J62" s="754">
        <v>0</v>
      </c>
      <c r="K62" s="124">
        <f>J62+'12'!K62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F63+'12'!H63</f>
        <v>3329.1499999999996</v>
      </c>
      <c r="I63" s="1059"/>
      <c r="J63" s="1068">
        <v>0</v>
      </c>
      <c r="K63" s="668">
        <f>J63+'12'!K63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F64+'12'!H64</f>
        <v>0</v>
      </c>
      <c r="I64" s="522"/>
      <c r="J64" s="754"/>
      <c r="K64" s="124">
        <f>J64+'12'!K64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F65+'12'!H65</f>
        <v>0</v>
      </c>
      <c r="I65" s="759"/>
      <c r="J65" s="754"/>
      <c r="K65" s="124">
        <f>J65+'12'!K65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F66+'12'!H66</f>
        <v>0</v>
      </c>
      <c r="I66" s="759"/>
      <c r="J66" s="754"/>
      <c r="K66" s="124">
        <f>J66+'12'!K66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F67+'12'!H67</f>
        <v>0</v>
      </c>
      <c r="I67" s="759"/>
      <c r="J67" s="754"/>
      <c r="K67" s="124">
        <f>J67+'12'!K67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F68+'12'!H68</f>
        <v>0</v>
      </c>
      <c r="I68" s="759"/>
      <c r="J68" s="754"/>
      <c r="K68" s="124">
        <f>J68+'12'!K68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520">
        <v>0</v>
      </c>
      <c r="G69" s="110"/>
      <c r="H69" s="110">
        <f>F69+'12'!H69</f>
        <v>0</v>
      </c>
      <c r="I69" s="759"/>
      <c r="J69" s="754">
        <v>0</v>
      </c>
      <c r="K69" s="124">
        <f>J69+'12'!K69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F70+'12'!H70</f>
        <v>3329.1499999999996</v>
      </c>
      <c r="I70" s="759"/>
      <c r="J70" s="754"/>
      <c r="K70" s="124">
        <f>J70+'12'!K70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F71+'12'!H71</f>
        <v>0</v>
      </c>
      <c r="I71" s="759"/>
      <c r="J71" s="754"/>
      <c r="K71" s="124">
        <f>J71+'12'!K71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F72+'12'!H72</f>
        <v>1911.376034856974</v>
      </c>
      <c r="I72" s="388"/>
      <c r="J72" s="756">
        <f>K131</f>
        <v>0</v>
      </c>
      <c r="K72" s="395">
        <f>J72+'12'!K72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F73+'12'!H73</f>
        <v>0</v>
      </c>
      <c r="I73" s="934"/>
      <c r="J73" s="931"/>
      <c r="K73" s="935">
        <f>J73+'12'!K73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24*13-K80</f>
        <v>312</v>
      </c>
      <c r="M80" s="139">
        <f>K80/(24*13)</f>
        <v>0</v>
      </c>
      <c r="N80" s="965"/>
      <c r="O80" s="302">
        <f>N80+'12'!O80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24*13-K81</f>
        <v>312</v>
      </c>
      <c r="M81" s="139">
        <f>K81/(24*13)</f>
        <v>0</v>
      </c>
      <c r="N81" s="965"/>
      <c r="O81" s="302">
        <f>N81+'12'!O81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5" si="12">IFERROR(O82/K82,0)</f>
        <v>43.535460826585258</v>
      </c>
      <c r="J82" s="138">
        <f t="shared" si="10"/>
        <v>0.96745468503522791</v>
      </c>
      <c r="K82" s="134">
        <f>F82+'12'!K82</f>
        <v>43.903888888888886</v>
      </c>
      <c r="L82" s="110">
        <f>24*13-K82</f>
        <v>268.0961111111111</v>
      </c>
      <c r="M82" s="139">
        <f>K82/(24*13)</f>
        <v>0.14071759259259259</v>
      </c>
      <c r="N82" s="716">
        <v>0</v>
      </c>
      <c r="O82" s="303">
        <f>N82+'12'!O82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56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F83+'12'!K83</f>
        <v>64.575555555555553</v>
      </c>
      <c r="L83" s="134">
        <f>G83+'12'!L83</f>
        <v>247.42444444444445</v>
      </c>
      <c r="M83" s="139">
        <f>K83/(24*13)</f>
        <v>0.20697293447293447</v>
      </c>
      <c r="N83" s="716">
        <v>0</v>
      </c>
      <c r="O83" s="303">
        <f>N83+'12'!O83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56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F84+'12'!K84</f>
        <v>64.977499999999992</v>
      </c>
      <c r="L84" s="134">
        <f>G84+'12'!L84</f>
        <v>247.02250000000001</v>
      </c>
      <c r="M84" s="139">
        <f>K84/(24*13)</f>
        <v>0.20826121794871794</v>
      </c>
      <c r="N84" s="716">
        <v>0</v>
      </c>
      <c r="O84" s="303">
        <f>N84+'12'!O84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56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F85+'12'!K85</f>
        <v>0</v>
      </c>
      <c r="L85" s="134">
        <f>G85+'12'!L85</f>
        <v>312</v>
      </c>
      <c r="M85" s="139">
        <f>K85/(24*12)</f>
        <v>0</v>
      </c>
      <c r="N85" s="965">
        <v>0</v>
      </c>
      <c r="O85" s="302">
        <f>N85+'12'!O85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56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F86+'12'!K86</f>
        <v>0</v>
      </c>
      <c r="L86" s="134">
        <f>G86+'12'!L86</f>
        <v>288</v>
      </c>
      <c r="M86" s="139">
        <f>K86/(24*12)</f>
        <v>0</v>
      </c>
      <c r="N86" s="965">
        <v>0</v>
      </c>
      <c r="O86" s="303">
        <f>N86+'12'!O86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56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F87+'12'!K87</f>
        <v>0</v>
      </c>
      <c r="L87" s="134">
        <f>G87+'12'!L87</f>
        <v>288</v>
      </c>
      <c r="M87" s="139">
        <f>K87/(24*12)</f>
        <v>0</v>
      </c>
      <c r="N87" s="965">
        <v>0</v>
      </c>
      <c r="O87" s="302">
        <f>N87+'12'!O87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56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F88+'12'!K88</f>
        <v>0</v>
      </c>
      <c r="L88" s="134">
        <f>G88+'12'!L88</f>
        <v>288</v>
      </c>
      <c r="M88" s="139">
        <f>K88/(24*12)</f>
        <v>0</v>
      </c>
      <c r="N88" s="716">
        <v>0</v>
      </c>
      <c r="O88" s="303">
        <f>N88+'12'!O88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F89+'12'!K89</f>
        <v>1.6950000000000001</v>
      </c>
      <c r="L89" s="134">
        <f>G89+'12'!L89</f>
        <v>310.30500000000001</v>
      </c>
      <c r="M89" s="139">
        <f t="shared" ref="M89:M94" si="13">K89/(24*13)</f>
        <v>5.4326923076923076E-3</v>
      </c>
      <c r="N89" s="1001">
        <v>0</v>
      </c>
      <c r="O89" s="303">
        <f>N89+'12'!O89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F90+'12'!K90</f>
        <v>32.664166666666674</v>
      </c>
      <c r="L90" s="134">
        <f>G90+'12'!L90</f>
        <v>279.33583333333331</v>
      </c>
      <c r="M90" s="139">
        <f t="shared" si="13"/>
        <v>0.10469284188034191</v>
      </c>
      <c r="N90" s="1001">
        <v>0</v>
      </c>
      <c r="O90" s="303">
        <f>N90+'12'!O90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56">
        <f t="shared" si="8"/>
        <v>24</v>
      </c>
      <c r="H91" s="138">
        <f t="shared" si="9"/>
        <v>0</v>
      </c>
      <c r="I91" s="134">
        <f t="shared" si="12"/>
        <v>0</v>
      </c>
      <c r="J91" s="138">
        <f t="shared" si="10"/>
        <v>0</v>
      </c>
      <c r="K91" s="134">
        <f>F91+'12'!K91</f>
        <v>0</v>
      </c>
      <c r="L91" s="134">
        <f>G91+'12'!L91</f>
        <v>312</v>
      </c>
      <c r="M91" s="139">
        <f t="shared" si="13"/>
        <v>0</v>
      </c>
      <c r="N91" s="716">
        <v>0</v>
      </c>
      <c r="O91" s="303">
        <f>N91+'12'!O91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56">
        <f t="shared" si="8"/>
        <v>24</v>
      </c>
      <c r="H92" s="138">
        <f t="shared" si="9"/>
        <v>0</v>
      </c>
      <c r="I92" s="134">
        <f t="shared" si="12"/>
        <v>140.11316982515353</v>
      </c>
      <c r="J92" s="138">
        <f t="shared" si="10"/>
        <v>0.89583581578868565</v>
      </c>
      <c r="K92" s="134">
        <f>F92+'12'!K92</f>
        <v>71.521666666666675</v>
      </c>
      <c r="L92" s="134">
        <f>G92+'12'!L92</f>
        <v>240.47833333333332</v>
      </c>
      <c r="M92" s="139">
        <f t="shared" si="13"/>
        <v>0.22923611111111114</v>
      </c>
      <c r="N92" s="716">
        <v>0</v>
      </c>
      <c r="O92" s="303">
        <f>N92+'12'!O92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56">
        <f t="shared" si="8"/>
        <v>24</v>
      </c>
      <c r="H93" s="138">
        <f t="shared" si="9"/>
        <v>0</v>
      </c>
      <c r="I93" s="134">
        <f t="shared" si="12"/>
        <v>144.80399190974401</v>
      </c>
      <c r="J93" s="138">
        <f t="shared" si="10"/>
        <v>0.94516947445354405</v>
      </c>
      <c r="K93" s="134">
        <f>F93+'12'!K93</f>
        <v>64.288611111111109</v>
      </c>
      <c r="L93" s="134">
        <f>G93+'12'!L93</f>
        <v>247.71138888888891</v>
      </c>
      <c r="M93" s="139">
        <f t="shared" si="13"/>
        <v>0.20605324074074075</v>
      </c>
      <c r="N93" s="716">
        <v>0</v>
      </c>
      <c r="O93" s="303">
        <f>N93+'12'!O93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884">
        <f t="shared" si="8"/>
        <v>24</v>
      </c>
      <c r="H94" s="746">
        <f t="shared" si="9"/>
        <v>0</v>
      </c>
      <c r="I94" s="765">
        <f t="shared" si="12"/>
        <v>89.046875</v>
      </c>
      <c r="J94" s="746">
        <f t="shared" si="10"/>
        <v>1.4841145833333333</v>
      </c>
      <c r="K94" s="765">
        <f>F94+'12'!K94</f>
        <v>32</v>
      </c>
      <c r="L94" s="765">
        <f>G94+'12'!L94</f>
        <v>280</v>
      </c>
      <c r="M94" s="880">
        <f t="shared" si="13"/>
        <v>0.10256410256410256</v>
      </c>
      <c r="N94" s="966">
        <f>E111+E120+E121+E122</f>
        <v>0</v>
      </c>
      <c r="O94" s="871">
        <f>N94+'12'!O94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887">
        <f>24-F95</f>
        <v>24</v>
      </c>
      <c r="H95" s="444">
        <f>F95/24</f>
        <v>0</v>
      </c>
      <c r="I95" s="443">
        <f t="shared" si="12"/>
        <v>142.05714285714285</v>
      </c>
      <c r="J95" s="444">
        <f>IFERROR(I95/C95,0)</f>
        <v>0</v>
      </c>
      <c r="K95" s="443">
        <f>F95+'12'!K95</f>
        <v>7</v>
      </c>
      <c r="L95" s="443">
        <f>G95+'12'!L95</f>
        <v>305</v>
      </c>
      <c r="M95" s="723">
        <f>K95/(24*13)</f>
        <v>2.2435897435897436E-2</v>
      </c>
      <c r="N95" s="967">
        <f>E112+E114+E115+E118+E119</f>
        <v>0</v>
      </c>
      <c r="O95" s="713">
        <f>N95+'12'!O95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832" t="s">
        <v>3</v>
      </c>
      <c r="H99" s="834" t="s">
        <v>2</v>
      </c>
      <c r="I99" s="833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5003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81371</v>
      </c>
      <c r="H100" s="89">
        <f>H101+H110</f>
        <v>19708.249999999993</v>
      </c>
      <c r="I100" s="90">
        <f t="shared" ref="I100:I122" si="15">IFERROR((H100/G100),0)</f>
        <v>0.24220238168389222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5003</v>
      </c>
      <c r="E101" s="98">
        <f>SUM(E102:E109)</f>
        <v>0</v>
      </c>
      <c r="F101" s="99">
        <f t="shared" si="14"/>
        <v>0</v>
      </c>
      <c r="G101" s="169">
        <f>SUM(G102:G109)</f>
        <v>57968</v>
      </c>
      <c r="H101" s="98">
        <f>SUM(H102:H109)</f>
        <v>15844.349999999995</v>
      </c>
      <c r="I101" s="99">
        <f t="shared" si="15"/>
        <v>0.27332925062103219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D102+'12'!G102</f>
        <v>0</v>
      </c>
      <c r="H102" s="178">
        <f>E102+'12'!H102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395</v>
      </c>
      <c r="E103" s="166">
        <v>0</v>
      </c>
      <c r="F103" s="138">
        <f t="shared" si="14"/>
        <v>0</v>
      </c>
      <c r="G103" s="445">
        <f>D103+'12'!G103</f>
        <v>4625</v>
      </c>
      <c r="H103" s="150">
        <f>E103+'12'!H103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4446</v>
      </c>
      <c r="E104" s="110">
        <v>0</v>
      </c>
      <c r="F104" s="138">
        <f t="shared" si="14"/>
        <v>0</v>
      </c>
      <c r="G104" s="134">
        <f>D104+'12'!G104</f>
        <v>51380</v>
      </c>
      <c r="H104" s="178">
        <f>E104+'12'!H104</f>
        <v>12980.249999999995</v>
      </c>
      <c r="I104" s="138">
        <f t="shared" si="15"/>
        <v>0.25263234721681577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D105+'12'!G105</f>
        <v>0</v>
      </c>
      <c r="H105" s="178">
        <f>E105+'12'!H105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D106+'12'!G106</f>
        <v>0</v>
      </c>
      <c r="H106" s="178">
        <f>E106+'12'!H106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D107+'12'!G107</f>
        <v>0</v>
      </c>
      <c r="H107" s="178">
        <f>E107+'12'!H107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137</v>
      </c>
      <c r="E108" s="110">
        <v>0</v>
      </c>
      <c r="F108" s="138">
        <f t="shared" si="14"/>
        <v>0</v>
      </c>
      <c r="G108" s="134">
        <f>D108+'12'!G108</f>
        <v>1463</v>
      </c>
      <c r="H108" s="178">
        <f>E108+'12'!H108</f>
        <v>826.59999999999991</v>
      </c>
      <c r="I108" s="138">
        <f t="shared" si="15"/>
        <v>0.56500341763499651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134">
        <f>D109+'12'!G109</f>
        <v>500</v>
      </c>
      <c r="H109" s="178">
        <f>E109+'12'!H109</f>
        <v>281.59999999999997</v>
      </c>
      <c r="I109" s="138">
        <f t="shared" si="15"/>
        <v>0.56319999999999992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1859</v>
      </c>
      <c r="E110" s="98">
        <f>SUM(E111:E122)</f>
        <v>0</v>
      </c>
      <c r="F110" s="1053">
        <f>IFERROR((E110/D110),0)</f>
        <v>0</v>
      </c>
      <c r="G110" s="1051">
        <f>SUM(G111:G122)</f>
        <v>23403</v>
      </c>
      <c r="H110" s="98">
        <f>SUM(H111:H122)</f>
        <v>3863.8999999999996</v>
      </c>
      <c r="I110" s="1053">
        <f>IFERROR((H110/G110),0)</f>
        <v>0.16510276460282869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D111+'12'!G111</f>
        <v>0</v>
      </c>
      <c r="H111" s="110">
        <f>E111+'12'!H111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D112+'12'!G112</f>
        <v>0</v>
      </c>
      <c r="H112" s="110">
        <f>E112+'12'!H112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D113+'12'!G113</f>
        <v>0</v>
      </c>
      <c r="H113" s="110">
        <f>E113+'12'!H113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D114+'12'!G114</f>
        <v>208</v>
      </c>
      <c r="H114" s="110">
        <f>E114+'12'!H114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D115+'12'!G115</f>
        <v>0</v>
      </c>
      <c r="H115" s="110">
        <f>E115+'12'!H115</f>
        <v>0</v>
      </c>
      <c r="I115" s="138">
        <f t="shared" si="15"/>
        <v>0</v>
      </c>
      <c r="J115" s="1226"/>
      <c r="K115" s="122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D116+'12'!G116</f>
        <v>0</v>
      </c>
      <c r="H116" s="110">
        <f>E116+'12'!H116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D117+'12'!G117</f>
        <v>0</v>
      </c>
      <c r="H117" s="110">
        <f>E117+'12'!H117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325</v>
      </c>
      <c r="E118" s="110">
        <v>0</v>
      </c>
      <c r="F118" s="138">
        <f t="shared" si="14"/>
        <v>0</v>
      </c>
      <c r="G118" s="134">
        <f>D118+'12'!G118</f>
        <v>4545</v>
      </c>
      <c r="H118" s="110">
        <f>E118+'12'!H118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D119+'12'!G119</f>
        <v>0</v>
      </c>
      <c r="H119" s="110">
        <f>E119+'12'!H119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710</v>
      </c>
      <c r="E120" s="110">
        <v>0</v>
      </c>
      <c r="F120" s="138">
        <f t="shared" si="14"/>
        <v>0</v>
      </c>
      <c r="G120" s="134">
        <f>D120+'12'!G120</f>
        <v>9438</v>
      </c>
      <c r="H120" s="110">
        <f>E120+'12'!H120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272</v>
      </c>
      <c r="E121" s="110">
        <v>0</v>
      </c>
      <c r="F121" s="138">
        <f t="shared" si="14"/>
        <v>0</v>
      </c>
      <c r="G121" s="134">
        <f>D121+'12'!G121</f>
        <v>544</v>
      </c>
      <c r="H121" s="110">
        <f>E121+'12'!H121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536</v>
      </c>
      <c r="E122" s="110">
        <v>0</v>
      </c>
      <c r="F122" s="138">
        <f t="shared" si="14"/>
        <v>0</v>
      </c>
      <c r="G122" s="134">
        <f>D122+'12'!G122</f>
        <v>8668</v>
      </c>
      <c r="H122" s="110">
        <f>E122+'12'!H122</f>
        <v>1823.35</v>
      </c>
      <c r="I122" s="138">
        <f t="shared" si="15"/>
        <v>0.21035417628057221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347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38.484323771688665</v>
      </c>
      <c r="F126" s="157">
        <f>IFERROR(E126/D126,0)</f>
        <v>0.95023021658490525</v>
      </c>
      <c r="G126" s="204">
        <v>40.5</v>
      </c>
      <c r="H126" s="200">
        <v>44.898019340306853</v>
      </c>
      <c r="I126" s="157">
        <f>IFERROR(H126/G126,0)</f>
        <v>1.1085930701310334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15.565902331406617</v>
      </c>
      <c r="F127" s="157">
        <f t="shared" ref="F127:F132" si="16">IFERROR(E127/D127,0)</f>
        <v>0.91564131361215395</v>
      </c>
      <c r="G127" s="204">
        <v>17</v>
      </c>
      <c r="H127" s="200">
        <v>17.606916045611037</v>
      </c>
      <c r="I127" s="157">
        <f t="shared" ref="I127:I132" si="17">IFERROR(H127/G127,0)</f>
        <v>1.0357009438594726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19.700648645649022</v>
      </c>
      <c r="F129" s="157">
        <f t="shared" si="16"/>
        <v>0.93812612598328671</v>
      </c>
      <c r="G129" s="204">
        <v>21</v>
      </c>
      <c r="H129" s="200">
        <v>21.759045297678082</v>
      </c>
      <c r="I129" s="157">
        <f t="shared" si="17"/>
        <v>1.0361450141751467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3.6820704212191777</v>
      </c>
      <c r="F130" s="157">
        <f t="shared" si="16"/>
        <v>8.7668343362361373E-2</v>
      </c>
      <c r="G130" s="204">
        <v>42</v>
      </c>
      <c r="H130" s="200">
        <v>18.993895300662352</v>
      </c>
      <c r="I130" s="157">
        <f t="shared" si="17"/>
        <v>0.45223560239672267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0" t="s">
        <v>165</v>
      </c>
      <c r="P130" s="630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74.514787679630601</v>
      </c>
      <c r="F131" s="157">
        <f t="shared" si="16"/>
        <v>2.1289939337037316</v>
      </c>
      <c r="G131" s="204">
        <v>35</v>
      </c>
      <c r="H131" s="200">
        <v>28.73135105203076</v>
      </c>
      <c r="I131" s="157">
        <f t="shared" si="17"/>
        <v>0.82089574434373602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155.34745265447984</v>
      </c>
      <c r="F132" s="684">
        <f t="shared" si="16"/>
        <v>1.542829006400634</v>
      </c>
      <c r="G132" s="688">
        <v>100.69</v>
      </c>
      <c r="H132" s="683">
        <v>78.055218666844709</v>
      </c>
      <c r="I132" s="684">
        <f t="shared" si="17"/>
        <v>0.77520328400878646</v>
      </c>
      <c r="N132" s="728" t="s">
        <v>188</v>
      </c>
      <c r="O132" s="704">
        <f>O131+'12'!O132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130235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257604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14:K114"/>
    <mergeCell ref="L99:M99"/>
    <mergeCell ref="N99:O99"/>
    <mergeCell ref="J112:K112"/>
    <mergeCell ref="J129:J130"/>
    <mergeCell ref="J145:J146"/>
    <mergeCell ref="K142:N142"/>
    <mergeCell ref="J143:J144"/>
    <mergeCell ref="O60:P60"/>
    <mergeCell ref="J139:J140"/>
    <mergeCell ref="J141:J142"/>
    <mergeCell ref="O66:P66"/>
    <mergeCell ref="O67:P67"/>
    <mergeCell ref="O68:P68"/>
    <mergeCell ref="O72:P72"/>
    <mergeCell ref="O73:P73"/>
    <mergeCell ref="A77:P77"/>
    <mergeCell ref="A136:A138"/>
    <mergeCell ref="B136:B137"/>
    <mergeCell ref="C136:I136"/>
    <mergeCell ref="O69:P69"/>
    <mergeCell ref="O70:P70"/>
    <mergeCell ref="O71:P71"/>
    <mergeCell ref="A123:I123"/>
    <mergeCell ref="A124:A125"/>
    <mergeCell ref="K133:N133"/>
    <mergeCell ref="I78:M78"/>
    <mergeCell ref="B124:B125"/>
    <mergeCell ref="C124:C125"/>
    <mergeCell ref="D124:F124"/>
    <mergeCell ref="B97:B99"/>
    <mergeCell ref="C97:C99"/>
    <mergeCell ref="G97:I98"/>
    <mergeCell ref="G124:I124"/>
    <mergeCell ref="J106:K106"/>
    <mergeCell ref="J107:K107"/>
    <mergeCell ref="J105:K105"/>
    <mergeCell ref="J111:K111"/>
    <mergeCell ref="N129:P129"/>
    <mergeCell ref="K129:L129"/>
    <mergeCell ref="D97:F98"/>
    <mergeCell ref="O50:P50"/>
    <mergeCell ref="O63:P63"/>
    <mergeCell ref="O64:P64"/>
    <mergeCell ref="O65:P65"/>
    <mergeCell ref="P78:P79"/>
    <mergeCell ref="N78:O78"/>
    <mergeCell ref="A96:K96"/>
    <mergeCell ref="O53:P53"/>
    <mergeCell ref="O59:P59"/>
    <mergeCell ref="O62:P62"/>
    <mergeCell ref="A78:A79"/>
    <mergeCell ref="B78:B79"/>
    <mergeCell ref="C78:C79"/>
    <mergeCell ref="D78:H78"/>
    <mergeCell ref="A97:A99"/>
    <mergeCell ref="O5:P5"/>
    <mergeCell ref="O6:P6"/>
    <mergeCell ref="O7:P7"/>
    <mergeCell ref="O11:P11"/>
    <mergeCell ref="O8:P8"/>
    <mergeCell ref="O18:P18"/>
    <mergeCell ref="O19:P19"/>
    <mergeCell ref="O20:P20"/>
    <mergeCell ref="O9:P9"/>
    <mergeCell ref="O10:P10"/>
    <mergeCell ref="O12:P12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42:P42"/>
    <mergeCell ref="O43:P43"/>
    <mergeCell ref="O52:P52"/>
    <mergeCell ref="O49:P49"/>
    <mergeCell ref="O13:P13"/>
    <mergeCell ref="O14:P14"/>
    <mergeCell ref="O15:P15"/>
    <mergeCell ref="O16:P16"/>
    <mergeCell ref="O23:P23"/>
    <mergeCell ref="O38:P38"/>
    <mergeCell ref="O39:P39"/>
    <mergeCell ref="O40:P40"/>
    <mergeCell ref="O41:P41"/>
    <mergeCell ref="O17:P17"/>
    <mergeCell ref="O21:P21"/>
    <mergeCell ref="O44:P44"/>
    <mergeCell ref="O48:P48"/>
    <mergeCell ref="O46:P46"/>
    <mergeCell ref="O47:P47"/>
    <mergeCell ref="O45:P45"/>
    <mergeCell ref="O30:P30"/>
    <mergeCell ref="O22:P22"/>
  </mergeCells>
  <pageMargins left="0.23622047244094491" right="0.23622047244094491" top="0.74803149606299213" bottom="0.74803149606299213" header="0.31496062992125984" footer="0.31496062992125984"/>
  <pageSetup paperSize="8" scale="46" orientation="portrait" r:id="rId1"/>
  <rowBreaks count="1" manualBreakCount="1">
    <brk id="95" max="15" man="1"/>
  </rowBreaks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14 ",Q1)</f>
        <v>Ежедневный отчет производства и отгрузки за 14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93800</v>
      </c>
      <c r="H5" s="89">
        <f t="shared" si="0"/>
        <v>16874.071396806572</v>
      </c>
      <c r="I5" s="90">
        <f>IFERROR((H5/G5),0)</f>
        <v>0.17989415135188244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95" t="s">
        <v>9</v>
      </c>
      <c r="C6" s="96">
        <f>'01'!C6</f>
        <v>0</v>
      </c>
      <c r="D6" s="149">
        <f>'01'!D6</f>
        <v>15952.919765534218</v>
      </c>
      <c r="E6" s="97">
        <v>0</v>
      </c>
      <c r="F6" s="110"/>
      <c r="G6" s="110">
        <f>E6+'13'!G6</f>
        <v>0</v>
      </c>
      <c r="H6" s="110">
        <f>F6+'13'!H6</f>
        <v>6671.6154299884374</v>
      </c>
      <c r="I6" s="99"/>
      <c r="J6" s="750"/>
      <c r="K6" s="124">
        <f>J6+'13'!K6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10">
        <f>F7+'13'!H7</f>
        <v>0</v>
      </c>
      <c r="I7" s="99"/>
      <c r="J7" s="750"/>
      <c r="K7" s="124">
        <f>J7+'13'!K7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95" t="s">
        <v>9</v>
      </c>
      <c r="C8" s="96"/>
      <c r="D8" s="149">
        <f>'01'!D8</f>
        <v>0</v>
      </c>
      <c r="E8" s="97"/>
      <c r="F8" s="98"/>
      <c r="G8" s="110"/>
      <c r="H8" s="98">
        <f>F8+'13'!H8</f>
        <v>0</v>
      </c>
      <c r="I8" s="99"/>
      <c r="J8" s="947"/>
      <c r="K8" s="124">
        <f>J8+'13'!K8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E9+'13'!G9</f>
        <v>93800</v>
      </c>
      <c r="H9" s="98">
        <f>F9+'13'!H9</f>
        <v>10202.455966818135</v>
      </c>
      <c r="I9" s="99">
        <f>IFERROR((H9/G9),0)</f>
        <v>0.10876818727951104</v>
      </c>
      <c r="J9" s="177">
        <f>J10+J11+J12+J13</f>
        <v>0</v>
      </c>
      <c r="K9" s="100">
        <f>J9+'13'!K9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110">
        <f>E10+'13'!G10</f>
        <v>0</v>
      </c>
      <c r="H10" s="110">
        <f>F10+'13'!H10</f>
        <v>10202.455966818135</v>
      </c>
      <c r="I10" s="99"/>
      <c r="J10" s="178">
        <v>0</v>
      </c>
      <c r="K10" s="124">
        <f>J10+'13'!K10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110">
        <f>E11+'13'!G11</f>
        <v>0</v>
      </c>
      <c r="H11" s="110">
        <f>F11+'13'!H11</f>
        <v>0</v>
      </c>
      <c r="I11" s="99"/>
      <c r="J11" s="178">
        <v>0</v>
      </c>
      <c r="K11" s="124">
        <f>J11+'13'!K11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E12+'13'!G12</f>
        <v>0</v>
      </c>
      <c r="H12" s="110">
        <f>F12+'13'!H12</f>
        <v>0</v>
      </c>
      <c r="I12" s="757">
        <f>IFERROR((H12/G12),0)</f>
        <v>0</v>
      </c>
      <c r="J12" s="178"/>
      <c r="K12" s="124">
        <f>J12+'13'!K12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110">
        <f>E13+'13'!G13</f>
        <v>0</v>
      </c>
      <c r="H13" s="110">
        <f>F13+'13'!H13</f>
        <v>0</v>
      </c>
      <c r="I13" s="99"/>
      <c r="J13" s="178"/>
      <c r="K13" s="124">
        <f>J13+'13'!K13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7042.9999999999991</v>
      </c>
      <c r="F14" s="89">
        <f>SUM(F15:F21)</f>
        <v>0</v>
      </c>
      <c r="G14" s="89">
        <f>SUM(G15:G21)</f>
        <v>87914</v>
      </c>
      <c r="H14" s="89">
        <f>SUM(H15:H21)</f>
        <v>18857.68830004807</v>
      </c>
      <c r="I14" s="90">
        <f t="shared" ref="I14:I21" si="1">IFERROR((H14/G14),0)</f>
        <v>0.21450153900457344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E15+'13'!G15</f>
        <v>0</v>
      </c>
      <c r="H15" s="110">
        <f>F15+'13'!H15</f>
        <v>0</v>
      </c>
      <c r="I15" s="138">
        <f t="shared" si="1"/>
        <v>0</v>
      </c>
      <c r="J15" s="178">
        <v>0</v>
      </c>
      <c r="K15" s="124">
        <f>J15+'13'!K15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1601.5747333880231</v>
      </c>
      <c r="F16" s="171">
        <v>0</v>
      </c>
      <c r="G16" s="110">
        <f>E16+'13'!G16</f>
        <v>19991.600328137822</v>
      </c>
      <c r="H16" s="110">
        <f>F16+'13'!H16</f>
        <v>3228.5002277343951</v>
      </c>
      <c r="I16" s="758">
        <f t="shared" si="1"/>
        <v>0.1614928357281302</v>
      </c>
      <c r="J16" s="751">
        <f>IFERROR(SUMIF(A101:A114,A16,E101:E114),0)+E111+E112+E113</f>
        <v>0</v>
      </c>
      <c r="K16" s="124">
        <f>J16+'13'!K16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E17+'13'!G17</f>
        <v>0</v>
      </c>
      <c r="H17" s="110">
        <f>F17+'13'!H17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J17+'13'!K17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71"/>
      <c r="G18" s="110">
        <f>E18+'13'!G18</f>
        <v>0</v>
      </c>
      <c r="H18" s="110">
        <f>F18+'13'!H18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J18+'13'!K18</f>
        <v>0</v>
      </c>
      <c r="L18" s="12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5263.8336238720258</v>
      </c>
      <c r="F19" s="131">
        <v>0</v>
      </c>
      <c r="G19" s="110">
        <f>E19+'13'!G19</f>
        <v>65705.618232157503</v>
      </c>
      <c r="H19" s="110">
        <f>F19+'13'!H19</f>
        <v>15629.188072313675</v>
      </c>
      <c r="I19" s="759">
        <f t="shared" si="1"/>
        <v>0.23786684446208392</v>
      </c>
      <c r="J19" s="751">
        <f>IFERROR(SUMIF(A102:A115,A19,E102:E115),0)+E117+E115+E122</f>
        <v>0</v>
      </c>
      <c r="K19" s="124">
        <f>J19+'13'!K19</f>
        <v>14803.599999999995</v>
      </c>
      <c r="L19" s="127">
        <f t="shared" si="2"/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128.48130639868745</v>
      </c>
      <c r="F20" s="110">
        <v>0</v>
      </c>
      <c r="G20" s="110">
        <f>E20+'13'!G20</f>
        <v>1603.7633921246922</v>
      </c>
      <c r="H20" s="110">
        <f>F20+'13'!H20</f>
        <v>0</v>
      </c>
      <c r="I20" s="138">
        <f t="shared" si="1"/>
        <v>0</v>
      </c>
      <c r="J20" s="751">
        <f>IFERROR(SUMIF(A102:A115,A20,E102:E115),0)</f>
        <v>0</v>
      </c>
      <c r="K20" s="124">
        <f>J20+'13'!K20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49.110336341263327</v>
      </c>
      <c r="F21" s="110">
        <v>0</v>
      </c>
      <c r="G21" s="110">
        <f>E21+'13'!G21</f>
        <v>613.01804757998354</v>
      </c>
      <c r="H21" s="110">
        <f>F21+'13'!H21</f>
        <v>0</v>
      </c>
      <c r="I21" s="138">
        <f t="shared" si="1"/>
        <v>0</v>
      </c>
      <c r="J21" s="751">
        <f>IFERROR(SUMIF(A102:A115,A21,E102:E115),0)</f>
        <v>0</v>
      </c>
      <c r="K21" s="124">
        <f>J21+'13'!K21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E22+'13'!G22</f>
        <v>0</v>
      </c>
      <c r="H22" s="110">
        <f>F22+'13'!H22</f>
        <v>2130.1044634377968</v>
      </c>
      <c r="I22" s="99"/>
      <c r="J22" s="751">
        <f>IFERROR(SUMIF(A103:A123,A22,E103:E123),0)+E109</f>
        <v>0</v>
      </c>
      <c r="K22" s="124">
        <f>J22+'13'!K22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E23+'13'!G23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J23+'13'!K23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110">
        <v>0</v>
      </c>
      <c r="G24" s="110">
        <f>E24+'13'!G24</f>
        <v>0</v>
      </c>
      <c r="H24" s="110">
        <f>F24+'13'!H24</f>
        <v>0</v>
      </c>
      <c r="I24" s="99"/>
      <c r="J24" s="752">
        <v>0</v>
      </c>
      <c r="K24" s="124">
        <f>J24+'13'!K24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110">
        <v>0</v>
      </c>
      <c r="G25" s="110">
        <f>E25+'13'!G25</f>
        <v>0</v>
      </c>
      <c r="H25" s="110">
        <f>F25+'13'!H25</f>
        <v>0</v>
      </c>
      <c r="I25" s="99"/>
      <c r="J25" s="751">
        <v>0</v>
      </c>
      <c r="K25" s="124">
        <f>J25+'13'!K25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E26+'13'!G26</f>
        <v>0</v>
      </c>
      <c r="H26" s="110">
        <f>F26+'13'!H26</f>
        <v>0</v>
      </c>
      <c r="I26" s="99"/>
      <c r="J26" s="752">
        <v>0</v>
      </c>
      <c r="K26" s="124">
        <f>J26+'13'!K26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E27+'13'!G27</f>
        <v>0</v>
      </c>
      <c r="H27" s="110">
        <f>F27+'13'!H27</f>
        <v>0</v>
      </c>
      <c r="I27" s="99"/>
      <c r="J27" s="752"/>
      <c r="K27" s="124">
        <f>J27+'13'!K27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E28+'13'!G28</f>
        <v>0</v>
      </c>
      <c r="H28" s="110">
        <f>F28+'13'!H28</f>
        <v>0</v>
      </c>
      <c r="I28" s="99"/>
      <c r="J28" s="752"/>
      <c r="K28" s="124">
        <f>J28+'13'!K28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E29+'13'!G29</f>
        <v>0</v>
      </c>
      <c r="H29" s="110">
        <f>F29+'13'!H29</f>
        <v>0</v>
      </c>
      <c r="I29" s="99"/>
      <c r="J29" s="752"/>
      <c r="K29" s="124">
        <f>J29+'13'!K29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E30+'13'!G30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J30+'13'!K30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E31+'13'!G31</f>
        <v>0</v>
      </c>
      <c r="H31" s="110">
        <f>F31+'13'!H31</f>
        <v>0</v>
      </c>
      <c r="I31" s="99"/>
      <c r="J31" s="865">
        <v>0</v>
      </c>
      <c r="K31" s="124">
        <f>J31+'13'!K31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E32+'13'!G32</f>
        <v>0</v>
      </c>
      <c r="H32" s="110">
        <f>F32+'13'!H32</f>
        <v>554.40000000000009</v>
      </c>
      <c r="I32" s="99"/>
      <c r="J32" s="865">
        <v>0</v>
      </c>
      <c r="K32" s="124">
        <f>J32+'13'!K32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E33+'13'!G33</f>
        <v>0</v>
      </c>
      <c r="H33" s="110">
        <f>F33+'13'!H33</f>
        <v>0</v>
      </c>
      <c r="I33" s="99"/>
      <c r="J33" s="865">
        <v>0</v>
      </c>
      <c r="K33" s="124">
        <f>J33+'13'!K33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E34+'13'!G34</f>
        <v>0</v>
      </c>
      <c r="H34" s="110">
        <f>F34+'13'!H34</f>
        <v>0</v>
      </c>
      <c r="I34" s="99"/>
      <c r="J34" s="865"/>
      <c r="K34" s="124">
        <f>J34+'13'!K34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E35+'13'!G35</f>
        <v>0</v>
      </c>
      <c r="H35" s="110">
        <f>F35+'13'!H35</f>
        <v>0</v>
      </c>
      <c r="I35" s="99"/>
      <c r="J35" s="865"/>
      <c r="K35" s="124">
        <f>J35+'13'!K35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E36+'13'!G36</f>
        <v>0</v>
      </c>
      <c r="H36" s="110">
        <f>F36+'13'!H36</f>
        <v>0</v>
      </c>
      <c r="I36" s="99"/>
      <c r="J36" s="110">
        <v>0</v>
      </c>
      <c r="K36" s="124">
        <f>J36+'13'!K36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E37+'13'!G37</f>
        <v>0</v>
      </c>
      <c r="H37" s="110">
        <f>F37+'13'!H37</f>
        <v>0</v>
      </c>
      <c r="I37" s="99"/>
      <c r="J37" s="110">
        <v>0</v>
      </c>
      <c r="K37" s="124">
        <f>J37+'13'!K37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E38+'13'!G38</f>
        <v>69529.467703522707</v>
      </c>
      <c r="H38" s="676">
        <f>F38+'13'!H38</f>
        <v>9132.5707721894778</v>
      </c>
      <c r="I38" s="760">
        <f>IFERROR((H38/G38),0)</f>
        <v>0.13134820492415156</v>
      </c>
      <c r="J38" s="954">
        <f>SUM(J39:J40)</f>
        <v>0</v>
      </c>
      <c r="K38" s="677">
        <f>J38+'13'!K38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F39+'13'!H39</f>
        <v>6840.5707721894778</v>
      </c>
      <c r="I39" s="138"/>
      <c r="J39" s="750">
        <f>F39</f>
        <v>0</v>
      </c>
      <c r="K39" s="124">
        <f>J39+'13'!K39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F40+'13'!H40</f>
        <v>2292</v>
      </c>
      <c r="I40" s="138"/>
      <c r="J40" s="178">
        <v>0</v>
      </c>
      <c r="K40" s="124">
        <f>J40+'13'!K40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F41+'13'!H41</f>
        <v>0</v>
      </c>
      <c r="I41" s="138"/>
      <c r="J41" s="178"/>
      <c r="K41" s="124">
        <f>J41+'13'!K41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F42+'13'!H42</f>
        <v>0</v>
      </c>
      <c r="I42" s="138"/>
      <c r="J42" s="178"/>
      <c r="K42" s="124">
        <f>J42+'13'!K42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E43+'13'!G43</f>
        <v>45080.876771813957</v>
      </c>
      <c r="H43" s="110">
        <f>F43+'13'!H43</f>
        <v>8403.7999999999993</v>
      </c>
      <c r="I43" s="138">
        <f>IFERROR((H43/G43),0)</f>
        <v>0.18641607266286203</v>
      </c>
      <c r="J43" s="178">
        <f>F43</f>
        <v>0</v>
      </c>
      <c r="K43" s="124">
        <f>J43+'13'!K43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E44+'13'!G44</f>
        <v>19061.902108083988</v>
      </c>
      <c r="H44" s="110">
        <f>F44+'13'!H44</f>
        <v>7255</v>
      </c>
      <c r="I44" s="138">
        <f>IFERROR((H44/G44),0)</f>
        <v>0.38060210145152396</v>
      </c>
      <c r="J44" s="178">
        <v>0</v>
      </c>
      <c r="K44" s="124">
        <f>J44+'13'!K44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F45+'13'!H45</f>
        <v>0</v>
      </c>
      <c r="I45" s="138"/>
      <c r="J45" s="178"/>
      <c r="K45" s="124">
        <f>J45+'13'!K45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F46+'13'!H46</f>
        <v>0</v>
      </c>
      <c r="I46" s="138"/>
      <c r="J46" s="178"/>
      <c r="K46" s="124">
        <f>J46+'13'!K46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F47+'13'!H47</f>
        <v>0</v>
      </c>
      <c r="I47" s="138"/>
      <c r="J47" s="178"/>
      <c r="K47" s="124">
        <f>J47+'13'!K47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E48+'13'!G48</f>
        <v>111376.28378918745</v>
      </c>
      <c r="H48" s="110">
        <f>F48+'13'!H48</f>
        <v>15244.370772189477</v>
      </c>
      <c r="I48" s="138">
        <f>IFERROR((H48/G48),0)</f>
        <v>0.13687268288681598</v>
      </c>
      <c r="J48" s="750">
        <v>0</v>
      </c>
      <c r="K48" s="124">
        <f>J48+'13'!K48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151898.95024371953</v>
      </c>
      <c r="H49" s="110">
        <f>SUM(H50:H51)</f>
        <v>32176.186994748638</v>
      </c>
      <c r="I49" s="138">
        <f>IFERROR((H49/G49),0)</f>
        <v>0.21182626307240729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E50+'13'!G50</f>
        <v>0</v>
      </c>
      <c r="H50" s="98">
        <f>F50+'13'!H50</f>
        <v>0</v>
      </c>
      <c r="I50" s="138">
        <f>IFERROR((H50/G50),0)</f>
        <v>0</v>
      </c>
      <c r="J50" s="178"/>
      <c r="K50" s="124">
        <f>J50+'13'!K50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E51+'13'!G51</f>
        <v>151898.95024371953</v>
      </c>
      <c r="H51" s="110">
        <f>F51+'13'!H51</f>
        <v>32176.186994748638</v>
      </c>
      <c r="I51" s="138">
        <f>IFERROR((H51/G51),0)</f>
        <v>0.21182626307240729</v>
      </c>
      <c r="J51" s="178">
        <f>O51-P51</f>
        <v>0</v>
      </c>
      <c r="K51" s="124">
        <f>J51+'13'!K51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E53+'13'!G53</f>
        <v>0</v>
      </c>
      <c r="H53" s="110">
        <f>F53+'13'!H53</f>
        <v>0</v>
      </c>
      <c r="I53" s="759">
        <f t="shared" ref="I53:I58" si="4">IFERROR((H53/G53),0)</f>
        <v>0</v>
      </c>
      <c r="J53" s="754"/>
      <c r="K53" s="124">
        <f>J53+'13'!K53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E54+'13'!G54</f>
        <v>4516.1290322580644</v>
      </c>
      <c r="H54" s="110">
        <f>F54+'13'!H54</f>
        <v>0</v>
      </c>
      <c r="I54" s="759">
        <f t="shared" si="4"/>
        <v>0</v>
      </c>
      <c r="J54" s="754">
        <v>0</v>
      </c>
      <c r="K54" s="124">
        <f>J54+'13'!K54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E55+'13'!G55</f>
        <v>7677.4193548387075</v>
      </c>
      <c r="H55" s="110">
        <f>F55+'13'!H55</f>
        <v>0</v>
      </c>
      <c r="I55" s="759">
        <f t="shared" si="4"/>
        <v>0</v>
      </c>
      <c r="J55" s="754">
        <v>0</v>
      </c>
      <c r="K55" s="124">
        <f>J55+'13'!K55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E56+'13'!G56</f>
        <v>0</v>
      </c>
      <c r="H56" s="110">
        <f>F56+'13'!H56</f>
        <v>0</v>
      </c>
      <c r="I56" s="759">
        <f t="shared" si="4"/>
        <v>0</v>
      </c>
      <c r="J56" s="754"/>
      <c r="K56" s="124">
        <f>J56+'13'!K56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E57+'13'!G57</f>
        <v>0</v>
      </c>
      <c r="H57" s="110">
        <f>F57+'13'!H57</f>
        <v>0</v>
      </c>
      <c r="I57" s="759">
        <f t="shared" si="4"/>
        <v>0</v>
      </c>
      <c r="J57" s="754"/>
      <c r="K57" s="124">
        <f>J57+'13'!K57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E58+'13'!G58</f>
        <v>0</v>
      </c>
      <c r="H58" s="110">
        <f>F58+'13'!H58</f>
        <v>0</v>
      </c>
      <c r="I58" s="759">
        <f t="shared" si="4"/>
        <v>0</v>
      </c>
      <c r="J58" s="754">
        <v>0</v>
      </c>
      <c r="K58" s="124">
        <f>J58+'13'!K58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F59+'13'!H59</f>
        <v>0</v>
      </c>
      <c r="I59" s="759"/>
      <c r="J59" s="754"/>
      <c r="K59" s="124">
        <f>J59+'13'!K59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F60+'13'!H60</f>
        <v>0</v>
      </c>
      <c r="I60" s="759"/>
      <c r="J60" s="754"/>
      <c r="K60" s="124">
        <f>J60+'13'!K60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F61+'13'!H61</f>
        <v>0</v>
      </c>
      <c r="I61" s="759"/>
      <c r="J61" s="754">
        <f>D139+D141</f>
        <v>0</v>
      </c>
      <c r="K61" s="124">
        <f>J61+'13'!K61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F62+'13'!H62</f>
        <v>0</v>
      </c>
      <c r="I62" s="522"/>
      <c r="J62" s="754">
        <v>0</v>
      </c>
      <c r="K62" s="124">
        <f>J62+'13'!K62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F63+'13'!H63</f>
        <v>3329.1499999999996</v>
      </c>
      <c r="I63" s="1059"/>
      <c r="J63" s="1068"/>
      <c r="K63" s="668">
        <f>J63+'13'!K63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F64+'13'!H64</f>
        <v>0</v>
      </c>
      <c r="I64" s="522"/>
      <c r="J64" s="754"/>
      <c r="K64" s="124">
        <f>J64+'13'!K64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F65+'13'!H65</f>
        <v>0</v>
      </c>
      <c r="I65" s="759"/>
      <c r="J65" s="754"/>
      <c r="K65" s="124">
        <f>J65+'13'!K65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F66+'13'!H66</f>
        <v>0</v>
      </c>
      <c r="I66" s="759"/>
      <c r="J66" s="754"/>
      <c r="K66" s="124">
        <f>J66+'13'!K66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F67+'13'!H67</f>
        <v>0</v>
      </c>
      <c r="I67" s="759"/>
      <c r="J67" s="754"/>
      <c r="K67" s="124">
        <f>J67+'13'!K67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F68+'13'!H68</f>
        <v>0</v>
      </c>
      <c r="I68" s="759"/>
      <c r="J68" s="754"/>
      <c r="K68" s="124">
        <f>J68+'13'!K68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F69+'13'!H69</f>
        <v>0</v>
      </c>
      <c r="I69" s="759"/>
      <c r="J69" s="754"/>
      <c r="K69" s="124">
        <f>J69+'13'!K69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F70+'13'!H70</f>
        <v>3329.1499999999996</v>
      </c>
      <c r="I70" s="759"/>
      <c r="J70" s="754"/>
      <c r="K70" s="124">
        <f>J70+'13'!K70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F71+'13'!H71</f>
        <v>0</v>
      </c>
      <c r="I71" s="759"/>
      <c r="J71" s="754"/>
      <c r="K71" s="124">
        <f>J71+'13'!K71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F72+'13'!H72</f>
        <v>1911.376034856974</v>
      </c>
      <c r="I72" s="388"/>
      <c r="J72" s="756">
        <f>K131</f>
        <v>0</v>
      </c>
      <c r="K72" s="395">
        <f>J72+'13'!K72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F73+'13'!H73</f>
        <v>0</v>
      </c>
      <c r="I73" s="934"/>
      <c r="J73" s="931"/>
      <c r="K73" s="935">
        <f>J73+'13'!K73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24*14-K80</f>
        <v>336</v>
      </c>
      <c r="M80" s="139">
        <f>K80/(24*14)</f>
        <v>0</v>
      </c>
      <c r="N80" s="965"/>
      <c r="O80" s="302">
        <f>N80+'13'!O80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24*14-K81</f>
        <v>336</v>
      </c>
      <c r="M81" s="139">
        <f>K81/(24*14)</f>
        <v>0</v>
      </c>
      <c r="N81" s="965"/>
      <c r="O81" s="302">
        <f>N81+'13'!O81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33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34">
        <f t="shared" si="8"/>
        <v>24</v>
      </c>
      <c r="H82" s="138">
        <f t="shared" si="9"/>
        <v>0</v>
      </c>
      <c r="I82" s="134">
        <f t="shared" ref="I82:I90" si="12">IFERROR(O82/K82,0)</f>
        <v>43.535460826585258</v>
      </c>
      <c r="J82" s="138">
        <f t="shared" si="10"/>
        <v>0.96745468503522791</v>
      </c>
      <c r="K82" s="134">
        <f>F82+'13'!K82</f>
        <v>43.903888888888886</v>
      </c>
      <c r="L82" s="110">
        <f>24*14-K82</f>
        <v>292.0961111111111</v>
      </c>
      <c r="M82" s="139">
        <f>K82/(24*14)</f>
        <v>0.13066633597883598</v>
      </c>
      <c r="N82" s="716">
        <v>0</v>
      </c>
      <c r="O82" s="303">
        <f>N82+'13'!O82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33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34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F83+'13'!K83</f>
        <v>64.575555555555553</v>
      </c>
      <c r="L83" s="134">
        <f>G83+'13'!L83</f>
        <v>271.42444444444448</v>
      </c>
      <c r="M83" s="139">
        <f>K83/(24*14)</f>
        <v>0.19218915343915344</v>
      </c>
      <c r="N83" s="716">
        <v>0</v>
      </c>
      <c r="O83" s="303">
        <f>N83+'13'!O83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33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34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F84+'13'!K84</f>
        <v>64.977499999999992</v>
      </c>
      <c r="L84" s="134">
        <f>G84+'13'!L84</f>
        <v>271.02250000000004</v>
      </c>
      <c r="M84" s="139">
        <f>K84/(24*14)</f>
        <v>0.19338541666666664</v>
      </c>
      <c r="N84" s="716">
        <v>0</v>
      </c>
      <c r="O84" s="303">
        <f>N84+'13'!O84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34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F85+'13'!K85</f>
        <v>0</v>
      </c>
      <c r="L85" s="134">
        <f>G85+'13'!L85</f>
        <v>336</v>
      </c>
      <c r="M85" s="139">
        <f>K85/(24*12)</f>
        <v>0</v>
      </c>
      <c r="N85" s="965">
        <v>0</v>
      </c>
      <c r="O85" s="302">
        <f>N85+'13'!O85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34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F86+'13'!K86</f>
        <v>0</v>
      </c>
      <c r="L86" s="134">
        <f>G86+'13'!L86</f>
        <v>312</v>
      </c>
      <c r="M86" s="139">
        <f>K86/(24*12)</f>
        <v>0</v>
      </c>
      <c r="N86" s="965">
        <v>0</v>
      </c>
      <c r="O86" s="303">
        <f>N86+'13'!O86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34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F87+'13'!K87</f>
        <v>0</v>
      </c>
      <c r="L87" s="134">
        <f>G87+'13'!L87</f>
        <v>312</v>
      </c>
      <c r="M87" s="139">
        <f>K87/(24*12)</f>
        <v>0</v>
      </c>
      <c r="N87" s="965">
        <v>0</v>
      </c>
      <c r="O87" s="302">
        <f>N87+'13'!O87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34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F88+'13'!K88</f>
        <v>0</v>
      </c>
      <c r="L88" s="134">
        <f>G88+'13'!L88</f>
        <v>312</v>
      </c>
      <c r="M88" s="139">
        <f>K88/(24*12)</f>
        <v>0</v>
      </c>
      <c r="N88" s="716">
        <v>0</v>
      </c>
      <c r="O88" s="303">
        <f>N88+'13'!O88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33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34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F89+'13'!K89</f>
        <v>1.6950000000000001</v>
      </c>
      <c r="L89" s="134">
        <f>G89+'13'!L89</f>
        <v>334.30500000000001</v>
      </c>
      <c r="M89" s="139">
        <f t="shared" ref="M89:M94" si="13">K89/(24*14)</f>
        <v>5.0446428571428569E-3</v>
      </c>
      <c r="N89" s="1001">
        <v>0</v>
      </c>
      <c r="O89" s="303">
        <f>N89+'13'!O89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33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34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F90+'13'!K90</f>
        <v>32.664166666666674</v>
      </c>
      <c r="L90" s="134">
        <f>G90+'13'!L90</f>
        <v>303.33583333333331</v>
      </c>
      <c r="M90" s="139">
        <f t="shared" si="13"/>
        <v>9.7214781746031764E-2</v>
      </c>
      <c r="N90" s="1001">
        <v>0</v>
      </c>
      <c r="O90" s="303">
        <f>N90+'13'!O90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34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F91+'13'!K91</f>
        <v>0</v>
      </c>
      <c r="L91" s="134">
        <f>G91+'13'!L91</f>
        <v>336</v>
      </c>
      <c r="M91" s="139">
        <f t="shared" si="13"/>
        <v>0</v>
      </c>
      <c r="N91" s="716">
        <v>0</v>
      </c>
      <c r="O91" s="303">
        <f>N91+'13'!O91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34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F92+'13'!K92</f>
        <v>71.521666666666675</v>
      </c>
      <c r="L92" s="134">
        <f>G92+'13'!L92</f>
        <v>264.47833333333335</v>
      </c>
      <c r="M92" s="139">
        <f t="shared" si="13"/>
        <v>0.21286210317460319</v>
      </c>
      <c r="N92" s="716">
        <v>0</v>
      </c>
      <c r="O92" s="303">
        <f>N92+'13'!O92</f>
        <v>10021.127427844691</v>
      </c>
      <c r="P92" s="719"/>
      <c r="Q92" s="140">
        <v>0</v>
      </c>
      <c r="R92" s="140">
        <v>0</v>
      </c>
      <c r="S92" s="115"/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34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F93+'13'!K93</f>
        <v>64.288611111111109</v>
      </c>
      <c r="L93" s="134">
        <f>G93+'13'!L93</f>
        <v>271.71138888888891</v>
      </c>
      <c r="M93" s="139">
        <f t="shared" si="13"/>
        <v>0.19133515211640212</v>
      </c>
      <c r="N93" s="716">
        <v>0</v>
      </c>
      <c r="O93" s="303">
        <f>N93+'13'!O93</f>
        <v>9309.2475232220113</v>
      </c>
      <c r="P93" s="719"/>
      <c r="Q93" s="140">
        <v>0</v>
      </c>
      <c r="R93" s="140">
        <v>0</v>
      </c>
      <c r="S93" s="115"/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765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F94+'13'!K94</f>
        <v>32</v>
      </c>
      <c r="L94" s="765">
        <f>G94+'13'!L94</f>
        <v>304</v>
      </c>
      <c r="M94" s="880">
        <f t="shared" si="13"/>
        <v>9.5238095238095233E-2</v>
      </c>
      <c r="N94" s="966">
        <f>E111+E120+E121+E122</f>
        <v>0</v>
      </c>
      <c r="O94" s="871">
        <f>N94+'13'!O94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443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F95+'13'!K95</f>
        <v>7</v>
      </c>
      <c r="L95" s="443">
        <f>G95+'13'!L95</f>
        <v>329</v>
      </c>
      <c r="M95" s="723">
        <f>K95/(24*14)</f>
        <v>2.0833333333333332E-2</v>
      </c>
      <c r="N95" s="967">
        <f>E112+E114+E115+E118+E119</f>
        <v>0</v>
      </c>
      <c r="O95" s="713">
        <f>N95+'13'!O95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5146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88464</v>
      </c>
      <c r="H100" s="89">
        <f>H101+H110</f>
        <v>19708.249999999993</v>
      </c>
      <c r="I100" s="90">
        <f t="shared" ref="I100:I122" si="15">IFERROR((H100/G100),0)</f>
        <v>0.22278271387230955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5146</v>
      </c>
      <c r="E101" s="98">
        <f>SUM(E102:E109)</f>
        <v>0</v>
      </c>
      <c r="F101" s="99">
        <f t="shared" si="14"/>
        <v>0</v>
      </c>
      <c r="G101" s="169">
        <f>SUM(G102:G109)</f>
        <v>63114</v>
      </c>
      <c r="H101" s="98">
        <f>SUM(H102:H109)</f>
        <v>15844.349999999995</v>
      </c>
      <c r="I101" s="99">
        <f t="shared" si="15"/>
        <v>0.25104335012833912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D102+'13'!G102</f>
        <v>0</v>
      </c>
      <c r="H102" s="178">
        <f>E102+'13'!H102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645</v>
      </c>
      <c r="E103" s="166">
        <v>0</v>
      </c>
      <c r="F103" s="138">
        <f t="shared" si="14"/>
        <v>0</v>
      </c>
      <c r="G103" s="445">
        <f>D103+'13'!G103</f>
        <v>5270</v>
      </c>
      <c r="H103" s="186">
        <f>E103+'13'!H103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4338</v>
      </c>
      <c r="E104" s="110">
        <v>0</v>
      </c>
      <c r="F104" s="138">
        <f t="shared" si="14"/>
        <v>0</v>
      </c>
      <c r="G104" s="134">
        <f>D104+'13'!G104</f>
        <v>55718</v>
      </c>
      <c r="H104" s="178">
        <f>E104+'13'!H104</f>
        <v>12980.249999999995</v>
      </c>
      <c r="I104" s="138">
        <f t="shared" si="15"/>
        <v>0.23296331526616165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D105+'13'!G105</f>
        <v>0</v>
      </c>
      <c r="H105" s="178">
        <f>E105+'13'!H105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D106+'13'!G106</f>
        <v>0</v>
      </c>
      <c r="H106" s="178">
        <f>E106+'13'!H106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D107+'13'!G107</f>
        <v>0</v>
      </c>
      <c r="H107" s="178">
        <f>E107+'13'!H107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113</v>
      </c>
      <c r="E108" s="110">
        <v>0</v>
      </c>
      <c r="F108" s="138">
        <f t="shared" si="14"/>
        <v>0</v>
      </c>
      <c r="G108" s="134">
        <f>D108+'13'!G108</f>
        <v>1576</v>
      </c>
      <c r="H108" s="178">
        <f>E108+'13'!H108</f>
        <v>826.59999999999991</v>
      </c>
      <c r="I108" s="138">
        <f t="shared" si="15"/>
        <v>0.52449238578680202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50</v>
      </c>
      <c r="E109" s="110">
        <v>0</v>
      </c>
      <c r="F109" s="138">
        <f t="shared" si="14"/>
        <v>0</v>
      </c>
      <c r="G109" s="134">
        <f>D109+'13'!G109</f>
        <v>550</v>
      </c>
      <c r="H109" s="178">
        <f>E109+'13'!H109</f>
        <v>281.59999999999997</v>
      </c>
      <c r="I109" s="138">
        <f t="shared" si="15"/>
        <v>0.5119999999999999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1947</v>
      </c>
      <c r="E110" s="98">
        <f>SUM(E111:E122)</f>
        <v>0</v>
      </c>
      <c r="F110" s="1053">
        <f>IFERROR((E110/D110),0)</f>
        <v>0</v>
      </c>
      <c r="G110" s="1051">
        <f>SUM(G111:G122)</f>
        <v>25350</v>
      </c>
      <c r="H110" s="98">
        <f>SUM(H111:H122)</f>
        <v>3863.8999999999996</v>
      </c>
      <c r="I110" s="1053">
        <f>IFERROR((H110/G110),0)</f>
        <v>0.15242209072978302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D111+'13'!G111</f>
        <v>0</v>
      </c>
      <c r="H111" s="110">
        <f>E111+'13'!H111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49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D112+'13'!G112</f>
        <v>0</v>
      </c>
      <c r="H112" s="110">
        <f>E112+'13'!H112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49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D113+'13'!G113</f>
        <v>0</v>
      </c>
      <c r="H113" s="110">
        <f>E113+'13'!H113</f>
        <v>20</v>
      </c>
      <c r="I113" s="138">
        <f t="shared" si="15"/>
        <v>0</v>
      </c>
      <c r="J113" s="830"/>
      <c r="K113" s="831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65">
        <v>16</v>
      </c>
      <c r="E114" s="301">
        <v>0</v>
      </c>
      <c r="F114" s="167">
        <f t="shared" si="14"/>
        <v>0</v>
      </c>
      <c r="G114" s="134">
        <f>D114+'13'!G114</f>
        <v>224</v>
      </c>
      <c r="H114" s="110">
        <f>E114+'13'!H114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65">
        <v>0</v>
      </c>
      <c r="E115" s="864">
        <v>0</v>
      </c>
      <c r="F115" s="138">
        <f t="shared" si="14"/>
        <v>0</v>
      </c>
      <c r="G115" s="134">
        <f>D115+'13'!G115</f>
        <v>0</v>
      </c>
      <c r="H115" s="110">
        <f>E115+'13'!H115</f>
        <v>0</v>
      </c>
      <c r="I115" s="138">
        <f t="shared" si="15"/>
        <v>0</v>
      </c>
      <c r="J115" s="1226"/>
      <c r="K115" s="122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65">
        <v>0</v>
      </c>
      <c r="E116" s="110">
        <v>0</v>
      </c>
      <c r="F116" s="138">
        <f t="shared" si="14"/>
        <v>0</v>
      </c>
      <c r="G116" s="134">
        <f>D116+'13'!G116</f>
        <v>0</v>
      </c>
      <c r="H116" s="110">
        <f>E116+'13'!H116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65">
        <v>0</v>
      </c>
      <c r="E117" s="110">
        <v>0</v>
      </c>
      <c r="F117" s="138">
        <f t="shared" si="14"/>
        <v>0</v>
      </c>
      <c r="G117" s="134">
        <f>D117+'13'!G117</f>
        <v>0</v>
      </c>
      <c r="H117" s="110">
        <f>E117+'13'!H117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65">
        <v>345</v>
      </c>
      <c r="E118" s="110">
        <v>0</v>
      </c>
      <c r="F118" s="138">
        <f t="shared" si="14"/>
        <v>0</v>
      </c>
      <c r="G118" s="134">
        <f>D118+'13'!G118</f>
        <v>4890</v>
      </c>
      <c r="H118" s="166">
        <f>E118+'13'!H118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65">
        <v>0</v>
      </c>
      <c r="E119" s="110">
        <v>0</v>
      </c>
      <c r="F119" s="138">
        <f t="shared" si="14"/>
        <v>0</v>
      </c>
      <c r="G119" s="134">
        <f>D119+'13'!G119</f>
        <v>0</v>
      </c>
      <c r="H119" s="110">
        <f>E119+'13'!H119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914</v>
      </c>
      <c r="E120" s="110">
        <v>0</v>
      </c>
      <c r="F120" s="138">
        <f t="shared" si="14"/>
        <v>0</v>
      </c>
      <c r="G120" s="134">
        <f>D120+'13'!G120</f>
        <v>10352</v>
      </c>
      <c r="H120" s="110">
        <f>E120+'13'!H120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65">
        <v>0</v>
      </c>
      <c r="E121" s="110">
        <v>0</v>
      </c>
      <c r="F121" s="138">
        <f t="shared" si="14"/>
        <v>0</v>
      </c>
      <c r="G121" s="134">
        <f>D121+'13'!G121</f>
        <v>544</v>
      </c>
      <c r="H121" s="110">
        <f>E121+'13'!H121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0</v>
      </c>
      <c r="F122" s="138">
        <f t="shared" si="14"/>
        <v>0</v>
      </c>
      <c r="G122" s="134">
        <f>D122+'13'!G122</f>
        <v>9340</v>
      </c>
      <c r="H122" s="110">
        <f>E122+'13'!H122</f>
        <v>1823.35</v>
      </c>
      <c r="I122" s="138">
        <f t="shared" si="15"/>
        <v>0.19521948608137044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228" t="s">
        <v>7</v>
      </c>
      <c r="B124" s="1135" t="s">
        <v>6</v>
      </c>
      <c r="C124" s="1090"/>
      <c r="D124" s="1136" t="s">
        <v>5</v>
      </c>
      <c r="E124" s="1137"/>
      <c r="F124" s="1135"/>
      <c r="G124" s="1137" t="s">
        <v>4</v>
      </c>
      <c r="H124" s="1137"/>
      <c r="I124" s="1135"/>
      <c r="J124" s="729" t="s">
        <v>89</v>
      </c>
      <c r="K124" s="544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229"/>
      <c r="B125" s="1211"/>
      <c r="C125" s="1230"/>
      <c r="D125" s="913" t="s">
        <v>3</v>
      </c>
      <c r="E125" s="174" t="s">
        <v>2</v>
      </c>
      <c r="F125" s="175" t="s">
        <v>1</v>
      </c>
      <c r="G125" s="176" t="s">
        <v>3</v>
      </c>
      <c r="H125" s="174" t="s">
        <v>2</v>
      </c>
      <c r="I125" s="175" t="s">
        <v>1</v>
      </c>
      <c r="J125" s="730">
        <f>SUM(N85:N91)</f>
        <v>0</v>
      </c>
      <c r="K125" s="547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549" t="s">
        <v>182</v>
      </c>
      <c r="C126" s="155" t="s">
        <v>189</v>
      </c>
      <c r="D126" s="352">
        <v>40.5</v>
      </c>
      <c r="E126" s="256">
        <v>40.786108493740748</v>
      </c>
      <c r="F126" s="157">
        <f>IFERROR(E126/D126,0)</f>
        <v>1.0070644072528581</v>
      </c>
      <c r="G126" s="204">
        <v>40.5</v>
      </c>
      <c r="H126" s="200">
        <v>44.56091693421336</v>
      </c>
      <c r="I126" s="157">
        <f>IFERROR(H126/G126,0)</f>
        <v>1.100269553931194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548" t="s">
        <v>177</v>
      </c>
      <c r="B127" s="549" t="s">
        <v>182</v>
      </c>
      <c r="C127" s="155" t="s">
        <v>178</v>
      </c>
      <c r="D127" s="352">
        <v>17</v>
      </c>
      <c r="E127" s="256">
        <v>17.80980134963297</v>
      </c>
      <c r="F127" s="157">
        <f t="shared" ref="F127:F132" si="16">IFERROR(E127/D127,0)</f>
        <v>1.0476353735078217</v>
      </c>
      <c r="G127" s="204">
        <v>17</v>
      </c>
      <c r="H127" s="200">
        <v>17.622905073438691</v>
      </c>
      <c r="I127" s="157">
        <f t="shared" ref="I127:I132" si="17">IFERROR(H127/G127,0)</f>
        <v>1.0366414749081583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548" t="s">
        <v>160</v>
      </c>
      <c r="B128" s="549" t="s">
        <v>51</v>
      </c>
      <c r="C128" s="155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548" t="s">
        <v>181</v>
      </c>
      <c r="B129" s="549" t="s">
        <v>182</v>
      </c>
      <c r="C129" s="155" t="s">
        <v>183</v>
      </c>
      <c r="D129" s="352">
        <v>21</v>
      </c>
      <c r="E129" s="256">
        <v>21.520997375328083</v>
      </c>
      <c r="F129" s="157">
        <f t="shared" si="16"/>
        <v>1.0248093988251468</v>
      </c>
      <c r="G129" s="204">
        <v>21</v>
      </c>
      <c r="H129" s="200">
        <v>21.740825814331391</v>
      </c>
      <c r="I129" s="157">
        <f t="shared" si="17"/>
        <v>1.0352774197300663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548" t="s">
        <v>179</v>
      </c>
      <c r="B130" s="549" t="s">
        <v>182</v>
      </c>
      <c r="C130" s="155" t="s">
        <v>161</v>
      </c>
      <c r="D130" s="352">
        <v>42</v>
      </c>
      <c r="E130" s="256">
        <v>1.2578073424363743</v>
      </c>
      <c r="F130" s="157">
        <f t="shared" si="16"/>
        <v>2.994779386753272E-2</v>
      </c>
      <c r="G130" s="204">
        <v>42</v>
      </c>
      <c r="H130" s="200">
        <v>15.031813157936982</v>
      </c>
      <c r="I130" s="157">
        <f t="shared" si="17"/>
        <v>0.35790031328421384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1" t="s">
        <v>165</v>
      </c>
      <c r="P130" s="631" t="s">
        <v>166</v>
      </c>
      <c r="T130" s="93"/>
    </row>
    <row r="131" spans="1:20">
      <c r="A131" s="548" t="s">
        <v>180</v>
      </c>
      <c r="B131" s="549" t="s">
        <v>182</v>
      </c>
      <c r="C131" s="155" t="s">
        <v>162</v>
      </c>
      <c r="D131" s="352">
        <v>35</v>
      </c>
      <c r="E131" s="256">
        <v>193.8523888481291</v>
      </c>
      <c r="F131" s="157">
        <f t="shared" si="16"/>
        <v>5.5386396813751171</v>
      </c>
      <c r="G131" s="204">
        <v>35</v>
      </c>
      <c r="H131" s="200">
        <v>31.922932477743881</v>
      </c>
      <c r="I131" s="157">
        <f t="shared" si="17"/>
        <v>0.9120837850783966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92" t="s">
        <v>92</v>
      </c>
      <c r="B132" s="693" t="s">
        <v>48</v>
      </c>
      <c r="C132" s="680" t="s">
        <v>184</v>
      </c>
      <c r="D132" s="687">
        <v>100.69</v>
      </c>
      <c r="E132" s="682">
        <v>269.1878827871202</v>
      </c>
      <c r="F132" s="684">
        <f t="shared" si="16"/>
        <v>2.673432146063365</v>
      </c>
      <c r="G132" s="688">
        <v>100.69</v>
      </c>
      <c r="H132" s="683">
        <v>83.392511262965556</v>
      </c>
      <c r="I132" s="684">
        <f t="shared" si="17"/>
        <v>0.8282104604525331</v>
      </c>
      <c r="N132" s="728" t="s">
        <v>188</v>
      </c>
      <c r="O132" s="704">
        <f>O131+'13'!O132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131192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550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551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481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261346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481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O30:P30"/>
    <mergeCell ref="O22:P22"/>
    <mergeCell ref="J145:J146"/>
    <mergeCell ref="J147:J148"/>
    <mergeCell ref="O61:P61"/>
    <mergeCell ref="O54:P54"/>
    <mergeCell ref="O55:P55"/>
    <mergeCell ref="O56:P56"/>
    <mergeCell ref="O57:P57"/>
    <mergeCell ref="O58:P58"/>
    <mergeCell ref="O60:P60"/>
    <mergeCell ref="J97:K98"/>
    <mergeCell ref="J115:K115"/>
    <mergeCell ref="M97:P97"/>
    <mergeCell ref="J101:K101"/>
    <mergeCell ref="J102:K102"/>
    <mergeCell ref="J103:K103"/>
    <mergeCell ref="J111:K111"/>
    <mergeCell ref="P78:P79"/>
    <mergeCell ref="N78:O78"/>
    <mergeCell ref="A96:K96"/>
    <mergeCell ref="C97:C99"/>
    <mergeCell ref="D97:F98"/>
    <mergeCell ref="G97:I98"/>
    <mergeCell ref="O44:P44"/>
    <mergeCell ref="O48:P48"/>
    <mergeCell ref="O45:P45"/>
    <mergeCell ref="O46:P46"/>
    <mergeCell ref="O47:P47"/>
    <mergeCell ref="J129:J130"/>
    <mergeCell ref="K129:L129"/>
    <mergeCell ref="O69:P69"/>
    <mergeCell ref="O70:P70"/>
    <mergeCell ref="O71:P71"/>
    <mergeCell ref="J143:J144"/>
    <mergeCell ref="J104:K104"/>
    <mergeCell ref="J105:K105"/>
    <mergeCell ref="J106:K106"/>
    <mergeCell ref="J107:K107"/>
    <mergeCell ref="O49:P49"/>
    <mergeCell ref="O50:P50"/>
    <mergeCell ref="O52:P52"/>
    <mergeCell ref="O53:P53"/>
    <mergeCell ref="O59:P59"/>
    <mergeCell ref="K142:N142"/>
    <mergeCell ref="O63:P63"/>
    <mergeCell ref="O64:P64"/>
    <mergeCell ref="O65:P65"/>
    <mergeCell ref="O66:P66"/>
    <mergeCell ref="O67:P67"/>
    <mergeCell ref="N99:O99"/>
    <mergeCell ref="N129:P129"/>
    <mergeCell ref="O72:P72"/>
    <mergeCell ref="O73:P73"/>
    <mergeCell ref="K133:N133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5:P5"/>
    <mergeCell ref="O6:P6"/>
    <mergeCell ref="O7:P7"/>
    <mergeCell ref="O8:P8"/>
    <mergeCell ref="A77:P77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21:P21"/>
    <mergeCell ref="O23:P23"/>
    <mergeCell ref="O38:P38"/>
    <mergeCell ref="O39:P39"/>
    <mergeCell ref="O40:P40"/>
    <mergeCell ref="O68:P68"/>
    <mergeCell ref="O41:P41"/>
    <mergeCell ref="O42:P42"/>
    <mergeCell ref="O43:P43"/>
    <mergeCell ref="A136:A138"/>
    <mergeCell ref="B136:B137"/>
    <mergeCell ref="C136:I136"/>
    <mergeCell ref="J139:J140"/>
    <mergeCell ref="J141:J142"/>
    <mergeCell ref="O9:P9"/>
    <mergeCell ref="O10:P10"/>
    <mergeCell ref="A78:A79"/>
    <mergeCell ref="B78:B79"/>
    <mergeCell ref="C78:C79"/>
    <mergeCell ref="D78:H78"/>
    <mergeCell ref="I78:M78"/>
    <mergeCell ref="A123:I123"/>
    <mergeCell ref="A124:A125"/>
    <mergeCell ref="B124:B125"/>
    <mergeCell ref="C124:C125"/>
    <mergeCell ref="D124:F124"/>
    <mergeCell ref="G124:I124"/>
    <mergeCell ref="J112:K112"/>
    <mergeCell ref="J114:K114"/>
    <mergeCell ref="L99:M99"/>
    <mergeCell ref="A97:A99"/>
    <mergeCell ref="O62:P62"/>
    <mergeCell ref="B97:B9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7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15 ",Q1)</f>
        <v>Ежедневный отчет производства и отгрузки за 15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6700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J6+J9+J8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E6+'14'!G6</f>
        <v>0</v>
      </c>
      <c r="H6" s="110">
        <f>F6+'14'!H6</f>
        <v>6671.6154299884374</v>
      </c>
      <c r="I6" s="138"/>
      <c r="J6" s="750"/>
      <c r="K6" s="124">
        <f>J6+'14'!K6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97"/>
      <c r="F7" s="110">
        <v>0</v>
      </c>
      <c r="G7" s="98"/>
      <c r="H7" s="110">
        <f>F7+'14'!H7</f>
        <v>0</v>
      </c>
      <c r="I7" s="138"/>
      <c r="J7" s="750"/>
      <c r="K7" s="124">
        <f>J7+'14'!K7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96"/>
      <c r="D8" s="149">
        <f>'01'!D8</f>
        <v>0</v>
      </c>
      <c r="E8" s="97"/>
      <c r="F8" s="98"/>
      <c r="G8" s="98"/>
      <c r="H8" s="110">
        <f>F8+'14'!H8</f>
        <v>0</v>
      </c>
      <c r="I8" s="138"/>
      <c r="J8" s="750"/>
      <c r="K8" s="124">
        <f>J8+'14'!K8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6700</v>
      </c>
      <c r="F9" s="98">
        <f>F10+F11+F12+F13</f>
        <v>0</v>
      </c>
      <c r="G9" s="98">
        <f>E9+'14'!G9</f>
        <v>100500</v>
      </c>
      <c r="H9" s="98">
        <f>F9+'14'!H9</f>
        <v>10202.455966818135</v>
      </c>
      <c r="I9" s="138">
        <f>IFERROR((H9/G9),0)</f>
        <v>0.1015169747942103</v>
      </c>
      <c r="J9" s="177">
        <f>J10+J11+J12+J13</f>
        <v>0</v>
      </c>
      <c r="K9" s="100">
        <f>J9+'14'!K9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E10+'14'!G10</f>
        <v>0</v>
      </c>
      <c r="H10" s="110">
        <f>F10+'14'!H10</f>
        <v>10202.455966818135</v>
      </c>
      <c r="I10" s="138"/>
      <c r="J10" s="178">
        <v>0</v>
      </c>
      <c r="K10" s="124">
        <f>J10+'14'!K10</f>
        <v>17027.103675312697</v>
      </c>
      <c r="L10" s="149">
        <f>D10+H10-K10+M10+N10</f>
        <v>49475.62620086284</v>
      </c>
      <c r="M10" s="101"/>
      <c r="N10" s="101"/>
      <c r="O10" s="1231"/>
      <c r="P10" s="1232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E11+'14'!G11</f>
        <v>0</v>
      </c>
      <c r="H11" s="110">
        <f>F11+'14'!H11</f>
        <v>0</v>
      </c>
      <c r="I11" s="138"/>
      <c r="J11" s="178">
        <v>0</v>
      </c>
      <c r="K11" s="124">
        <f>J11+'14'!K11</f>
        <v>0</v>
      </c>
      <c r="L11" s="149">
        <f>D11+H11-K11+M11+N11</f>
        <v>18224.01726010743</v>
      </c>
      <c r="M11" s="101"/>
      <c r="N11" s="101"/>
      <c r="O11" s="1231"/>
      <c r="P11" s="1232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E12+'14'!G12</f>
        <v>0</v>
      </c>
      <c r="H12" s="110">
        <f>F12+'14'!H12</f>
        <v>0</v>
      </c>
      <c r="I12" s="757">
        <f>IFERROR((H12/G12),0)</f>
        <v>0</v>
      </c>
      <c r="J12" s="178"/>
      <c r="K12" s="124">
        <f>J12+'14'!K12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/>
      <c r="H13" s="110">
        <f>F13+'14'!H13</f>
        <v>0</v>
      </c>
      <c r="I13" s="138"/>
      <c r="J13" s="178"/>
      <c r="K13" s="124">
        <f>J13+'14'!K13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6561.9999999999991</v>
      </c>
      <c r="F14" s="89">
        <f>SUM(F15:F21)</f>
        <v>0</v>
      </c>
      <c r="G14" s="89">
        <f>SUM(G15:G21)</f>
        <v>94476.000000000015</v>
      </c>
      <c r="H14" s="89">
        <f>SUM(H15:H21)</f>
        <v>18857.68830004807</v>
      </c>
      <c r="I14" s="90">
        <f t="shared" ref="I14:I21" si="1">IFERROR((H14/G14),0)</f>
        <v>0.19960294995605304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E15+'14'!G15</f>
        <v>0</v>
      </c>
      <c r="H15" s="110">
        <f>F15+'14'!H15</f>
        <v>0</v>
      </c>
      <c r="I15" s="138">
        <f t="shared" si="1"/>
        <v>0</v>
      </c>
      <c r="J15" s="178">
        <v>0</v>
      </c>
      <c r="K15" s="124">
        <f>J15+'14'!K15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1492.1955701394586</v>
      </c>
      <c r="F16" s="171">
        <v>0</v>
      </c>
      <c r="G16" s="110">
        <f>E16+'14'!G16</f>
        <v>21483.79589827728</v>
      </c>
      <c r="H16" s="110">
        <f>F16+'14'!H16</f>
        <v>3228.5002277343951</v>
      </c>
      <c r="I16" s="758">
        <f t="shared" si="1"/>
        <v>0.1502760612240446</v>
      </c>
      <c r="J16" s="751">
        <f>IFERROR(SUMIF(A101:A114,A16,E101:E114),0)+E111+E112+E113</f>
        <v>0</v>
      </c>
      <c r="K16" s="124">
        <f>J16+'14'!K16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E17+'14'!G17</f>
        <v>0</v>
      </c>
      <c r="H17" s="110">
        <f>F17+'14'!H17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J17+'14'!K17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71"/>
      <c r="G18" s="110">
        <f>E18+'14'!G18</f>
        <v>0</v>
      </c>
      <c r="H18" s="110">
        <f>F18+'14'!H18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J18+'14'!K18</f>
        <v>0</v>
      </c>
      <c r="L18" s="12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4904.3413658736663</v>
      </c>
      <c r="F19" s="131">
        <v>0</v>
      </c>
      <c r="G19" s="110">
        <f>E19+'14'!G19</f>
        <v>70609.959598031171</v>
      </c>
      <c r="H19" s="110">
        <f>F19+'14'!H19</f>
        <v>15629.188072313675</v>
      </c>
      <c r="I19" s="759">
        <f t="shared" si="1"/>
        <v>0.22134537622295233</v>
      </c>
      <c r="J19" s="751">
        <f>IFERROR(SUMIF(A102:A115,A19,E102:E115),0)+E117+E115+E122</f>
        <v>0</v>
      </c>
      <c r="K19" s="124">
        <f>J19+'14'!K19</f>
        <v>14803.599999999995</v>
      </c>
      <c r="L19" s="127">
        <f>D19+H19-K19-M19</f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119.706706316653</v>
      </c>
      <c r="F20" s="110">
        <v>0</v>
      </c>
      <c r="G20" s="110">
        <f>E20+'14'!G20</f>
        <v>1723.4700984413453</v>
      </c>
      <c r="H20" s="110">
        <f>F20+'14'!H20</f>
        <v>0</v>
      </c>
      <c r="I20" s="138">
        <f t="shared" si="1"/>
        <v>0</v>
      </c>
      <c r="J20" s="751">
        <f>IFERROR(SUMIF(A102:A115,A20,E102:E115),0)</f>
        <v>0</v>
      </c>
      <c r="K20" s="124">
        <f>J20+'14'!K20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45.75635767022149</v>
      </c>
      <c r="F21" s="110">
        <v>0</v>
      </c>
      <c r="G21" s="110">
        <f>E21+'14'!G21</f>
        <v>658.77440525020506</v>
      </c>
      <c r="H21" s="110">
        <f>F21+'14'!H21</f>
        <v>0</v>
      </c>
      <c r="I21" s="138">
        <f t="shared" si="1"/>
        <v>0</v>
      </c>
      <c r="J21" s="751">
        <f>IFERROR(SUMIF(A102:A115,A21,E102:E115),0)</f>
        <v>0</v>
      </c>
      <c r="K21" s="124">
        <f>J21+'14'!K21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E22+'14'!G22</f>
        <v>0</v>
      </c>
      <c r="H22" s="110">
        <f>F22+'14'!H22</f>
        <v>2130.1044634377968</v>
      </c>
      <c r="I22" s="99"/>
      <c r="J22" s="751">
        <f>IFERROR(SUMIF(A103:A123,A22,E103:E123),0)+E109</f>
        <v>0</v>
      </c>
      <c r="K22" s="124">
        <f>J22+'14'!K22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E23+'14'!G23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J23+'14'!K23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E24+'14'!G24</f>
        <v>0</v>
      </c>
      <c r="H24" s="110">
        <f>F24+'14'!H24</f>
        <v>0</v>
      </c>
      <c r="I24" s="99"/>
      <c r="J24" s="752">
        <v>0</v>
      </c>
      <c r="K24" s="124">
        <f>J24+'14'!K24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E25+'14'!G25</f>
        <v>0</v>
      </c>
      <c r="H25" s="110">
        <f>F25+'14'!H25</f>
        <v>0</v>
      </c>
      <c r="I25" s="99"/>
      <c r="J25" s="752">
        <v>0</v>
      </c>
      <c r="K25" s="124">
        <f>J25+'14'!K25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E26+'14'!G26</f>
        <v>0</v>
      </c>
      <c r="H26" s="110">
        <f>F26+'14'!H26</f>
        <v>0</v>
      </c>
      <c r="I26" s="99"/>
      <c r="J26" s="752">
        <v>0</v>
      </c>
      <c r="K26" s="124">
        <f>J26+'14'!K26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E27+'14'!G27</f>
        <v>0</v>
      </c>
      <c r="H27" s="110">
        <f>F27+'14'!H27</f>
        <v>0</v>
      </c>
      <c r="I27" s="99"/>
      <c r="J27" s="752"/>
      <c r="K27" s="124">
        <f>J27+'14'!K27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E28+'14'!G28</f>
        <v>0</v>
      </c>
      <c r="H28" s="110">
        <f>F28+'14'!H28</f>
        <v>0</v>
      </c>
      <c r="I28" s="99"/>
      <c r="J28" s="752"/>
      <c r="K28" s="124">
        <f>J28+'14'!K28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E29+'14'!G29</f>
        <v>0</v>
      </c>
      <c r="H29" s="110">
        <f>F29+'14'!H29</f>
        <v>0</v>
      </c>
      <c r="I29" s="99"/>
      <c r="J29" s="752"/>
      <c r="K29" s="124">
        <f>J29+'14'!K29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E30+'14'!G30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J30+'14'!K30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E31+'14'!G31</f>
        <v>0</v>
      </c>
      <c r="H31" s="110">
        <f>F31+'14'!H31</f>
        <v>0</v>
      </c>
      <c r="I31" s="99"/>
      <c r="J31" s="865">
        <v>0</v>
      </c>
      <c r="K31" s="124">
        <f>J31+'14'!K31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E32+'14'!G32</f>
        <v>0</v>
      </c>
      <c r="H32" s="110">
        <f>F32+'14'!H32</f>
        <v>554.40000000000009</v>
      </c>
      <c r="I32" s="99"/>
      <c r="J32" s="865">
        <v>0</v>
      </c>
      <c r="K32" s="124">
        <f>J32+'14'!K32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E33+'14'!G33</f>
        <v>0</v>
      </c>
      <c r="H33" s="110">
        <f>F33+'14'!H33</f>
        <v>0</v>
      </c>
      <c r="I33" s="99"/>
      <c r="J33" s="865">
        <v>0</v>
      </c>
      <c r="K33" s="124">
        <f>J33+'14'!K33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E34+'14'!G34</f>
        <v>0</v>
      </c>
      <c r="H34" s="110">
        <f>F34+'14'!H34</f>
        <v>0</v>
      </c>
      <c r="I34" s="99"/>
      <c r="J34" s="865"/>
      <c r="K34" s="124">
        <f>J34+'14'!K34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E35+'14'!G35</f>
        <v>0</v>
      </c>
      <c r="H35" s="110">
        <f>F35+'14'!H35</f>
        <v>0</v>
      </c>
      <c r="I35" s="99"/>
      <c r="J35" s="865"/>
      <c r="K35" s="124">
        <f>J35+'14'!K35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E36+'14'!G36</f>
        <v>0</v>
      </c>
      <c r="H36" s="110">
        <f>F36+'14'!H36</f>
        <v>0</v>
      </c>
      <c r="I36" s="99"/>
      <c r="J36" s="110">
        <v>0</v>
      </c>
      <c r="K36" s="124">
        <f>J36+'14'!K36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E37+'14'!G37</f>
        <v>0</v>
      </c>
      <c r="H37" s="110">
        <f>F37+'14'!H37</f>
        <v>0</v>
      </c>
      <c r="I37" s="99"/>
      <c r="J37" s="110">
        <v>0</v>
      </c>
      <c r="K37" s="124">
        <f>J37+'14'!K37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E38+'14'!G38</f>
        <v>74495.858253774335</v>
      </c>
      <c r="H38" s="676">
        <f>F38+'14'!H38</f>
        <v>9132.5707721894778</v>
      </c>
      <c r="I38" s="760">
        <f>IFERROR((H38/G38),0)</f>
        <v>0.12259165792920811</v>
      </c>
      <c r="J38" s="954">
        <f>SUM(J39:J40)</f>
        <v>0</v>
      </c>
      <c r="K38" s="677">
        <f>J38+'14'!K38</f>
        <v>9083.5707721894778</v>
      </c>
      <c r="L38" s="311">
        <f>D38+H38-K38</f>
        <v>1805.9829593932955</v>
      </c>
      <c r="M38" s="405"/>
      <c r="N38" s="117"/>
      <c r="O38" s="1125"/>
      <c r="P38" s="1126"/>
      <c r="Q38" s="595"/>
      <c r="R38" s="590"/>
      <c r="S38" s="618"/>
      <c r="T38" s="208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F39+'14'!H39</f>
        <v>6840.5707721894778</v>
      </c>
      <c r="I39" s="138"/>
      <c r="J39" s="750">
        <f>F39</f>
        <v>0</v>
      </c>
      <c r="K39" s="124">
        <f>J39+'14'!K39</f>
        <v>6840.5707721894778</v>
      </c>
      <c r="L39" s="149"/>
      <c r="M39" s="405"/>
      <c r="N39" s="117"/>
      <c r="O39" s="1125"/>
      <c r="P39" s="1126"/>
      <c r="Q39" s="595"/>
      <c r="R39" s="590"/>
      <c r="S39" s="618"/>
      <c r="T39" s="118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F40+'14'!H40</f>
        <v>2292</v>
      </c>
      <c r="I40" s="138"/>
      <c r="J40" s="178">
        <v>0</v>
      </c>
      <c r="K40" s="124">
        <f>J40+'14'!K40</f>
        <v>2243</v>
      </c>
      <c r="L40" s="149"/>
      <c r="M40" s="405"/>
      <c r="N40" s="117"/>
      <c r="O40" s="1125"/>
      <c r="P40" s="1126"/>
      <c r="Q40" s="595"/>
      <c r="R40" s="590"/>
      <c r="S40" s="618"/>
      <c r="T40" s="118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F41+'14'!H41</f>
        <v>0</v>
      </c>
      <c r="I41" s="138"/>
      <c r="J41" s="178"/>
      <c r="K41" s="124">
        <f>J41+'14'!K41</f>
        <v>0</v>
      </c>
      <c r="L41" s="149"/>
      <c r="M41" s="405"/>
      <c r="N41" s="117"/>
      <c r="O41" s="1125"/>
      <c r="P41" s="1126"/>
      <c r="Q41" s="595"/>
      <c r="R41" s="590"/>
      <c r="S41" s="618"/>
      <c r="T41" s="118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F42+'14'!H42</f>
        <v>0</v>
      </c>
      <c r="I42" s="138"/>
      <c r="J42" s="178"/>
      <c r="K42" s="124">
        <f>J42+'14'!K42</f>
        <v>0</v>
      </c>
      <c r="L42" s="149"/>
      <c r="M42" s="405"/>
      <c r="N42" s="117"/>
      <c r="O42" s="1125"/>
      <c r="P42" s="1126"/>
      <c r="Q42" s="595"/>
      <c r="R42" s="590"/>
      <c r="S42" s="618"/>
      <c r="T42" s="118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E43+'14'!G43</f>
        <v>48300.939398372095</v>
      </c>
      <c r="H43" s="110">
        <f>F43+'14'!H43</f>
        <v>8403.7999999999993</v>
      </c>
      <c r="I43" s="138">
        <f>IFERROR((H43/G43),0)</f>
        <v>0.1739883344853379</v>
      </c>
      <c r="J43" s="178">
        <f>F43</f>
        <v>0</v>
      </c>
      <c r="K43" s="124">
        <f>J43+'14'!K43</f>
        <v>8403.7999999999993</v>
      </c>
      <c r="L43" s="149">
        <f>D43+H43-K43</f>
        <v>0</v>
      </c>
      <c r="M43" s="405"/>
      <c r="N43" s="117"/>
      <c r="O43" s="1125"/>
      <c r="P43" s="1126"/>
      <c r="Q43" s="595"/>
      <c r="R43" s="590"/>
      <c r="S43" s="618"/>
      <c r="T43" s="118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E44+'14'!G44</f>
        <v>20423.4665443757</v>
      </c>
      <c r="H44" s="110">
        <f>F44+'14'!H44</f>
        <v>7255</v>
      </c>
      <c r="I44" s="138">
        <f>IFERROR((H44/G44),0)</f>
        <v>0.35522862802142235</v>
      </c>
      <c r="J44" s="178">
        <v>0</v>
      </c>
      <c r="K44" s="124">
        <f>J44+'14'!K44</f>
        <v>4780.2485953962823</v>
      </c>
      <c r="L44" s="149">
        <f>D44+H44-K44</f>
        <v>6234.207933515936</v>
      </c>
      <c r="M44" s="405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F45+'14'!H45</f>
        <v>0</v>
      </c>
      <c r="I45" s="138"/>
      <c r="J45" s="178"/>
      <c r="K45" s="124">
        <f>J45+'14'!K45</f>
        <v>0</v>
      </c>
      <c r="L45" s="149"/>
      <c r="M45" s="405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F46+'14'!H46</f>
        <v>0</v>
      </c>
      <c r="I46" s="138"/>
      <c r="J46" s="178"/>
      <c r="K46" s="124">
        <f>J46+'14'!K46</f>
        <v>0</v>
      </c>
      <c r="L46" s="149"/>
      <c r="M46" s="405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F47+'14'!H47</f>
        <v>0</v>
      </c>
      <c r="I47" s="138"/>
      <c r="J47" s="178"/>
      <c r="K47" s="124">
        <f>J47+'14'!K47</f>
        <v>0</v>
      </c>
      <c r="L47" s="149"/>
      <c r="M47" s="405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E48+'14'!G48</f>
        <v>119331.73263127227</v>
      </c>
      <c r="H48" s="110">
        <f>F48+'14'!H48</f>
        <v>15244.370772189477</v>
      </c>
      <c r="I48" s="138">
        <f>IFERROR((H48/G48),0)</f>
        <v>0.12774783736102824</v>
      </c>
      <c r="J48" s="750">
        <v>0</v>
      </c>
      <c r="K48" s="124">
        <f>J48+'14'!K48</f>
        <v>27730.381517661059</v>
      </c>
      <c r="L48" s="149">
        <f>D48+H48-K48</f>
        <v>2068.961018696391</v>
      </c>
      <c r="M48" s="405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11000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E50+'14'!G50</f>
        <v>0</v>
      </c>
      <c r="H50" s="110">
        <f>F50+'14'!H50</f>
        <v>0</v>
      </c>
      <c r="I50" s="138">
        <f>IFERROR((H50/G50),0)</f>
        <v>0</v>
      </c>
      <c r="J50" s="178"/>
      <c r="K50" s="124">
        <f>J50+'14'!K50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11000</v>
      </c>
      <c r="F51" s="110">
        <v>0</v>
      </c>
      <c r="G51" s="110">
        <f>E51+'14'!G51</f>
        <v>162898.95024371953</v>
      </c>
      <c r="H51" s="110">
        <f>F51+'14'!H51</f>
        <v>32176.186994748638</v>
      </c>
      <c r="I51" s="138">
        <f>IFERROR((H51/G51),0)</f>
        <v>0.19752237167034273</v>
      </c>
      <c r="J51" s="178">
        <f>O51-P51</f>
        <v>0</v>
      </c>
      <c r="K51" s="124">
        <f>J51+'14'!K51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118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E53+'14'!G53</f>
        <v>0</v>
      </c>
      <c r="H53" s="110">
        <f>F53+'14'!H53</f>
        <v>0</v>
      </c>
      <c r="I53" s="759">
        <f t="shared" ref="I53:I58" si="4">IFERROR((H53/G53),0)</f>
        <v>0</v>
      </c>
      <c r="J53" s="754"/>
      <c r="K53" s="124">
        <f>J53+'14'!K53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E54+'14'!G54</f>
        <v>4838.7096774193551</v>
      </c>
      <c r="H54" s="110">
        <f>F54+'14'!H54</f>
        <v>0</v>
      </c>
      <c r="I54" s="759">
        <f t="shared" si="4"/>
        <v>0</v>
      </c>
      <c r="J54" s="754">
        <v>0</v>
      </c>
      <c r="K54" s="124">
        <f>J54+'14'!K54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E55+'14'!G55</f>
        <v>8225.8064516129016</v>
      </c>
      <c r="H55" s="110">
        <f>F55+'14'!H55</f>
        <v>0</v>
      </c>
      <c r="I55" s="759">
        <f t="shared" si="4"/>
        <v>0</v>
      </c>
      <c r="J55" s="754">
        <v>0</v>
      </c>
      <c r="K55" s="124">
        <f>J55+'14'!K55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E56+'14'!G56</f>
        <v>0</v>
      </c>
      <c r="H56" s="110">
        <f>F56+'14'!H56</f>
        <v>0</v>
      </c>
      <c r="I56" s="759">
        <f t="shared" si="4"/>
        <v>0</v>
      </c>
      <c r="J56" s="754"/>
      <c r="K56" s="124">
        <f>J56+'14'!K56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/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E57+'14'!G57</f>
        <v>0</v>
      </c>
      <c r="H57" s="110">
        <f>F57+'14'!H57</f>
        <v>0</v>
      </c>
      <c r="I57" s="759">
        <f t="shared" si="4"/>
        <v>0</v>
      </c>
      <c r="J57" s="754"/>
      <c r="K57" s="124">
        <f>J57+'14'!K57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E58+'14'!G58</f>
        <v>0</v>
      </c>
      <c r="H58" s="110">
        <f>F58+'14'!H58</f>
        <v>0</v>
      </c>
      <c r="I58" s="759">
        <f t="shared" si="4"/>
        <v>0</v>
      </c>
      <c r="J58" s="754">
        <v>0</v>
      </c>
      <c r="K58" s="124">
        <f>J58+'14'!K58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F59+'14'!H59</f>
        <v>0</v>
      </c>
      <c r="I59" s="759"/>
      <c r="J59" s="754"/>
      <c r="K59" s="124">
        <f>J59+'14'!K59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F60+'14'!H60</f>
        <v>0</v>
      </c>
      <c r="I60" s="759"/>
      <c r="J60" s="754"/>
      <c r="K60" s="124">
        <f>J60+'14'!K60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F61+'14'!H61</f>
        <v>0</v>
      </c>
      <c r="I61" s="759"/>
      <c r="J61" s="754">
        <f>D139+D141</f>
        <v>0</v>
      </c>
      <c r="K61" s="124">
        <f>J61+'14'!K61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F62+'14'!H62</f>
        <v>0</v>
      </c>
      <c r="I62" s="522"/>
      <c r="J62" s="754">
        <v>0</v>
      </c>
      <c r="K62" s="124">
        <f>J62+'14'!K62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F63+'14'!H63</f>
        <v>3329.1499999999996</v>
      </c>
      <c r="I63" s="1059"/>
      <c r="J63" s="1068"/>
      <c r="K63" s="668">
        <f>J63+'14'!K63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F64+'14'!H64</f>
        <v>0</v>
      </c>
      <c r="I64" s="522"/>
      <c r="J64" s="754"/>
      <c r="K64" s="124">
        <f>J64+'14'!K64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F65+'14'!H65</f>
        <v>0</v>
      </c>
      <c r="I65" s="759"/>
      <c r="J65" s="754"/>
      <c r="K65" s="124">
        <f>J65+'14'!K65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786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F66+'14'!H66</f>
        <v>0</v>
      </c>
      <c r="I66" s="759"/>
      <c r="J66" s="754"/>
      <c r="K66" s="124">
        <f>J66+'14'!K66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F67+'14'!H67</f>
        <v>0</v>
      </c>
      <c r="I67" s="759"/>
      <c r="J67" s="754"/>
      <c r="K67" s="124">
        <f>J67+'14'!K67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F68+'14'!H68</f>
        <v>0</v>
      </c>
      <c r="I68" s="759"/>
      <c r="J68" s="754"/>
      <c r="K68" s="124">
        <f>J68+'14'!K68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F69+'14'!H69</f>
        <v>0</v>
      </c>
      <c r="I69" s="759"/>
      <c r="J69" s="754"/>
      <c r="K69" s="124">
        <f>J69+'14'!K69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F70+'14'!H70</f>
        <v>3329.1499999999996</v>
      </c>
      <c r="I70" s="759"/>
      <c r="J70" s="754"/>
      <c r="K70" s="124">
        <f>J70+'14'!K70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F71+'14'!H71</f>
        <v>0</v>
      </c>
      <c r="I71" s="759"/>
      <c r="J71" s="754"/>
      <c r="K71" s="124">
        <f>J71+'14'!K71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F72+'14'!H72</f>
        <v>1911.376034856974</v>
      </c>
      <c r="I72" s="388"/>
      <c r="J72" s="756">
        <f>K131</f>
        <v>0</v>
      </c>
      <c r="K72" s="395">
        <f>J72+'14'!K72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F73+'14'!H73</f>
        <v>0</v>
      </c>
      <c r="I73" s="934"/>
      <c r="J73" s="931"/>
      <c r="K73" s="935">
        <f>J73+'14'!K73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24*15-K80</f>
        <v>360</v>
      </c>
      <c r="M80" s="139">
        <f>K80/(24*15)</f>
        <v>0</v>
      </c>
      <c r="N80" s="965"/>
      <c r="O80" s="302">
        <f>N80+'14'!O80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24*15-K81</f>
        <v>360</v>
      </c>
      <c r="M81" s="139">
        <f>K81/(24*15)</f>
        <v>0</v>
      </c>
      <c r="N81" s="965"/>
      <c r="O81" s="302">
        <f>N81+'14'!O81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5" si="12">IFERROR(O82/K82,0)</f>
        <v>43.535460826585258</v>
      </c>
      <c r="J82" s="138">
        <f t="shared" si="10"/>
        <v>0.96745468503522791</v>
      </c>
      <c r="K82" s="134">
        <f>F82+'14'!K82</f>
        <v>43.903888888888886</v>
      </c>
      <c r="L82" s="110">
        <f>24*15-K82</f>
        <v>316.0961111111111</v>
      </c>
      <c r="M82" s="139">
        <f>K82/(24*15)</f>
        <v>0.12195524691358024</v>
      </c>
      <c r="N82" s="716">
        <v>0</v>
      </c>
      <c r="O82" s="303">
        <f>N82+'14'!O82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F83+'14'!K83</f>
        <v>64.575555555555553</v>
      </c>
      <c r="L83" s="134">
        <f>G83+'14'!L83</f>
        <v>295.42444444444448</v>
      </c>
      <c r="M83" s="139">
        <f>K83/(24*15)</f>
        <v>0.17937654320987653</v>
      </c>
      <c r="N83" s="716">
        <v>0</v>
      </c>
      <c r="O83" s="303">
        <f>N83+'14'!O83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F84+'14'!K84</f>
        <v>64.977499999999992</v>
      </c>
      <c r="L84" s="134">
        <f>G84+'14'!L84</f>
        <v>295.02250000000004</v>
      </c>
      <c r="M84" s="139">
        <f>K84/(24*15)</f>
        <v>0.18049305555555553</v>
      </c>
      <c r="N84" s="716">
        <v>0</v>
      </c>
      <c r="O84" s="303">
        <f>N84+'14'!O84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F85+'14'!K85</f>
        <v>0</v>
      </c>
      <c r="L85" s="134">
        <f>G85+'14'!L85</f>
        <v>360</v>
      </c>
      <c r="M85" s="139">
        <f>K85/(24*12)</f>
        <v>0</v>
      </c>
      <c r="N85" s="965">
        <v>0</v>
      </c>
      <c r="O85" s="302">
        <f>N85+'14'!O85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F86+'14'!K86</f>
        <v>0</v>
      </c>
      <c r="L86" s="134">
        <f>G86+'14'!L86</f>
        <v>336</v>
      </c>
      <c r="M86" s="139">
        <f>K86/(24*12)</f>
        <v>0</v>
      </c>
      <c r="N86" s="965">
        <v>0</v>
      </c>
      <c r="O86" s="302">
        <f>N86+'14'!O86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F87+'14'!K87</f>
        <v>0</v>
      </c>
      <c r="L87" s="134">
        <f>G87+'14'!L87</f>
        <v>336</v>
      </c>
      <c r="M87" s="139">
        <f>K87/(24*12)</f>
        <v>0</v>
      </c>
      <c r="N87" s="965">
        <v>0</v>
      </c>
      <c r="O87" s="302">
        <f>N87+'14'!O87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F88+'14'!K88</f>
        <v>0</v>
      </c>
      <c r="L88" s="134">
        <f>G88+'14'!L88</f>
        <v>336</v>
      </c>
      <c r="M88" s="139">
        <f>K88/(24*12)</f>
        <v>0</v>
      </c>
      <c r="N88" s="716">
        <v>0</v>
      </c>
      <c r="O88" s="303">
        <f>N88+'14'!O88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F89+'14'!K89</f>
        <v>1.6950000000000001</v>
      </c>
      <c r="L89" s="134">
        <f>G89+'14'!L89</f>
        <v>358.30500000000001</v>
      </c>
      <c r="M89" s="139">
        <f t="shared" ref="M89:M94" si="13">K89/(24*15)</f>
        <v>4.7083333333333335E-3</v>
      </c>
      <c r="N89" s="1001">
        <v>0</v>
      </c>
      <c r="O89" s="303">
        <f>N89+'14'!O89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F90+'14'!K90</f>
        <v>32.664166666666674</v>
      </c>
      <c r="L90" s="134">
        <f>G90+'14'!L90</f>
        <v>327.33583333333331</v>
      </c>
      <c r="M90" s="139">
        <f t="shared" si="13"/>
        <v>9.0733796296296312E-2</v>
      </c>
      <c r="N90" s="1001">
        <v>0</v>
      </c>
      <c r="O90" s="303">
        <f>N90+'14'!O90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 t="shared" si="12"/>
        <v>0</v>
      </c>
      <c r="J91" s="138">
        <f t="shared" si="10"/>
        <v>0</v>
      </c>
      <c r="K91" s="134">
        <f>F91+'14'!K91</f>
        <v>0</v>
      </c>
      <c r="L91" s="134">
        <f>G91+'14'!L91</f>
        <v>360</v>
      </c>
      <c r="M91" s="139">
        <f t="shared" si="13"/>
        <v>0</v>
      </c>
      <c r="N91" s="716">
        <v>0</v>
      </c>
      <c r="O91" s="303">
        <f>N91+'14'!O91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 t="shared" si="12"/>
        <v>140.11316982515353</v>
      </c>
      <c r="J92" s="138">
        <f t="shared" si="10"/>
        <v>0.89583581578868565</v>
      </c>
      <c r="K92" s="134">
        <f>F92+'14'!K92</f>
        <v>71.521666666666675</v>
      </c>
      <c r="L92" s="134">
        <f>G92+'14'!L92</f>
        <v>288.47833333333335</v>
      </c>
      <c r="M92" s="139">
        <f t="shared" si="13"/>
        <v>0.19867129629629632</v>
      </c>
      <c r="N92" s="716">
        <v>0</v>
      </c>
      <c r="O92" s="303">
        <f>N92+'14'!O92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 t="shared" si="12"/>
        <v>144.80399190974401</v>
      </c>
      <c r="J93" s="138">
        <f t="shared" si="10"/>
        <v>0.94516947445354405</v>
      </c>
      <c r="K93" s="134">
        <f>F93+'14'!K93</f>
        <v>64.288611111111109</v>
      </c>
      <c r="L93" s="134">
        <f>G93+'14'!L93</f>
        <v>295.71138888888891</v>
      </c>
      <c r="M93" s="139">
        <f t="shared" si="13"/>
        <v>0.17857947530864196</v>
      </c>
      <c r="N93" s="716">
        <v>0</v>
      </c>
      <c r="O93" s="303">
        <f>N93+'14'!O93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 t="shared" si="12"/>
        <v>89.046875</v>
      </c>
      <c r="J94" s="746">
        <f t="shared" si="10"/>
        <v>1.4841145833333333</v>
      </c>
      <c r="K94" s="765">
        <f>F94+'14'!K94</f>
        <v>32</v>
      </c>
      <c r="L94" s="765">
        <f>G94+'14'!L94</f>
        <v>328</v>
      </c>
      <c r="M94" s="880">
        <f t="shared" si="13"/>
        <v>8.8888888888888892E-2</v>
      </c>
      <c r="N94" s="966">
        <f>E111+E120+E121+E122</f>
        <v>0</v>
      </c>
      <c r="O94" s="871">
        <f>N94+'14'!O94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 t="shared" si="12"/>
        <v>142.05714285714285</v>
      </c>
      <c r="J95" s="444">
        <f>IFERROR(I95/C95,0)</f>
        <v>0</v>
      </c>
      <c r="K95" s="443">
        <f>F95+'14'!K95</f>
        <v>7</v>
      </c>
      <c r="L95" s="443">
        <f>G95+'14'!L95</f>
        <v>353</v>
      </c>
      <c r="M95" s="723">
        <f>K95/(24*15)</f>
        <v>1.9444444444444445E-2</v>
      </c>
      <c r="N95" s="967">
        <f>E112+E114+E115+E118+E119</f>
        <v>0</v>
      </c>
      <c r="O95" s="713">
        <f>N95+'14'!O95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5063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95076</v>
      </c>
      <c r="H100" s="89">
        <f>H101+H110</f>
        <v>19708.249999999993</v>
      </c>
      <c r="I100" s="90">
        <f t="shared" ref="I100:I122" si="15">IFERROR((H100/G100),0)</f>
        <v>0.20728943161260457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5063</v>
      </c>
      <c r="E101" s="98">
        <f>SUM(E102:E109)</f>
        <v>0</v>
      </c>
      <c r="F101" s="99">
        <f t="shared" si="14"/>
        <v>0</v>
      </c>
      <c r="G101" s="169">
        <f>SUM(G102:G109)</f>
        <v>68177</v>
      </c>
      <c r="H101" s="98">
        <f>SUM(H102:H109)</f>
        <v>15844.349999999995</v>
      </c>
      <c r="I101" s="99">
        <f t="shared" si="15"/>
        <v>0.23240022294908833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D102+'14'!G102</f>
        <v>0</v>
      </c>
      <c r="H102" s="178">
        <f>E102+'14'!H102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370</v>
      </c>
      <c r="E103" s="166">
        <v>0</v>
      </c>
      <c r="F103" s="138">
        <f t="shared" si="14"/>
        <v>0</v>
      </c>
      <c r="G103" s="445">
        <f>D103+'14'!G103</f>
        <v>5640</v>
      </c>
      <c r="H103" s="150">
        <f>E103+'14'!H103</f>
        <v>0</v>
      </c>
      <c r="I103" s="138">
        <f t="shared" si="15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4506</v>
      </c>
      <c r="E104" s="110">
        <v>0</v>
      </c>
      <c r="F104" s="138">
        <f t="shared" si="14"/>
        <v>0</v>
      </c>
      <c r="G104" s="134">
        <f>D104+'14'!G104</f>
        <v>60224</v>
      </c>
      <c r="H104" s="178">
        <f>E104+'14'!H104</f>
        <v>12980.249999999995</v>
      </c>
      <c r="I104" s="138">
        <f t="shared" si="15"/>
        <v>0.21553284404888406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D105+'14'!G105</f>
        <v>0</v>
      </c>
      <c r="H105" s="178">
        <f>E105+'14'!H105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D106+'14'!G106</f>
        <v>0</v>
      </c>
      <c r="H106" s="150">
        <f>E106+'14'!H106</f>
        <v>1280.3</v>
      </c>
      <c r="I106" s="138">
        <f t="shared" si="15"/>
        <v>0</v>
      </c>
      <c r="J106" s="1146"/>
      <c r="K106" s="1147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D107+'14'!G107</f>
        <v>0</v>
      </c>
      <c r="H107" s="178">
        <f>E107+'14'!H107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137</v>
      </c>
      <c r="E108" s="110">
        <v>0</v>
      </c>
      <c r="F108" s="138">
        <f t="shared" si="14"/>
        <v>0</v>
      </c>
      <c r="G108" s="445">
        <f>D108+'14'!G108</f>
        <v>1713</v>
      </c>
      <c r="H108" s="178">
        <f>E108+'14'!H108</f>
        <v>826.59999999999991</v>
      </c>
      <c r="I108" s="138">
        <f t="shared" si="15"/>
        <v>0.48254524226503204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50</v>
      </c>
      <c r="E109" s="110">
        <v>0</v>
      </c>
      <c r="F109" s="138">
        <f t="shared" si="14"/>
        <v>0</v>
      </c>
      <c r="G109" s="445">
        <f>D109+'14'!G109</f>
        <v>600</v>
      </c>
      <c r="H109" s="178">
        <f>E109+'14'!H109</f>
        <v>281.59999999999997</v>
      </c>
      <c r="I109" s="138">
        <f t="shared" si="15"/>
        <v>0.46933333333333327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1549</v>
      </c>
      <c r="E110" s="98">
        <f>SUM(E111:E122)</f>
        <v>0</v>
      </c>
      <c r="F110" s="1053">
        <f>IFERROR((E110/D110),0)</f>
        <v>0</v>
      </c>
      <c r="G110" s="1051">
        <f>SUM(G111:G122)</f>
        <v>26899</v>
      </c>
      <c r="H110" s="98">
        <f>SUM(H111:H122)</f>
        <v>3863.8999999999996</v>
      </c>
      <c r="I110" s="1053">
        <f>IFERROR((H110/G110),0)</f>
        <v>0.14364474515781253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D111+'14'!G111</f>
        <v>0</v>
      </c>
      <c r="H111" s="110">
        <f>E111+'14'!H111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 outlineLevel="1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D112+'14'!G112</f>
        <v>0</v>
      </c>
      <c r="H112" s="110">
        <f>E112+'14'!H112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143"/>
      <c r="T112" s="93"/>
    </row>
    <row r="113" spans="1:20" outlineLevel="1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D113+'14'!G113</f>
        <v>0</v>
      </c>
      <c r="H113" s="110">
        <f>E113+'14'!H113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D114+'14'!G114</f>
        <v>240</v>
      </c>
      <c r="H114" s="110">
        <f>E114+'14'!H114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D115+'14'!G115</f>
        <v>0</v>
      </c>
      <c r="H115" s="110">
        <f>E115+'14'!H115</f>
        <v>0</v>
      </c>
      <c r="I115" s="138">
        <f t="shared" si="15"/>
        <v>0</v>
      </c>
      <c r="J115" s="1226"/>
      <c r="K115" s="122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D116+'14'!G116</f>
        <v>0</v>
      </c>
      <c r="H116" s="110">
        <f>E116+'14'!H116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D117+'14'!G117</f>
        <v>0</v>
      </c>
      <c r="H117" s="110">
        <f>E117+'14'!H117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355</v>
      </c>
      <c r="E118" s="110">
        <v>0</v>
      </c>
      <c r="F118" s="138">
        <f t="shared" si="14"/>
        <v>0</v>
      </c>
      <c r="G118" s="134">
        <f>D118+'14'!G118</f>
        <v>5245</v>
      </c>
      <c r="H118" s="110">
        <f>E118+'14'!H118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D119+'14'!G119</f>
        <v>0</v>
      </c>
      <c r="H119" s="110">
        <f>E119+'14'!H119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506</v>
      </c>
      <c r="E120" s="110">
        <v>0</v>
      </c>
      <c r="F120" s="138">
        <f t="shared" si="14"/>
        <v>0</v>
      </c>
      <c r="G120" s="134">
        <f>D120+'14'!G120</f>
        <v>10858</v>
      </c>
      <c r="H120" s="110">
        <f>E120+'14'!H120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D121+'14'!G121</f>
        <v>544</v>
      </c>
      <c r="H121" s="110">
        <f>E121+'14'!H121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0</v>
      </c>
      <c r="F122" s="138">
        <f t="shared" si="14"/>
        <v>0</v>
      </c>
      <c r="G122" s="134">
        <f>D122+'14'!G122</f>
        <v>10012</v>
      </c>
      <c r="H122" s="110">
        <f>E122+'14'!H122</f>
        <v>1823.35</v>
      </c>
      <c r="I122" s="138">
        <f t="shared" si="15"/>
        <v>0.18211646024770275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7" t="s">
        <v>89</v>
      </c>
      <c r="K124" s="784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0</v>
      </c>
      <c r="K125" s="328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37.678781522817218</v>
      </c>
      <c r="F126" s="737">
        <f>IFERROR(E126/D126,0)</f>
        <v>0.93034028451400541</v>
      </c>
      <c r="G126" s="204">
        <v>40.5</v>
      </c>
      <c r="H126" s="200">
        <v>44.005062957230983</v>
      </c>
      <c r="I126" s="157">
        <f>IFERROR(H126/G126,0)</f>
        <v>1.0865447643760737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19.857421525038053</v>
      </c>
      <c r="F127" s="737">
        <f t="shared" ref="F127:F132" si="16">IFERROR(E127/D127,0)</f>
        <v>1.1680836191198853</v>
      </c>
      <c r="G127" s="204">
        <v>17</v>
      </c>
      <c r="H127" s="200">
        <v>17.77591593425624</v>
      </c>
      <c r="I127" s="157">
        <f t="shared" ref="I127:I132" si="17">IFERROR(H127/G127,0)</f>
        <v>1.0456421137797789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19.707142589702876</v>
      </c>
      <c r="F129" s="157">
        <f t="shared" si="16"/>
        <v>0.93843536141442263</v>
      </c>
      <c r="G129" s="204">
        <v>21</v>
      </c>
      <c r="H129" s="200">
        <v>21.581971167477853</v>
      </c>
      <c r="I129" s="157">
        <f t="shared" si="17"/>
        <v>1.0277129127370406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1.3364281072012396</v>
      </c>
      <c r="F130" s="157">
        <f t="shared" si="16"/>
        <v>3.1819716838124755E-2</v>
      </c>
      <c r="G130" s="204">
        <v>42</v>
      </c>
      <c r="H130" s="200">
        <v>12.726485213843787</v>
      </c>
      <c r="I130" s="157">
        <f t="shared" si="17"/>
        <v>0.30301155271056635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50.561844558143157</v>
      </c>
      <c r="F131" s="157">
        <f t="shared" si="16"/>
        <v>1.4446241302326617</v>
      </c>
      <c r="G131" s="204">
        <v>35</v>
      </c>
      <c r="H131" s="200">
        <v>32.751681397085029</v>
      </c>
      <c r="I131" s="157">
        <f t="shared" si="17"/>
        <v>0.93576232563100081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126.11792778081525</v>
      </c>
      <c r="F132" s="684">
        <f t="shared" si="16"/>
        <v>1.2525367740670896</v>
      </c>
      <c r="G132" s="688">
        <v>100.69</v>
      </c>
      <c r="H132" s="683">
        <v>85.21254384633383</v>
      </c>
      <c r="I132" s="684">
        <f t="shared" si="17"/>
        <v>0.84628606461747768</v>
      </c>
      <c r="N132" s="728" t="s">
        <v>188</v>
      </c>
      <c r="O132" s="704">
        <f>O131+'14'!O132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132995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164104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35">
        <f t="shared" ref="C150:H150" si="25">IFERROR(C149/$B$149,0)</f>
        <v>0</v>
      </c>
      <c r="D150" s="335">
        <f t="shared" si="25"/>
        <v>0</v>
      </c>
      <c r="E150" s="335">
        <f t="shared" si="25"/>
        <v>0</v>
      </c>
      <c r="F150" s="335">
        <f t="shared" si="25"/>
        <v>0</v>
      </c>
      <c r="G150" s="335">
        <f t="shared" si="25"/>
        <v>0</v>
      </c>
      <c r="H150" s="335">
        <f t="shared" si="25"/>
        <v>0</v>
      </c>
      <c r="I150" s="326">
        <f>SUM(C150:H150)</f>
        <v>0</v>
      </c>
      <c r="K150" s="374"/>
      <c r="L150" s="375"/>
      <c r="M150" s="372"/>
      <c r="N150" s="373"/>
    </row>
  </sheetData>
  <mergeCells count="114">
    <mergeCell ref="O22:P22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29:J130"/>
    <mergeCell ref="K129:L129"/>
    <mergeCell ref="J105:K105"/>
    <mergeCell ref="J106:K106"/>
    <mergeCell ref="J107:K107"/>
    <mergeCell ref="J111:K111"/>
    <mergeCell ref="K133:N133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5:P5"/>
    <mergeCell ref="O6:P6"/>
    <mergeCell ref="O7:P7"/>
    <mergeCell ref="O8:P8"/>
    <mergeCell ref="A77:P77"/>
    <mergeCell ref="O11:P11"/>
    <mergeCell ref="O38:P38"/>
    <mergeCell ref="O39:P39"/>
    <mergeCell ref="O40:P40"/>
    <mergeCell ref="O41:P41"/>
    <mergeCell ref="O42:P42"/>
    <mergeCell ref="O30:P30"/>
    <mergeCell ref="O9:P9"/>
    <mergeCell ref="O10:P10"/>
    <mergeCell ref="O67:P67"/>
    <mergeCell ref="O68:P68"/>
    <mergeCell ref="O72:P72"/>
    <mergeCell ref="O73:P73"/>
    <mergeCell ref="O23:P23"/>
    <mergeCell ref="O60:P60"/>
    <mergeCell ref="O62:P62"/>
    <mergeCell ref="O63:P63"/>
    <mergeCell ref="O64:P64"/>
    <mergeCell ref="O65:P65"/>
    <mergeCell ref="O21:P2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66:P66"/>
    <mergeCell ref="J112:K112"/>
    <mergeCell ref="C124:C125"/>
    <mergeCell ref="D124:F124"/>
    <mergeCell ref="G124:I124"/>
    <mergeCell ref="O43:P43"/>
    <mergeCell ref="O44:P44"/>
    <mergeCell ref="O49:P49"/>
    <mergeCell ref="O50:P50"/>
    <mergeCell ref="O52:P52"/>
    <mergeCell ref="O53:P53"/>
    <mergeCell ref="O59:P59"/>
    <mergeCell ref="P78:P79"/>
    <mergeCell ref="J114:K114"/>
    <mergeCell ref="O48:P48"/>
    <mergeCell ref="O46:P46"/>
    <mergeCell ref="O47:P47"/>
    <mergeCell ref="O69:P69"/>
    <mergeCell ref="O70:P70"/>
    <mergeCell ref="O71:P71"/>
    <mergeCell ref="O45:P45"/>
    <mergeCell ref="N129:P129"/>
    <mergeCell ref="K142:N142"/>
    <mergeCell ref="A136:A138"/>
    <mergeCell ref="B136:B137"/>
    <mergeCell ref="C136:I136"/>
    <mergeCell ref="J139:J140"/>
    <mergeCell ref="J141:J142"/>
    <mergeCell ref="A78:A79"/>
    <mergeCell ref="B78:B79"/>
    <mergeCell ref="C78:C79"/>
    <mergeCell ref="D78:H78"/>
    <mergeCell ref="I78:M78"/>
    <mergeCell ref="N78:O78"/>
    <mergeCell ref="A96:K96"/>
    <mergeCell ref="A97:A99"/>
    <mergeCell ref="B97:B99"/>
    <mergeCell ref="C97:C99"/>
    <mergeCell ref="D97:F98"/>
    <mergeCell ref="G97:I98"/>
    <mergeCell ref="A123:I123"/>
    <mergeCell ref="A124:A125"/>
    <mergeCell ref="B124:B125"/>
    <mergeCell ref="L99:M99"/>
    <mergeCell ref="N99:O9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7" man="1"/>
  </rowBreaks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8.7109375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16 ",Q1)</f>
        <v>Ежедневный отчет производства и отгрузки за 16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95" t="s">
        <v>9</v>
      </c>
      <c r="C6" s="96">
        <f>'01'!C6</f>
        <v>0</v>
      </c>
      <c r="D6" s="96">
        <f>'01'!D6</f>
        <v>15952.919765534218</v>
      </c>
      <c r="E6" s="134">
        <v>0</v>
      </c>
      <c r="F6" s="110"/>
      <c r="G6" s="98">
        <f>E6+'15'!G6</f>
        <v>0</v>
      </c>
      <c r="H6" s="98">
        <f>F6+'15'!H6</f>
        <v>6671.6154299884374</v>
      </c>
      <c r="I6" s="99"/>
      <c r="J6" s="750"/>
      <c r="K6" s="124">
        <f>J6+'15'!K6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03" t="s">
        <v>219</v>
      </c>
      <c r="B7" s="95" t="s">
        <v>9</v>
      </c>
      <c r="C7" s="96"/>
      <c r="D7" s="149">
        <f>'01'!D7</f>
        <v>0</v>
      </c>
      <c r="E7" s="134"/>
      <c r="F7" s="110">
        <v>0</v>
      </c>
      <c r="G7" s="98"/>
      <c r="H7" s="98">
        <f>F7+'15'!H7</f>
        <v>0</v>
      </c>
      <c r="I7" s="99"/>
      <c r="J7" s="750"/>
      <c r="K7" s="124">
        <f>J7+'15'!K7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03" t="s">
        <v>94</v>
      </c>
      <c r="B8" s="95" t="s">
        <v>9</v>
      </c>
      <c r="C8" s="96"/>
      <c r="D8" s="149">
        <f>'01'!D8</f>
        <v>0</v>
      </c>
      <c r="E8" s="134"/>
      <c r="F8" s="98"/>
      <c r="G8" s="98"/>
      <c r="H8" s="98">
        <f>F8+'15'!H8</f>
        <v>0</v>
      </c>
      <c r="I8" s="99"/>
      <c r="J8" s="947"/>
      <c r="K8" s="124">
        <f>J8+'15'!K8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0</v>
      </c>
      <c r="F9" s="98">
        <f>F10+F11+F12+F13</f>
        <v>0</v>
      </c>
      <c r="G9" s="98">
        <f>E9+'15'!G9</f>
        <v>100500</v>
      </c>
      <c r="H9" s="98">
        <f>F9+'15'!H9</f>
        <v>10202.455966818135</v>
      </c>
      <c r="I9" s="99">
        <f>IFERROR((H9/G9),0)</f>
        <v>0.1015169747942103</v>
      </c>
      <c r="J9" s="177">
        <f>J10+J11+J12+J13</f>
        <v>0</v>
      </c>
      <c r="K9" s="100">
        <f>J9+'15'!K9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E10+'15'!G10</f>
        <v>0</v>
      </c>
      <c r="H10" s="110">
        <f>F10+'15'!H10</f>
        <v>10202.455966818135</v>
      </c>
      <c r="I10" s="99"/>
      <c r="J10" s="178">
        <v>0</v>
      </c>
      <c r="K10" s="124">
        <f>J10+'15'!K10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E11+'15'!G11</f>
        <v>0</v>
      </c>
      <c r="H11" s="110">
        <f>F11+'15'!H11</f>
        <v>0</v>
      </c>
      <c r="I11" s="99"/>
      <c r="J11" s="178">
        <v>0</v>
      </c>
      <c r="K11" s="124">
        <f>J11+'15'!K11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E12+'15'!G12</f>
        <v>0</v>
      </c>
      <c r="H12" s="110">
        <f>F12+'15'!H12</f>
        <v>0</v>
      </c>
      <c r="I12" s="757">
        <f>IFERROR((H12/G12),0)</f>
        <v>0</v>
      </c>
      <c r="J12" s="178"/>
      <c r="K12" s="124">
        <f>J12+'15'!K12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E13+'15'!G13</f>
        <v>0</v>
      </c>
      <c r="H13" s="110">
        <f>F13+'15'!H13</f>
        <v>0</v>
      </c>
      <c r="I13" s="99"/>
      <c r="J13" s="178"/>
      <c r="K13" s="124">
        <f>J13+'15'!K13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4347</v>
      </c>
      <c r="F14" s="89">
        <f>SUM(F15:F21)</f>
        <v>0</v>
      </c>
      <c r="G14" s="89">
        <f>SUM(G15:G21)</f>
        <v>98823.000000000015</v>
      </c>
      <c r="H14" s="89">
        <f>SUM(H15:H21)</f>
        <v>18857.68830004807</v>
      </c>
      <c r="I14" s="90">
        <f t="shared" ref="I14:I21" si="1">IFERROR((H14/G14),0)</f>
        <v>0.19082286815870866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110">
        <f>E15+'15'!G15</f>
        <v>0</v>
      </c>
      <c r="H15" s="110">
        <f>F15+'15'!H15</f>
        <v>0</v>
      </c>
      <c r="I15" s="138">
        <f t="shared" si="1"/>
        <v>0</v>
      </c>
      <c r="J15" s="178">
        <v>0</v>
      </c>
      <c r="K15" s="124">
        <f>J15+'15'!K15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988.50566037735848</v>
      </c>
      <c r="F16" s="171">
        <v>0</v>
      </c>
      <c r="G16" s="110">
        <f>E16+'15'!G16</f>
        <v>22472.301558654639</v>
      </c>
      <c r="H16" s="110">
        <f>F16+'15'!H16</f>
        <v>3228.5002277343951</v>
      </c>
      <c r="I16" s="758">
        <f t="shared" si="1"/>
        <v>0.14366575756861094</v>
      </c>
      <c r="J16" s="751">
        <f>IFERROR(SUMIF(A101:A114,A16,E101:E114),0)+E111+E112+E113</f>
        <v>0</v>
      </c>
      <c r="K16" s="124">
        <f>J16+'15'!K16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E17+'15'!G17</f>
        <v>0</v>
      </c>
      <c r="H17" s="110">
        <f>F17+'15'!H17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J17+'15'!K17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71"/>
      <c r="G18" s="110">
        <f>E18+'15'!G18</f>
        <v>0</v>
      </c>
      <c r="H18" s="110">
        <f>F18+'15'!H18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J18+'15'!K18</f>
        <v>0</v>
      </c>
      <c r="L18" s="12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3248.8832547169814</v>
      </c>
      <c r="F19" s="131">
        <v>0</v>
      </c>
      <c r="G19" s="110">
        <f>E19+'15'!G19</f>
        <v>73858.842852748159</v>
      </c>
      <c r="H19" s="110">
        <f>F19+'15'!H19</f>
        <v>15629.188072313675</v>
      </c>
      <c r="I19" s="759">
        <f t="shared" si="1"/>
        <v>0.21160889432662078</v>
      </c>
      <c r="J19" s="751">
        <f>IFERROR(SUMIF(A102:A115,A19,E102:E115),0)+E117+E115+E122</f>
        <v>0</v>
      </c>
      <c r="K19" s="124">
        <f>J19+'15'!K19</f>
        <v>14803.599999999995</v>
      </c>
      <c r="L19" s="127">
        <f>D19+H19-K19-M19</f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79.299764150943403</v>
      </c>
      <c r="F20" s="110">
        <v>0</v>
      </c>
      <c r="G20" s="110">
        <f>E20+'15'!G20</f>
        <v>1802.7698625922887</v>
      </c>
      <c r="H20" s="110">
        <f>F20+'15'!H20</f>
        <v>0</v>
      </c>
      <c r="I20" s="138">
        <f t="shared" si="1"/>
        <v>0</v>
      </c>
      <c r="J20" s="751">
        <f>IFERROR(SUMIF(A102:A115,A20,E102:E115),0)</f>
        <v>0</v>
      </c>
      <c r="K20" s="124">
        <f>J20+'15'!K20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tr">
        <f>'01'!A21</f>
        <v>ЦЕМ I 42.5Н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30.311320754716977</v>
      </c>
      <c r="F21" s="190">
        <v>0</v>
      </c>
      <c r="G21" s="110">
        <f>E21+'15'!G21</f>
        <v>689.08572600492209</v>
      </c>
      <c r="H21" s="190">
        <f>F21+'15'!H21</f>
        <v>0</v>
      </c>
      <c r="I21" s="138">
        <f t="shared" si="1"/>
        <v>0</v>
      </c>
      <c r="J21" s="751">
        <f>IFERROR(SUMIF(A102:A115,A21,E102:E115),0)</f>
        <v>0</v>
      </c>
      <c r="K21" s="124">
        <f>J21+'15'!K21</f>
        <v>0</v>
      </c>
      <c r="L21" s="127">
        <f t="shared" si="2"/>
        <v>8.7766238721087575E-11</v>
      </c>
      <c r="M21" s="404"/>
      <c r="N21" s="425"/>
      <c r="O21" s="1160">
        <f>L21-F21</f>
        <v>8.7766238721087575E-11</v>
      </c>
      <c r="P21" s="1130"/>
      <c r="Q21" s="590"/>
      <c r="R21" s="590"/>
      <c r="S21" s="115">
        <f>D21+H21-F21-K21</f>
        <v>8.7766238721087575E-11</v>
      </c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E22+'15'!G22</f>
        <v>0</v>
      </c>
      <c r="H22" s="110">
        <f>F22+'15'!H22</f>
        <v>2130.1044634377968</v>
      </c>
      <c r="I22" s="99"/>
      <c r="J22" s="751">
        <f>IFERROR(SUMIF(A103:A123,A22,E103:E123),0)+E109</f>
        <v>0</v>
      </c>
      <c r="K22" s="124">
        <f>J22+'15'!K22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E23+'15'!G23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J23+'15'!K23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E24+'15'!G24</f>
        <v>0</v>
      </c>
      <c r="H24" s="110">
        <f>F24+'15'!H24</f>
        <v>0</v>
      </c>
      <c r="I24" s="99"/>
      <c r="J24" s="752">
        <v>0</v>
      </c>
      <c r="K24" s="124">
        <f>J24+'15'!K24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E25+'15'!G25</f>
        <v>0</v>
      </c>
      <c r="H25" s="110">
        <f>F25+'15'!H25</f>
        <v>0</v>
      </c>
      <c r="I25" s="99"/>
      <c r="J25" s="752">
        <v>0</v>
      </c>
      <c r="K25" s="124">
        <f>J25+'15'!K25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E26+'15'!G26</f>
        <v>0</v>
      </c>
      <c r="H26" s="110">
        <f>F26+'15'!H26</f>
        <v>0</v>
      </c>
      <c r="I26" s="99"/>
      <c r="J26" s="752">
        <v>0</v>
      </c>
      <c r="K26" s="124">
        <f>J26+'15'!K26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tr">
        <f>'01'!A27</f>
        <v>ЦЕМ I 42.5Н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E27+'15'!G27</f>
        <v>0</v>
      </c>
      <c r="H27" s="110">
        <f>F27+'15'!H27</f>
        <v>0</v>
      </c>
      <c r="I27" s="99"/>
      <c r="J27" s="752"/>
      <c r="K27" s="124">
        <f>J27+'15'!K27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E28+'15'!G28</f>
        <v>0</v>
      </c>
      <c r="H28" s="110">
        <f>F28+'15'!H28</f>
        <v>0</v>
      </c>
      <c r="I28" s="99"/>
      <c r="J28" s="752"/>
      <c r="K28" s="124">
        <f>J28+'15'!K28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E29+'15'!G29</f>
        <v>0</v>
      </c>
      <c r="H29" s="110">
        <f>F29+'15'!H29</f>
        <v>0</v>
      </c>
      <c r="I29" s="99"/>
      <c r="J29" s="752"/>
      <c r="K29" s="124">
        <f>J29+'15'!K29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E30+'15'!G30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J30+'15'!K30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E31+'15'!G31</f>
        <v>0</v>
      </c>
      <c r="H31" s="110">
        <f>F31+'15'!H31</f>
        <v>0</v>
      </c>
      <c r="I31" s="99"/>
      <c r="J31" s="865">
        <v>0</v>
      </c>
      <c r="K31" s="124">
        <f>J31+'15'!K31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E32+'15'!G32</f>
        <v>0</v>
      </c>
      <c r="H32" s="110">
        <f>F32+'15'!H32</f>
        <v>554.40000000000009</v>
      </c>
      <c r="I32" s="99"/>
      <c r="J32" s="865">
        <v>0</v>
      </c>
      <c r="K32" s="124">
        <f>J32+'15'!K32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E33+'15'!G33</f>
        <v>0</v>
      </c>
      <c r="H33" s="110">
        <f>F33+'15'!H33</f>
        <v>0</v>
      </c>
      <c r="I33" s="99"/>
      <c r="J33" s="865">
        <v>0</v>
      </c>
      <c r="K33" s="124">
        <f>J33+'15'!K33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tr">
        <f>'01'!A34</f>
        <v>ЦЕМ I 42.5Н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E34+'15'!G34</f>
        <v>0</v>
      </c>
      <c r="H34" s="110">
        <f>F34+'15'!H34</f>
        <v>0</v>
      </c>
      <c r="I34" s="99"/>
      <c r="J34" s="865"/>
      <c r="K34" s="124">
        <f>J34+'15'!K34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E35+'15'!G35</f>
        <v>0</v>
      </c>
      <c r="H35" s="110">
        <f>F35+'15'!H35</f>
        <v>0</v>
      </c>
      <c r="I35" s="99"/>
      <c r="J35" s="865"/>
      <c r="K35" s="124">
        <f>J35+'15'!K35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E36+'15'!G36</f>
        <v>0</v>
      </c>
      <c r="H36" s="110">
        <f>F36+'15'!H36</f>
        <v>0</v>
      </c>
      <c r="I36" s="99"/>
      <c r="J36" s="110">
        <v>0</v>
      </c>
      <c r="K36" s="124">
        <f>J36+'15'!K36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E37+'15'!G37</f>
        <v>0</v>
      </c>
      <c r="H37" s="110">
        <f>F37+'15'!H37</f>
        <v>0</v>
      </c>
      <c r="I37" s="99"/>
      <c r="J37" s="110">
        <v>0</v>
      </c>
      <c r="K37" s="124">
        <f>J37+'15'!K37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E38+'15'!G38</f>
        <v>79462.248804025963</v>
      </c>
      <c r="H38" s="676">
        <f>F38+'15'!H38</f>
        <v>9132.5707721894778</v>
      </c>
      <c r="I38" s="760">
        <f>IFERROR((H38/G38),0)</f>
        <v>0.1149296793086326</v>
      </c>
      <c r="J38" s="954">
        <f>SUM(J39:J40)</f>
        <v>0</v>
      </c>
      <c r="K38" s="677">
        <f>J38+'15'!K38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F39+'15'!H39</f>
        <v>6840.5707721894778</v>
      </c>
      <c r="I39" s="138"/>
      <c r="J39" s="750">
        <f>F39</f>
        <v>0</v>
      </c>
      <c r="K39" s="124">
        <f>J39+'15'!K39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F40+'15'!H40</f>
        <v>2292</v>
      </c>
      <c r="I40" s="138"/>
      <c r="J40" s="178">
        <v>0</v>
      </c>
      <c r="K40" s="124">
        <f>J40+'15'!K40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F41+'15'!H41</f>
        <v>0</v>
      </c>
      <c r="I41" s="138"/>
      <c r="J41" s="178"/>
      <c r="K41" s="124">
        <f>J41+'15'!K41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F42+'15'!H42</f>
        <v>0</v>
      </c>
      <c r="I42" s="138"/>
      <c r="J42" s="178"/>
      <c r="K42" s="124">
        <f>J42+'15'!K42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E43+'15'!G43</f>
        <v>51521.002024930232</v>
      </c>
      <c r="H43" s="110">
        <f>F43+'15'!H43</f>
        <v>8403.7999999999993</v>
      </c>
      <c r="I43" s="138">
        <f>IFERROR((H43/G43),0)</f>
        <v>0.16311406358000427</v>
      </c>
      <c r="J43" s="178">
        <f>F43</f>
        <v>0</v>
      </c>
      <c r="K43" s="124">
        <f>J43+'15'!K43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E44+'15'!G44</f>
        <v>21785.030980667412</v>
      </c>
      <c r="H44" s="110">
        <f>F44+'15'!H44</f>
        <v>7255</v>
      </c>
      <c r="I44" s="138">
        <f>IFERROR((H44/G44),0)</f>
        <v>0.33302683877008349</v>
      </c>
      <c r="J44" s="178">
        <v>0</v>
      </c>
      <c r="K44" s="124">
        <f>J44+'15'!K44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/>
      <c r="G45" s="110"/>
      <c r="H45" s="110">
        <f>F45+'15'!H45</f>
        <v>0</v>
      </c>
      <c r="I45" s="138"/>
      <c r="J45" s="178"/>
      <c r="K45" s="124">
        <f>J45+'15'!K45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F46+'15'!H46</f>
        <v>0</v>
      </c>
      <c r="I46" s="138"/>
      <c r="J46" s="178"/>
      <c r="K46" s="124">
        <f>J46+'15'!K46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F47+'15'!H47</f>
        <v>0</v>
      </c>
      <c r="I47" s="138"/>
      <c r="J47" s="178"/>
      <c r="K47" s="124">
        <f>J47+'15'!K47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E48+'15'!G48</f>
        <v>127287.18147335709</v>
      </c>
      <c r="H48" s="110">
        <f>F48+'15'!H48</f>
        <v>15244.370772189477</v>
      </c>
      <c r="I48" s="138">
        <f>IFERROR((H48/G48),0)</f>
        <v>0.11976359752596398</v>
      </c>
      <c r="J48" s="750">
        <v>0</v>
      </c>
      <c r="K48" s="124">
        <f>J48+'15'!K48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E50+'15'!G50</f>
        <v>0</v>
      </c>
      <c r="H50" s="98">
        <f>F50+'15'!H50</f>
        <v>0</v>
      </c>
      <c r="I50" s="138">
        <f>IFERROR((H50/G50),0)</f>
        <v>0</v>
      </c>
      <c r="J50" s="178"/>
      <c r="K50" s="124">
        <f>J50+'15'!K50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0</v>
      </c>
      <c r="F51" s="110">
        <v>0</v>
      </c>
      <c r="G51" s="110">
        <f>E51+'15'!G51</f>
        <v>162898.95024371953</v>
      </c>
      <c r="H51" s="110">
        <f>F51+'15'!H51</f>
        <v>32176.186994748638</v>
      </c>
      <c r="I51" s="138">
        <f>IFERROR((H51/G51),0)</f>
        <v>0.19752237167034273</v>
      </c>
      <c r="J51" s="178">
        <f>O51-P51</f>
        <v>0</v>
      </c>
      <c r="K51" s="124">
        <f>J51+'15'!K51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E53+'15'!G53</f>
        <v>0</v>
      </c>
      <c r="H53" s="110">
        <f>F53+'15'!H53</f>
        <v>0</v>
      </c>
      <c r="I53" s="759">
        <f t="shared" ref="I53:I58" si="4">IFERROR((H53/G53),0)</f>
        <v>0</v>
      </c>
      <c r="J53" s="754"/>
      <c r="K53" s="124">
        <f>J53+'15'!K53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E54+'15'!G54</f>
        <v>5161.2903225806458</v>
      </c>
      <c r="H54" s="110">
        <f>F54+'15'!H54</f>
        <v>0</v>
      </c>
      <c r="I54" s="759">
        <f t="shared" si="4"/>
        <v>0</v>
      </c>
      <c r="J54" s="754">
        <v>0</v>
      </c>
      <c r="K54" s="124">
        <f>J54+'15'!K54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E55+'15'!G55</f>
        <v>8774.1935483870948</v>
      </c>
      <c r="H55" s="110">
        <f>F55+'15'!H55</f>
        <v>0</v>
      </c>
      <c r="I55" s="759">
        <f t="shared" si="4"/>
        <v>0</v>
      </c>
      <c r="J55" s="754">
        <v>0</v>
      </c>
      <c r="K55" s="124">
        <f>J55+'15'!K55</f>
        <v>1358.9626219234012</v>
      </c>
      <c r="L55" s="127">
        <f t="shared" si="5"/>
        <v>2640.6039748618332</v>
      </c>
      <c r="M55" s="185"/>
      <c r="N55" s="272"/>
      <c r="O55" s="1233"/>
      <c r="P55" s="123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E56+'15'!G56</f>
        <v>0</v>
      </c>
      <c r="H56" s="110">
        <f>F56+'15'!H56</f>
        <v>0</v>
      </c>
      <c r="I56" s="759">
        <f t="shared" si="4"/>
        <v>0</v>
      </c>
      <c r="J56" s="754"/>
      <c r="K56" s="124">
        <f>J56+'15'!K56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/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E57+'15'!G57</f>
        <v>0</v>
      </c>
      <c r="H57" s="110">
        <f>F57+'15'!H57</f>
        <v>0</v>
      </c>
      <c r="I57" s="759">
        <f t="shared" si="4"/>
        <v>0</v>
      </c>
      <c r="J57" s="754"/>
      <c r="K57" s="124">
        <f>J57+'15'!K57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E58+'15'!G58</f>
        <v>0</v>
      </c>
      <c r="H58" s="110">
        <f>F58+'15'!H58</f>
        <v>0</v>
      </c>
      <c r="I58" s="759">
        <f t="shared" si="4"/>
        <v>0</v>
      </c>
      <c r="J58" s="754">
        <v>0</v>
      </c>
      <c r="K58" s="124">
        <f>J58+'15'!K58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F59+'15'!H59</f>
        <v>0</v>
      </c>
      <c r="I59" s="759"/>
      <c r="J59" s="754"/>
      <c r="K59" s="124">
        <f>J59+'15'!K59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110"/>
      <c r="H60" s="110">
        <f>F60+'15'!H60</f>
        <v>0</v>
      </c>
      <c r="I60" s="759"/>
      <c r="J60" s="754"/>
      <c r="K60" s="124">
        <f>J60+'15'!K60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F61+'15'!H61</f>
        <v>0</v>
      </c>
      <c r="I61" s="759"/>
      <c r="J61" s="754">
        <f>D139+D141</f>
        <v>0</v>
      </c>
      <c r="K61" s="124">
        <f>J61+'15'!K61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F62+'15'!H62</f>
        <v>0</v>
      </c>
      <c r="I62" s="522"/>
      <c r="J62" s="754">
        <v>0</v>
      </c>
      <c r="K62" s="124">
        <f>J62+'15'!K62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F63+'15'!H63</f>
        <v>3329.1499999999996</v>
      </c>
      <c r="I63" s="1059"/>
      <c r="J63" s="1068">
        <v>0</v>
      </c>
      <c r="K63" s="668">
        <f>J63+'15'!K63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21"/>
      <c r="H64" s="110">
        <f>F64+'15'!H64</f>
        <v>0</v>
      </c>
      <c r="I64" s="522"/>
      <c r="J64" s="754"/>
      <c r="K64" s="124">
        <f>J64+'15'!K64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F65+'15'!H65</f>
        <v>0</v>
      </c>
      <c r="I65" s="759"/>
      <c r="J65" s="754"/>
      <c r="K65" s="124">
        <f>J65+'15'!K65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F66+'15'!H66</f>
        <v>0</v>
      </c>
      <c r="I66" s="759"/>
      <c r="J66" s="754"/>
      <c r="K66" s="124">
        <f>J66+'15'!K66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F67+'15'!H67</f>
        <v>0</v>
      </c>
      <c r="I67" s="759"/>
      <c r="J67" s="754"/>
      <c r="K67" s="124">
        <f>J67+'15'!K67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F68+'15'!H68</f>
        <v>0</v>
      </c>
      <c r="I68" s="759"/>
      <c r="J68" s="754"/>
      <c r="K68" s="124">
        <f>J68+'15'!K68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110"/>
      <c r="H69" s="110">
        <f>F69+'15'!H69</f>
        <v>0</v>
      </c>
      <c r="I69" s="759"/>
      <c r="J69" s="754">
        <v>0</v>
      </c>
      <c r="K69" s="124">
        <f>J69+'15'!K69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F70+'15'!H70</f>
        <v>3329.1499999999996</v>
      </c>
      <c r="I70" s="759"/>
      <c r="J70" s="754"/>
      <c r="K70" s="124">
        <f>J70+'15'!K70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F71+'15'!H71</f>
        <v>0</v>
      </c>
      <c r="I71" s="759"/>
      <c r="J71" s="754"/>
      <c r="K71" s="124">
        <f>J71+'15'!K71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F72+'15'!H72</f>
        <v>1911.376034856974</v>
      </c>
      <c r="I72" s="388"/>
      <c r="J72" s="756">
        <f>K131</f>
        <v>0</v>
      </c>
      <c r="K72" s="395">
        <f>J72+'15'!K72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F73+'15'!H73</f>
        <v>0</v>
      </c>
      <c r="I73" s="934"/>
      <c r="J73" s="931"/>
      <c r="K73" s="935">
        <f>J73+'15'!K73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24*16-K80</f>
        <v>384</v>
      </c>
      <c r="M80" s="139">
        <f>K80/(24*16)</f>
        <v>0</v>
      </c>
      <c r="N80" s="965"/>
      <c r="O80" s="302">
        <f>N80+'15'!O80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24*16-K81</f>
        <v>384</v>
      </c>
      <c r="M81" s="139">
        <f>K81/(24*16)</f>
        <v>0</v>
      </c>
      <c r="N81" s="965"/>
      <c r="O81" s="302">
        <f>N81+'15'!O81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33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2">IFERROR(O82/K82,0)</f>
        <v>43.535460826585258</v>
      </c>
      <c r="J82" s="138">
        <f t="shared" si="10"/>
        <v>0.96745468503522791</v>
      </c>
      <c r="K82" s="134">
        <f>F82+'15'!K82</f>
        <v>43.903888888888886</v>
      </c>
      <c r="L82" s="110">
        <f>24*16-K82</f>
        <v>340.0961111111111</v>
      </c>
      <c r="M82" s="139">
        <f>K82/(24*16)</f>
        <v>0.11433304398148147</v>
      </c>
      <c r="N82" s="716">
        <v>0</v>
      </c>
      <c r="O82" s="303">
        <f>N82+'15'!O82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33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F83+'15'!K83</f>
        <v>64.575555555555553</v>
      </c>
      <c r="L83" s="134">
        <f>G83+'15'!L83</f>
        <v>319.42444444444448</v>
      </c>
      <c r="M83" s="139">
        <f>K83/(24*16)</f>
        <v>0.16816550925925924</v>
      </c>
      <c r="N83" s="716">
        <v>0</v>
      </c>
      <c r="O83" s="303">
        <f>N83+'15'!O83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F84+'15'!K84</f>
        <v>64.977499999999992</v>
      </c>
      <c r="L84" s="134">
        <f>G84+'15'!L84</f>
        <v>319.02250000000004</v>
      </c>
      <c r="M84" s="139">
        <f>K84/(24*16)</f>
        <v>0.16921223958333331</v>
      </c>
      <c r="N84" s="716">
        <v>0</v>
      </c>
      <c r="O84" s="303">
        <f>N84+'15'!O84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F85+'15'!K85</f>
        <v>0</v>
      </c>
      <c r="L85" s="134">
        <f>G85+'15'!L85</f>
        <v>384</v>
      </c>
      <c r="M85" s="139">
        <f>K85/(24*12)</f>
        <v>0</v>
      </c>
      <c r="N85" s="965">
        <v>0</v>
      </c>
      <c r="O85" s="302">
        <f>N85+'15'!O85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F86+'15'!K86</f>
        <v>0</v>
      </c>
      <c r="L86" s="134">
        <f>G86+'15'!L86</f>
        <v>360</v>
      </c>
      <c r="M86" s="139">
        <f>K86/(24*12)</f>
        <v>0</v>
      </c>
      <c r="N86" s="965">
        <v>0</v>
      </c>
      <c r="O86" s="303">
        <f>N86+'15'!O86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F87+'15'!K87</f>
        <v>0</v>
      </c>
      <c r="L87" s="134">
        <f>G87+'15'!L87</f>
        <v>360</v>
      </c>
      <c r="M87" s="139">
        <f>K87/(24*12)</f>
        <v>0</v>
      </c>
      <c r="N87" s="965">
        <v>0</v>
      </c>
      <c r="O87" s="302">
        <f>N87+'15'!O87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F88+'15'!K88</f>
        <v>0</v>
      </c>
      <c r="L88" s="134">
        <f>G88+'15'!L88</f>
        <v>360</v>
      </c>
      <c r="M88" s="139">
        <f>K88/(24*12)</f>
        <v>0</v>
      </c>
      <c r="N88" s="716">
        <v>0</v>
      </c>
      <c r="O88" s="303">
        <f>N88+'15'!O88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F89+'15'!K89</f>
        <v>1.6950000000000001</v>
      </c>
      <c r="L89" s="134">
        <f>G89+'15'!L89</f>
        <v>382.30500000000001</v>
      </c>
      <c r="M89" s="139">
        <f t="shared" ref="M89:M94" si="13">K89/(24*16)</f>
        <v>4.4140625000000005E-3</v>
      </c>
      <c r="N89" s="1001">
        <v>0</v>
      </c>
      <c r="O89" s="303">
        <f>N89+'15'!O89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F90+'15'!K90</f>
        <v>32.664166666666674</v>
      </c>
      <c r="L90" s="134">
        <f>G90+'15'!L90</f>
        <v>351.33583333333331</v>
      </c>
      <c r="M90" s="139">
        <f t="shared" si="13"/>
        <v>8.5062934027777801E-2</v>
      </c>
      <c r="N90" s="1001">
        <v>0</v>
      </c>
      <c r="O90" s="303">
        <f>N90+'15'!O90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F91+'15'!K91</f>
        <v>0</v>
      </c>
      <c r="L91" s="134">
        <f>G91+'15'!L91</f>
        <v>384</v>
      </c>
      <c r="M91" s="139">
        <f t="shared" si="13"/>
        <v>0</v>
      </c>
      <c r="N91" s="716">
        <v>0</v>
      </c>
      <c r="O91" s="303">
        <f>N91+'15'!O91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F92+'15'!K92</f>
        <v>71.521666666666675</v>
      </c>
      <c r="L92" s="134">
        <f>G92+'15'!L92</f>
        <v>312.47833333333335</v>
      </c>
      <c r="M92" s="139">
        <f t="shared" si="13"/>
        <v>0.18625434027777779</v>
      </c>
      <c r="N92" s="716">
        <v>0</v>
      </c>
      <c r="O92" s="303">
        <f>N92+'15'!O92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F93+'15'!K93</f>
        <v>64.288611111111109</v>
      </c>
      <c r="L93" s="134">
        <f>G93+'15'!L93</f>
        <v>319.71138888888891</v>
      </c>
      <c r="M93" s="139">
        <f t="shared" si="13"/>
        <v>0.16741825810185185</v>
      </c>
      <c r="N93" s="716">
        <v>0</v>
      </c>
      <c r="O93" s="303">
        <f>N93+'15'!O93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F94+'15'!K94</f>
        <v>32</v>
      </c>
      <c r="L94" s="765">
        <f>G94+'15'!L94</f>
        <v>352</v>
      </c>
      <c r="M94" s="880">
        <f t="shared" si="13"/>
        <v>8.3333333333333329E-2</v>
      </c>
      <c r="N94" s="966">
        <f>E111+E120+E121+E122</f>
        <v>0</v>
      </c>
      <c r="O94" s="871">
        <f>N94+'15'!O94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F95+'15'!K95</f>
        <v>7</v>
      </c>
      <c r="L95" s="443">
        <f>G95+'15'!L95</f>
        <v>377</v>
      </c>
      <c r="M95" s="723">
        <f>K95/(24*16)</f>
        <v>1.8229166666666668E-2</v>
      </c>
      <c r="N95" s="967">
        <f>E112+E114+E115+E118+E119</f>
        <v>0</v>
      </c>
      <c r="O95" s="713">
        <f>N95+'15'!O95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253"/>
      <c r="N97" s="253"/>
      <c r="O97" s="253"/>
      <c r="P97" s="253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835" t="s">
        <v>3</v>
      </c>
      <c r="H99" s="837" t="s">
        <v>2</v>
      </c>
      <c r="I99" s="836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2921</v>
      </c>
      <c r="E100" s="89">
        <f>E101+E110</f>
        <v>0</v>
      </c>
      <c r="F100" s="90">
        <f t="shared" ref="F100:F114" si="14">IFERROR((E100/D100),0)</f>
        <v>0</v>
      </c>
      <c r="G100" s="88">
        <f>G101+G110</f>
        <v>99448</v>
      </c>
      <c r="H100" s="89">
        <f>H101+H110</f>
        <v>19708.249999999993</v>
      </c>
      <c r="I100" s="90">
        <f t="shared" ref="I100:I122" si="15">IFERROR((H100/G100),0)</f>
        <v>0.19817643391521189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2921</v>
      </c>
      <c r="E101" s="98">
        <f>SUM(E102:E109)</f>
        <v>0</v>
      </c>
      <c r="F101" s="99">
        <f t="shared" si="14"/>
        <v>0</v>
      </c>
      <c r="G101" s="169">
        <f>SUM(G102:G109)</f>
        <v>71098</v>
      </c>
      <c r="H101" s="98">
        <f>SUM(H102:H109)</f>
        <v>15844.349999999995</v>
      </c>
      <c r="I101" s="99">
        <f t="shared" si="15"/>
        <v>0.22285226026048546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D102+'15'!G102</f>
        <v>0</v>
      </c>
      <c r="H102" s="178">
        <f>E102+'15'!H102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270</v>
      </c>
      <c r="E103" s="166">
        <v>0</v>
      </c>
      <c r="F103" s="138">
        <f t="shared" si="14"/>
        <v>0</v>
      </c>
      <c r="G103" s="445">
        <f>D103+'15'!G103</f>
        <v>5910</v>
      </c>
      <c r="H103" s="150">
        <f>E103+'15'!H103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2538</v>
      </c>
      <c r="E104" s="110">
        <v>0</v>
      </c>
      <c r="F104" s="138">
        <f t="shared" si="14"/>
        <v>0</v>
      </c>
      <c r="G104" s="134">
        <f>D104+'15'!G104</f>
        <v>62762</v>
      </c>
      <c r="H104" s="178">
        <f>E104+'15'!H104</f>
        <v>12980.249999999995</v>
      </c>
      <c r="I104" s="138">
        <f t="shared" si="15"/>
        <v>0.20681702303941868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D105+'15'!G105</f>
        <v>0</v>
      </c>
      <c r="H105" s="178">
        <f>E105+'15'!H105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D106+'15'!G106</f>
        <v>0</v>
      </c>
      <c r="H106" s="178">
        <f>E106+'15'!H106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D107+'15'!G107</f>
        <v>0</v>
      </c>
      <c r="H107" s="178">
        <f>E107+'15'!H107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88</v>
      </c>
      <c r="E108" s="110">
        <v>0</v>
      </c>
      <c r="F108" s="138">
        <f t="shared" si="14"/>
        <v>0</v>
      </c>
      <c r="G108" s="134">
        <f>D108+'15'!G108</f>
        <v>1801</v>
      </c>
      <c r="H108" s="178">
        <f>E108+'15'!H108</f>
        <v>826.59999999999991</v>
      </c>
      <c r="I108" s="138">
        <f t="shared" si="15"/>
        <v>0.45896724042198772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134">
        <f>D109+'15'!G109</f>
        <v>625</v>
      </c>
      <c r="H109" s="178">
        <f>E109+'15'!H109</f>
        <v>281.59999999999997</v>
      </c>
      <c r="I109" s="138">
        <f t="shared" si="15"/>
        <v>0.45055999999999996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1451</v>
      </c>
      <c r="E110" s="98">
        <f>SUM(E111:E122)</f>
        <v>0</v>
      </c>
      <c r="F110" s="1053">
        <f>IFERROR((E110/D110),0)</f>
        <v>0</v>
      </c>
      <c r="G110" s="1051">
        <f>SUM(G111:G122)</f>
        <v>28350</v>
      </c>
      <c r="H110" s="98">
        <f>SUM(H111:H122)</f>
        <v>3863.8999999999996</v>
      </c>
      <c r="I110" s="1053">
        <f>IFERROR((H110/G110),0)</f>
        <v>0.13629276895943562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D111+'15'!G111</f>
        <v>0</v>
      </c>
      <c r="H111" s="110">
        <f>E111+'15'!H111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49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D112+'15'!G112</f>
        <v>0</v>
      </c>
      <c r="H112" s="110">
        <f>E112+'15'!H112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49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D113+'15'!G113</f>
        <v>0</v>
      </c>
      <c r="H113" s="110">
        <f>E113+'15'!H113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65">
        <v>16</v>
      </c>
      <c r="E114" s="301">
        <v>0</v>
      </c>
      <c r="F114" s="167">
        <f t="shared" si="14"/>
        <v>0</v>
      </c>
      <c r="G114" s="134">
        <f>D114+'15'!G114</f>
        <v>256</v>
      </c>
      <c r="H114" s="110">
        <f>E114+'15'!H114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65">
        <v>0</v>
      </c>
      <c r="E115" s="864">
        <v>0</v>
      </c>
      <c r="F115" s="138"/>
      <c r="G115" s="134">
        <f>D115+'15'!G115</f>
        <v>0</v>
      </c>
      <c r="H115" s="110">
        <f>E115+'15'!H115</f>
        <v>0</v>
      </c>
      <c r="I115" s="138">
        <f t="shared" si="15"/>
        <v>0</v>
      </c>
      <c r="J115" s="799"/>
      <c r="K115" s="800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65">
        <v>0</v>
      </c>
      <c r="E116" s="110">
        <v>0</v>
      </c>
      <c r="F116" s="138"/>
      <c r="G116" s="134">
        <f>D116+'15'!G116</f>
        <v>0</v>
      </c>
      <c r="H116" s="110">
        <f>E116+'15'!H116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65">
        <v>0</v>
      </c>
      <c r="E117" s="110">
        <v>0</v>
      </c>
      <c r="F117" s="138"/>
      <c r="G117" s="134">
        <f>D117+'15'!G117</f>
        <v>0</v>
      </c>
      <c r="H117" s="110">
        <f>E117+'15'!H117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65">
        <v>325</v>
      </c>
      <c r="E118" s="110">
        <v>0</v>
      </c>
      <c r="F118" s="138"/>
      <c r="G118" s="134">
        <f>D118+'15'!G118</f>
        <v>5570</v>
      </c>
      <c r="H118" s="110">
        <f>E118+'15'!H118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65">
        <v>0</v>
      </c>
      <c r="E119" s="110">
        <v>0</v>
      </c>
      <c r="F119" s="138"/>
      <c r="G119" s="134">
        <f>D119+'15'!G119</f>
        <v>0</v>
      </c>
      <c r="H119" s="110">
        <f>E119+'15'!H119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710</v>
      </c>
      <c r="E120" s="110">
        <v>0</v>
      </c>
      <c r="F120" s="138"/>
      <c r="G120" s="134">
        <f>D120+'15'!G120</f>
        <v>11568</v>
      </c>
      <c r="H120" s="110">
        <f>E120+'15'!H120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65">
        <v>0</v>
      </c>
      <c r="E121" s="110">
        <v>0</v>
      </c>
      <c r="F121" s="138"/>
      <c r="G121" s="134">
        <f>D121+'15'!G121</f>
        <v>544</v>
      </c>
      <c r="H121" s="110">
        <f>E121+'15'!H121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400</v>
      </c>
      <c r="E122" s="110">
        <v>0</v>
      </c>
      <c r="F122" s="138"/>
      <c r="G122" s="134">
        <f>D122+'15'!G122</f>
        <v>10412</v>
      </c>
      <c r="H122" s="110">
        <f>E122+'15'!H122</f>
        <v>1823.35</v>
      </c>
      <c r="I122" s="138">
        <f t="shared" si="15"/>
        <v>0.17512005378409526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5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19" t="s">
        <v>182</v>
      </c>
      <c r="C126" s="155" t="s">
        <v>189</v>
      </c>
      <c r="D126" s="352">
        <v>40.5</v>
      </c>
      <c r="E126" s="256">
        <v>39.605508833277888</v>
      </c>
      <c r="F126" s="157">
        <f>IFERROR(E126/D126,0)</f>
        <v>0.97791379835254044</v>
      </c>
      <c r="G126" s="204">
        <v>40.5</v>
      </c>
      <c r="H126" s="200">
        <v>43.705758834429254</v>
      </c>
      <c r="I126" s="157">
        <f>IFERROR(H126/G126,0)</f>
        <v>1.0791545391217099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19" t="s">
        <v>182</v>
      </c>
      <c r="C127" s="155" t="s">
        <v>178</v>
      </c>
      <c r="D127" s="352">
        <v>17</v>
      </c>
      <c r="E127" s="256">
        <v>129.22751527906638</v>
      </c>
      <c r="F127" s="157">
        <f t="shared" ref="F127:F132" si="16">IFERROR(E127/D127,0)</f>
        <v>7.6016185458274341</v>
      </c>
      <c r="G127" s="204">
        <v>17</v>
      </c>
      <c r="H127" s="200">
        <v>18.86569502885196</v>
      </c>
      <c r="I127" s="157">
        <f t="shared" ref="I127:I132" si="17">IFERROR(H127/G127,0)</f>
        <v>1.1097467664030565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19" t="s">
        <v>51</v>
      </c>
      <c r="C128" s="155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19" t="s">
        <v>182</v>
      </c>
      <c r="C129" s="155" t="s">
        <v>183</v>
      </c>
      <c r="D129" s="352">
        <v>21</v>
      </c>
      <c r="E129" s="256">
        <v>19.901786989348004</v>
      </c>
      <c r="F129" s="157">
        <f t="shared" si="16"/>
        <v>0.94770414234990497</v>
      </c>
      <c r="G129" s="204">
        <v>21</v>
      </c>
      <c r="H129" s="200">
        <v>21.462205461455557</v>
      </c>
      <c r="I129" s="157">
        <f t="shared" si="17"/>
        <v>1.022009783878836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19" t="s">
        <v>182</v>
      </c>
      <c r="C130" s="155" t="s">
        <v>161</v>
      </c>
      <c r="D130" s="352">
        <v>42</v>
      </c>
      <c r="E130" s="256">
        <v>9.2959913581141631</v>
      </c>
      <c r="F130" s="157">
        <f t="shared" si="16"/>
        <v>0.22133312757414675</v>
      </c>
      <c r="G130" s="204">
        <v>42</v>
      </c>
      <c r="H130" s="200">
        <v>12.587162862581161</v>
      </c>
      <c r="I130" s="157">
        <f t="shared" si="17"/>
        <v>0.29969435387098003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06" t="s">
        <v>182</v>
      </c>
      <c r="C131" s="155" t="s">
        <v>162</v>
      </c>
      <c r="D131" s="352">
        <v>35</v>
      </c>
      <c r="E131" s="256">
        <v>42.810946675090527</v>
      </c>
      <c r="F131" s="157">
        <f t="shared" si="16"/>
        <v>1.2231699050025864</v>
      </c>
      <c r="G131" s="204">
        <v>35</v>
      </c>
      <c r="H131" s="200">
        <v>33.464788037132976</v>
      </c>
      <c r="I131" s="157">
        <f t="shared" si="17"/>
        <v>0.95613680106094223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98.908366353056337</v>
      </c>
      <c r="F132" s="684">
        <f t="shared" si="16"/>
        <v>0.98230575382914231</v>
      </c>
      <c r="G132" s="688">
        <v>100.69</v>
      </c>
      <c r="H132" s="683">
        <v>85.795488903399303</v>
      </c>
      <c r="I132" s="684">
        <f t="shared" si="17"/>
        <v>0.85207556761743275</v>
      </c>
      <c r="N132" s="728" t="s">
        <v>188</v>
      </c>
      <c r="O132" s="704">
        <f>O131+'15'!O132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131971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238435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5">IFERROR(C149/$B$149,0)</f>
        <v>0</v>
      </c>
      <c r="D150" s="346">
        <f t="shared" si="25"/>
        <v>0</v>
      </c>
      <c r="E150" s="346">
        <f t="shared" si="25"/>
        <v>0</v>
      </c>
      <c r="F150" s="346">
        <f t="shared" si="25"/>
        <v>0</v>
      </c>
      <c r="G150" s="346">
        <f t="shared" si="25"/>
        <v>0</v>
      </c>
      <c r="H150" s="346">
        <f t="shared" si="25"/>
        <v>0</v>
      </c>
      <c r="I150" s="481">
        <f>SUM(C150:H150)</f>
        <v>0</v>
      </c>
      <c r="K150" s="374"/>
      <c r="L150" s="375"/>
      <c r="M150" s="372"/>
      <c r="N150" s="373"/>
    </row>
  </sheetData>
  <mergeCells count="112">
    <mergeCell ref="O30:P30"/>
    <mergeCell ref="O22:P22"/>
    <mergeCell ref="J145:J146"/>
    <mergeCell ref="J147:J148"/>
    <mergeCell ref="O61:P61"/>
    <mergeCell ref="O54:P54"/>
    <mergeCell ref="O55:P55"/>
    <mergeCell ref="O56:P56"/>
    <mergeCell ref="O57:P57"/>
    <mergeCell ref="O58:P58"/>
    <mergeCell ref="O60:P60"/>
    <mergeCell ref="P78:P79"/>
    <mergeCell ref="N78:O78"/>
    <mergeCell ref="A96:K96"/>
    <mergeCell ref="C97:C99"/>
    <mergeCell ref="D97:F98"/>
    <mergeCell ref="G97:I98"/>
    <mergeCell ref="J129:J130"/>
    <mergeCell ref="K129:L129"/>
    <mergeCell ref="A124:A125"/>
    <mergeCell ref="B124:B125"/>
    <mergeCell ref="C124:C125"/>
    <mergeCell ref="D124:F124"/>
    <mergeCell ref="G124:I124"/>
    <mergeCell ref="O53:P53"/>
    <mergeCell ref="J143:J144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L99:M99"/>
    <mergeCell ref="N99:O99"/>
    <mergeCell ref="A97:A99"/>
    <mergeCell ref="B97:B99"/>
    <mergeCell ref="N129:P129"/>
    <mergeCell ref="K133:N133"/>
    <mergeCell ref="K142:N142"/>
    <mergeCell ref="A136:A138"/>
    <mergeCell ref="B136:B137"/>
    <mergeCell ref="A78:A79"/>
    <mergeCell ref="B78:B79"/>
    <mergeCell ref="O50:P50"/>
    <mergeCell ref="O52:P52"/>
    <mergeCell ref="J97:K9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16:P16"/>
    <mergeCell ref="O21:P21"/>
    <mergeCell ref="O23:P23"/>
    <mergeCell ref="O38:P38"/>
    <mergeCell ref="O39:P39"/>
    <mergeCell ref="O40:P40"/>
    <mergeCell ref="O41:P41"/>
    <mergeCell ref="O42:P42"/>
    <mergeCell ref="D78:H78"/>
    <mergeCell ref="O72:P72"/>
    <mergeCell ref="J141:J142"/>
    <mergeCell ref="O59:P59"/>
    <mergeCell ref="O67:P67"/>
    <mergeCell ref="C78:C79"/>
    <mergeCell ref="I78:M78"/>
    <mergeCell ref="O73:P73"/>
    <mergeCell ref="O62:P62"/>
    <mergeCell ref="O63:P63"/>
    <mergeCell ref="O64:P64"/>
    <mergeCell ref="O65:P65"/>
    <mergeCell ref="O66:P66"/>
    <mergeCell ref="O69:P69"/>
    <mergeCell ref="O70:P70"/>
    <mergeCell ref="O71:P71"/>
    <mergeCell ref="C136:I136"/>
    <mergeCell ref="J139:J140"/>
    <mergeCell ref="O5:P5"/>
    <mergeCell ref="O6:P6"/>
    <mergeCell ref="O7:P7"/>
    <mergeCell ref="O8:P8"/>
    <mergeCell ref="A77:P77"/>
    <mergeCell ref="O9:P9"/>
    <mergeCell ref="O10:P10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68:P68"/>
    <mergeCell ref="O43:P43"/>
    <mergeCell ref="O44:P44"/>
    <mergeCell ref="O48:P48"/>
    <mergeCell ref="O45:P45"/>
    <mergeCell ref="O46:P46"/>
    <mergeCell ref="O47:P47"/>
    <mergeCell ref="O49:P4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17 ",Q1)</f>
        <v>Ежедневный отчет производства и отгрузки за 17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E6+'16'!G6</f>
        <v>0</v>
      </c>
      <c r="H6" s="110">
        <f>F6+'16'!H6</f>
        <v>6671.6154299884374</v>
      </c>
      <c r="I6" s="138"/>
      <c r="J6" s="750"/>
      <c r="K6" s="124">
        <f>J6+'16'!K6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95" t="s">
        <v>9</v>
      </c>
      <c r="C7" s="96"/>
      <c r="D7" s="149">
        <f>'01'!D7</f>
        <v>0</v>
      </c>
      <c r="E7" s="134"/>
      <c r="F7" s="110">
        <v>0</v>
      </c>
      <c r="G7" s="98"/>
      <c r="H7" s="110">
        <f>F7+'16'!H7</f>
        <v>0</v>
      </c>
      <c r="I7" s="99"/>
      <c r="J7" s="750"/>
      <c r="K7" s="124">
        <f>J7+'16'!K7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95" t="s">
        <v>9</v>
      </c>
      <c r="C8" s="96"/>
      <c r="D8" s="149">
        <f>'01'!D8</f>
        <v>0</v>
      </c>
      <c r="E8" s="134"/>
      <c r="F8" s="98"/>
      <c r="G8" s="98"/>
      <c r="H8" s="98">
        <f>F8+'16'!H8</f>
        <v>0</v>
      </c>
      <c r="I8" s="99"/>
      <c r="J8" s="750"/>
      <c r="K8" s="124">
        <f>J8+'16'!K8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0</v>
      </c>
      <c r="F9" s="98">
        <f>F10+F11+F12+F13</f>
        <v>0</v>
      </c>
      <c r="G9" s="98">
        <f>E9+'16'!G9</f>
        <v>100500</v>
      </c>
      <c r="H9" s="98">
        <f>F9+'16'!H9</f>
        <v>10202.455966818135</v>
      </c>
      <c r="I9" s="99">
        <f>IFERROR((H9/G9),0)</f>
        <v>0.1015169747942103</v>
      </c>
      <c r="J9" s="177">
        <f>J10+J11+J12+J13</f>
        <v>0</v>
      </c>
      <c r="K9" s="100">
        <f>J9+'16'!K9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134"/>
      <c r="F10" s="110">
        <v>0</v>
      </c>
      <c r="G10" s="98">
        <f>E10+'16'!G10</f>
        <v>0</v>
      </c>
      <c r="H10" s="110">
        <f>F10+'16'!H10</f>
        <v>10202.455966818135</v>
      </c>
      <c r="I10" s="99"/>
      <c r="J10" s="178">
        <v>0</v>
      </c>
      <c r="K10" s="124">
        <f>J10+'16'!K10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134"/>
      <c r="F11" s="110"/>
      <c r="G11" s="98">
        <f>E11+'16'!G11</f>
        <v>0</v>
      </c>
      <c r="H11" s="110">
        <f>F11+'16'!H11</f>
        <v>0</v>
      </c>
      <c r="I11" s="99"/>
      <c r="J11" s="178">
        <v>0</v>
      </c>
      <c r="K11" s="124">
        <f>J11+'16'!K11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E12+'16'!G12</f>
        <v>0</v>
      </c>
      <c r="H12" s="110">
        <f>F12+'16'!H12</f>
        <v>0</v>
      </c>
      <c r="I12" s="757">
        <f>IFERROR((H12/G12),0)</f>
        <v>0</v>
      </c>
      <c r="J12" s="750"/>
      <c r="K12" s="124">
        <f>J12+'16'!K12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E13+'16'!G13</f>
        <v>0</v>
      </c>
      <c r="H13" s="110">
        <f>F13+'16'!H13</f>
        <v>0</v>
      </c>
      <c r="I13" s="99"/>
      <c r="J13" s="178"/>
      <c r="K13" s="124">
        <f>J13+'16'!K13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6453</v>
      </c>
      <c r="F14" s="89">
        <f>SUM(F15:F21)</f>
        <v>0</v>
      </c>
      <c r="G14" s="89">
        <f>SUM(G15:G21)</f>
        <v>105276.00000000001</v>
      </c>
      <c r="H14" s="89">
        <f>SUM(H15:H21)</f>
        <v>18857.68830004807</v>
      </c>
      <c r="I14" s="90">
        <f t="shared" ref="I14:I21" si="1">IFERROR((H14/G14),0)</f>
        <v>0.17912618545583103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98">
        <f>E15+'16'!G15</f>
        <v>0</v>
      </c>
      <c r="H15" s="110">
        <f>F15+'16'!H15</f>
        <v>0</v>
      </c>
      <c r="I15" s="138">
        <f t="shared" si="1"/>
        <v>0</v>
      </c>
      <c r="J15" s="178">
        <v>0</v>
      </c>
      <c r="K15" s="100">
        <f>J15+'16'!K15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05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1467.4090237899918</v>
      </c>
      <c r="F16" s="171">
        <v>0</v>
      </c>
      <c r="G16" s="110">
        <f>E16+'16'!G16</f>
        <v>23939.71058244463</v>
      </c>
      <c r="H16" s="110">
        <f>F16+'16'!H16</f>
        <v>3228.5002277343951</v>
      </c>
      <c r="I16" s="758">
        <f t="shared" si="1"/>
        <v>0.13485961814851286</v>
      </c>
      <c r="J16" s="751">
        <f>IFERROR(SUMIF(A101:A114,A16,E101:E114),0)+E111+E112+E113</f>
        <v>0</v>
      </c>
      <c r="K16" s="124">
        <f>J16+'16'!K16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E17+'16'!G17</f>
        <v>0</v>
      </c>
      <c r="H17" s="110">
        <f>F17+'16'!H17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J17+'16'!K17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05" t="s">
        <v>85</v>
      </c>
      <c r="B18" s="119" t="s">
        <v>9</v>
      </c>
      <c r="C18" s="170">
        <f>'01'!C18</f>
        <v>1360</v>
      </c>
      <c r="D18" s="170">
        <f>'01'!D18</f>
        <v>3183.2380657083054</v>
      </c>
      <c r="E18" s="134"/>
      <c r="F18" s="171"/>
      <c r="G18" s="110">
        <f>E18+'16'!G18</f>
        <v>0</v>
      </c>
      <c r="H18" s="110">
        <f>F18+'16'!H18</f>
        <v>0</v>
      </c>
      <c r="I18" s="758">
        <f t="shared" si="1"/>
        <v>0</v>
      </c>
      <c r="J18" s="751">
        <f>IFERROR(SUMIF(A102:A115,A18,E102:E115),0)+E118+E120</f>
        <v>0</v>
      </c>
      <c r="K18" s="124">
        <f>J18+'16'!K18</f>
        <v>0</v>
      </c>
      <c r="L18" s="39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4822.8763843314191</v>
      </c>
      <c r="F19" s="131">
        <v>0</v>
      </c>
      <c r="G19" s="110">
        <f>E19+'16'!G19</f>
        <v>78681.719237079582</v>
      </c>
      <c r="H19" s="110">
        <f>F19+'16'!H19</f>
        <v>15629.188072313675</v>
      </c>
      <c r="I19" s="759">
        <f t="shared" si="1"/>
        <v>0.19863811090884573</v>
      </c>
      <c r="J19" s="751">
        <f>IFERROR(SUMIF(A102:A115,A19,E102:E115),0)+E117+E115+E122</f>
        <v>0</v>
      </c>
      <c r="K19" s="124">
        <f>J19+'16'!K19</f>
        <v>14803.599999999995</v>
      </c>
      <c r="L19" s="127">
        <f>D19+H19-K19-M19</f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117.71828342904021</v>
      </c>
      <c r="F20" s="110">
        <v>0</v>
      </c>
      <c r="G20" s="110">
        <f>E20+'16'!G20</f>
        <v>1920.4881460213289</v>
      </c>
      <c r="H20" s="110">
        <f>F20+'16'!H20</f>
        <v>0</v>
      </c>
      <c r="I20" s="138">
        <f t="shared" si="1"/>
        <v>0</v>
      </c>
      <c r="J20" s="751">
        <f>IFERROR(SUMIF(A102:A115,A20,E102:E115),0)</f>
        <v>0</v>
      </c>
      <c r="K20" s="124">
        <f>J20+'16'!K20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">
        <v>50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44.996308449548806</v>
      </c>
      <c r="F21" s="110">
        <v>0</v>
      </c>
      <c r="G21" s="110">
        <f>E21+'16'!G21</f>
        <v>734.08203445447089</v>
      </c>
      <c r="H21" s="110">
        <f>F21+'16'!H21</f>
        <v>0</v>
      </c>
      <c r="I21" s="138">
        <f t="shared" si="1"/>
        <v>0</v>
      </c>
      <c r="J21" s="751">
        <f>IFERROR(SUMIF(A102:A115,A21,E102:E115),0)</f>
        <v>0</v>
      </c>
      <c r="K21" s="124">
        <f>J21+'16'!K21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98">
        <v>0</v>
      </c>
      <c r="G22" s="110">
        <f>E22+'16'!G22</f>
        <v>0</v>
      </c>
      <c r="H22" s="110">
        <f>F22+'16'!H22</f>
        <v>2130.1044634377968</v>
      </c>
      <c r="I22" s="99"/>
      <c r="J22" s="751">
        <f>IFERROR(SUMIF(A103:A123,A22,E103:E123),0)+E109</f>
        <v>0</v>
      </c>
      <c r="K22" s="124">
        <f>J22+'16'!K22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E23+'16'!G23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J23+'16'!K23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E24+'16'!G24</f>
        <v>0</v>
      </c>
      <c r="H24" s="110">
        <f>F24+'16'!H24</f>
        <v>0</v>
      </c>
      <c r="I24" s="99"/>
      <c r="J24" s="751">
        <v>0</v>
      </c>
      <c r="K24" s="124">
        <f>J24+'16'!K24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05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E25+'16'!G25</f>
        <v>0</v>
      </c>
      <c r="H25" s="110">
        <f>F25+'16'!H25</f>
        <v>0</v>
      </c>
      <c r="I25" s="99"/>
      <c r="J25" s="752">
        <v>0</v>
      </c>
      <c r="K25" s="124">
        <f>J25+'16'!K25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E26+'16'!G26</f>
        <v>0</v>
      </c>
      <c r="H26" s="110">
        <f>F26+'16'!H26</f>
        <v>0</v>
      </c>
      <c r="I26" s="99"/>
      <c r="J26" s="752">
        <v>0</v>
      </c>
      <c r="K26" s="124">
        <f>J26+'16'!K26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">
        <v>50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E27+'16'!G27</f>
        <v>0</v>
      </c>
      <c r="H27" s="110">
        <f>F27+'16'!H27</f>
        <v>0</v>
      </c>
      <c r="I27" s="99"/>
      <c r="J27" s="752"/>
      <c r="K27" s="124">
        <f>J27+'16'!K27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E28+'16'!G28</f>
        <v>0</v>
      </c>
      <c r="H28" s="110">
        <f>F28+'16'!H28</f>
        <v>0</v>
      </c>
      <c r="I28" s="99"/>
      <c r="J28" s="752"/>
      <c r="K28" s="124">
        <f>J28+'16'!K28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E29+'16'!G29</f>
        <v>0</v>
      </c>
      <c r="H29" s="110">
        <f>F29+'16'!H29</f>
        <v>0</v>
      </c>
      <c r="I29" s="99"/>
      <c r="J29" s="752"/>
      <c r="K29" s="124">
        <f>J29+'16'!K29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E30+'16'!G30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J30+'16'!K30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E31+'16'!G31</f>
        <v>0</v>
      </c>
      <c r="H31" s="110">
        <f>F31+'16'!H31</f>
        <v>0</v>
      </c>
      <c r="I31" s="99"/>
      <c r="J31" s="865">
        <v>0</v>
      </c>
      <c r="K31" s="124">
        <f>J31+'16'!K31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05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E32+'16'!G32</f>
        <v>0</v>
      </c>
      <c r="H32" s="110">
        <f>F32+'16'!H32</f>
        <v>554.40000000000009</v>
      </c>
      <c r="I32" s="99"/>
      <c r="J32" s="865">
        <v>0</v>
      </c>
      <c r="K32" s="124">
        <f>J32+'16'!K32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E33+'16'!G33</f>
        <v>0</v>
      </c>
      <c r="H33" s="110">
        <f>F33+'16'!H33</f>
        <v>0</v>
      </c>
      <c r="I33" s="99"/>
      <c r="J33" s="865">
        <v>0</v>
      </c>
      <c r="K33" s="124">
        <f>J33+'16'!K33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">
        <v>50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E34+'16'!G34</f>
        <v>0</v>
      </c>
      <c r="H34" s="110">
        <f>F34+'16'!H34</f>
        <v>0</v>
      </c>
      <c r="I34" s="99"/>
      <c r="J34" s="865"/>
      <c r="K34" s="124">
        <f>J34+'16'!K34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E35+'16'!G35</f>
        <v>0</v>
      </c>
      <c r="H35" s="110">
        <f>F35+'16'!H35</f>
        <v>0</v>
      </c>
      <c r="I35" s="99"/>
      <c r="J35" s="865"/>
      <c r="K35" s="124">
        <f>J35+'16'!K35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E36+'16'!G36</f>
        <v>0</v>
      </c>
      <c r="H36" s="110">
        <f>F36+'16'!H36</f>
        <v>0</v>
      </c>
      <c r="I36" s="99"/>
      <c r="J36" s="110">
        <v>0</v>
      </c>
      <c r="K36" s="124">
        <f>J36+'16'!K36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E37+'16'!G37</f>
        <v>0</v>
      </c>
      <c r="H37" s="110">
        <f>F37+'16'!H37</f>
        <v>0</v>
      </c>
      <c r="I37" s="99"/>
      <c r="J37" s="110">
        <v>0</v>
      </c>
      <c r="K37" s="124">
        <f>J37+'16'!K37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E38+'16'!G38</f>
        <v>84428.639354277591</v>
      </c>
      <c r="H38" s="676">
        <f>F38+'16'!H38</f>
        <v>9132.5707721894778</v>
      </c>
      <c r="I38" s="760">
        <f>IFERROR((H38/G38),0)</f>
        <v>0.10816910993753655</v>
      </c>
      <c r="J38" s="954">
        <f>SUM(J39:J40)</f>
        <v>0</v>
      </c>
      <c r="K38" s="677">
        <f>J38+'16'!K38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93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F39+'16'!H39</f>
        <v>6840.5707721894778</v>
      </c>
      <c r="I39" s="138"/>
      <c r="J39" s="750">
        <f>F39</f>
        <v>0</v>
      </c>
      <c r="K39" s="124">
        <f>J39+'16'!K39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93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F40+'16'!H40</f>
        <v>2292</v>
      </c>
      <c r="I40" s="138"/>
      <c r="J40" s="178">
        <v>0</v>
      </c>
      <c r="K40" s="124">
        <f>J40+'16'!K40</f>
        <v>2243</v>
      </c>
      <c r="L40" s="149"/>
      <c r="M40" s="198"/>
      <c r="N40" s="117"/>
      <c r="O40" s="1125"/>
      <c r="P40" s="1126"/>
      <c r="Q40" s="595"/>
      <c r="R40" s="590"/>
      <c r="S40" s="618"/>
      <c r="T40" s="93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F41+'16'!H41</f>
        <v>0</v>
      </c>
      <c r="I41" s="138"/>
      <c r="J41" s="178"/>
      <c r="K41" s="124">
        <f>J41+'16'!K41</f>
        <v>0</v>
      </c>
      <c r="L41" s="149"/>
      <c r="M41" s="198"/>
      <c r="N41" s="117"/>
      <c r="O41" s="1125"/>
      <c r="P41" s="1126"/>
      <c r="Q41" s="595"/>
      <c r="R41" s="590"/>
      <c r="S41" s="618"/>
      <c r="T41" s="93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F42+'16'!H42</f>
        <v>0</v>
      </c>
      <c r="I42" s="138"/>
      <c r="J42" s="178"/>
      <c r="K42" s="124">
        <f>J42+'16'!K42</f>
        <v>0</v>
      </c>
      <c r="L42" s="149"/>
      <c r="M42" s="198"/>
      <c r="N42" s="117"/>
      <c r="O42" s="1125"/>
      <c r="P42" s="1126"/>
      <c r="Q42" s="595"/>
      <c r="R42" s="590"/>
      <c r="S42" s="618"/>
      <c r="T42" s="93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E43+'16'!G43</f>
        <v>54741.06465148837</v>
      </c>
      <c r="H43" s="110">
        <f>F43+'16'!H43</f>
        <v>8403.7999999999993</v>
      </c>
      <c r="I43" s="138">
        <f>IFERROR((H43/G43),0)</f>
        <v>0.15351911866353346</v>
      </c>
      <c r="J43" s="178">
        <f>F43</f>
        <v>0</v>
      </c>
      <c r="K43" s="124">
        <f>J43+'16'!K43</f>
        <v>8403.7999999999993</v>
      </c>
      <c r="L43" s="149">
        <f>D43+H43-K43</f>
        <v>0</v>
      </c>
      <c r="M43" s="198"/>
      <c r="N43" s="117" t="s">
        <v>158</v>
      </c>
      <c r="O43" s="1125"/>
      <c r="P43" s="1126"/>
      <c r="Q43" s="595"/>
      <c r="R43" s="590"/>
      <c r="S43" s="618"/>
      <c r="T43" s="93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E44+'16'!G44</f>
        <v>23146.595416959124</v>
      </c>
      <c r="H44" s="110">
        <f>F44+'16'!H44</f>
        <v>7255</v>
      </c>
      <c r="I44" s="138">
        <f>IFERROR((H44/G44),0)</f>
        <v>0.31343702472478446</v>
      </c>
      <c r="J44" s="178">
        <v>0</v>
      </c>
      <c r="K44" s="124">
        <f>J44+'16'!K44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/>
      <c r="G45" s="110"/>
      <c r="H45" s="110">
        <f>F45+'16'!H45</f>
        <v>0</v>
      </c>
      <c r="I45" s="138"/>
      <c r="J45" s="178"/>
      <c r="K45" s="124">
        <f>J45+'16'!K45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F46+'16'!H46</f>
        <v>0</v>
      </c>
      <c r="I46" s="138"/>
      <c r="J46" s="178"/>
      <c r="K46" s="124">
        <f>J46+'16'!K46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F47+'16'!H47</f>
        <v>0</v>
      </c>
      <c r="I47" s="138"/>
      <c r="J47" s="178"/>
      <c r="K47" s="124">
        <f>J47+'16'!K47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E48+'16'!G48</f>
        <v>135242.6303154419</v>
      </c>
      <c r="H48" s="110">
        <f>F48+'16'!H48</f>
        <v>15244.370772189477</v>
      </c>
      <c r="I48" s="138">
        <f>IFERROR((H48/G48),0)</f>
        <v>0.11271868002443669</v>
      </c>
      <c r="J48" s="750">
        <v>0</v>
      </c>
      <c r="K48" s="124">
        <f>J48+'16'!K48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E50+'16'!G50</f>
        <v>0</v>
      </c>
      <c r="H50" s="110">
        <f>F50+'16'!H50</f>
        <v>0</v>
      </c>
      <c r="I50" s="138">
        <f>IFERROR((H50/G50),0)</f>
        <v>0</v>
      </c>
      <c r="J50" s="178"/>
      <c r="K50" s="124">
        <f>J50+'16'!K50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0</v>
      </c>
      <c r="F51" s="110">
        <v>0</v>
      </c>
      <c r="G51" s="110">
        <f>E51+'16'!G51</f>
        <v>162898.95024371953</v>
      </c>
      <c r="H51" s="110">
        <f>F51+'16'!H51</f>
        <v>32176.186994748638</v>
      </c>
      <c r="I51" s="138">
        <f>IFERROR((H51/G51),0)</f>
        <v>0.19752237167034273</v>
      </c>
      <c r="J51" s="178">
        <f>O51-P51</f>
        <v>0</v>
      </c>
      <c r="K51" s="124">
        <f>J51+'16'!K51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93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98"/>
      <c r="I52" s="99"/>
      <c r="J52" s="177"/>
      <c r="K52" s="100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98">
        <f>E53+'16'!G53</f>
        <v>0</v>
      </c>
      <c r="H53" s="110">
        <f>F53+'16'!H53</f>
        <v>0</v>
      </c>
      <c r="I53" s="759">
        <f t="shared" ref="I53:I58" si="4">IFERROR((H53/G53),0)</f>
        <v>0</v>
      </c>
      <c r="J53" s="754"/>
      <c r="K53" s="124">
        <f>J53+'16'!K53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E54+'16'!G54</f>
        <v>5483.8709677419365</v>
      </c>
      <c r="H54" s="110">
        <f>F54+'16'!H54</f>
        <v>0</v>
      </c>
      <c r="I54" s="759">
        <f t="shared" si="4"/>
        <v>0</v>
      </c>
      <c r="J54" s="754">
        <v>0</v>
      </c>
      <c r="K54" s="124">
        <f>J54+'16'!K54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E55+'16'!G55</f>
        <v>9322.580645161288</v>
      </c>
      <c r="H55" s="110">
        <f>F55+'16'!H55</f>
        <v>0</v>
      </c>
      <c r="I55" s="759">
        <f t="shared" si="4"/>
        <v>0</v>
      </c>
      <c r="J55" s="754">
        <v>0</v>
      </c>
      <c r="K55" s="124">
        <f>J55+'16'!K55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98">
        <f>E56+'16'!G56</f>
        <v>0</v>
      </c>
      <c r="H56" s="110">
        <f>F56+'16'!H56</f>
        <v>0</v>
      </c>
      <c r="I56" s="759">
        <f t="shared" si="4"/>
        <v>0</v>
      </c>
      <c r="J56" s="754"/>
      <c r="K56" s="124">
        <f>J56+'16'!K56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/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98">
        <f>E57+'16'!G57</f>
        <v>0</v>
      </c>
      <c r="H57" s="110">
        <f>F57+'16'!H57</f>
        <v>0</v>
      </c>
      <c r="I57" s="759">
        <f t="shared" si="4"/>
        <v>0</v>
      </c>
      <c r="J57" s="754"/>
      <c r="K57" s="124">
        <f>J57+'16'!K57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E58+'16'!G58</f>
        <v>0</v>
      </c>
      <c r="H58" s="110">
        <f>F58+'16'!H58</f>
        <v>0</v>
      </c>
      <c r="I58" s="759">
        <f t="shared" si="4"/>
        <v>0</v>
      </c>
      <c r="J58" s="754">
        <v>0</v>
      </c>
      <c r="K58" s="124">
        <f>J58+'16'!K58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98"/>
      <c r="H59" s="110">
        <f>F59+'16'!H59</f>
        <v>0</v>
      </c>
      <c r="I59" s="759"/>
      <c r="J59" s="754"/>
      <c r="K59" s="124">
        <f>J59+'16'!K59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98"/>
      <c r="H60" s="110">
        <f>F60+'16'!H60</f>
        <v>0</v>
      </c>
      <c r="I60" s="759"/>
      <c r="J60" s="754"/>
      <c r="K60" s="124">
        <f>J60+'16'!K60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98"/>
      <c r="H61" s="110">
        <f>F61+'16'!H61</f>
        <v>0</v>
      </c>
      <c r="I61" s="759"/>
      <c r="J61" s="754">
        <f>D139+D141</f>
        <v>0</v>
      </c>
      <c r="K61" s="124">
        <f>J61+'16'!K61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42"/>
      <c r="H62" s="110">
        <f>F62+'16'!H62</f>
        <v>0</v>
      </c>
      <c r="I62" s="522"/>
      <c r="J62" s="754">
        <v>0</v>
      </c>
      <c r="K62" s="124">
        <f>J62+'16'!K62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F63+'16'!H63</f>
        <v>3329.1499999999996</v>
      </c>
      <c r="I63" s="1059"/>
      <c r="J63" s="1068"/>
      <c r="K63" s="668">
        <f>J63+'16'!K63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42"/>
      <c r="H64" s="110">
        <f>F64+'16'!H64</f>
        <v>0</v>
      </c>
      <c r="I64" s="522"/>
      <c r="J64" s="754"/>
      <c r="K64" s="124">
        <f>J64+'16'!K64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98"/>
      <c r="H65" s="110">
        <f>F65+'16'!H65</f>
        <v>0</v>
      </c>
      <c r="I65" s="759"/>
      <c r="J65" s="754"/>
      <c r="K65" s="124">
        <f>J65+'16'!K65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98"/>
      <c r="H66" s="110">
        <f>F66+'16'!H66</f>
        <v>0</v>
      </c>
      <c r="I66" s="759"/>
      <c r="J66" s="754"/>
      <c r="K66" s="124">
        <f>J66+'16'!K66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98"/>
      <c r="H67" s="110">
        <f>F67+'16'!H67</f>
        <v>0</v>
      </c>
      <c r="I67" s="759"/>
      <c r="J67" s="754"/>
      <c r="K67" s="124">
        <f>J67+'16'!K67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98"/>
      <c r="H68" s="110">
        <f>F68+'16'!H68</f>
        <v>0</v>
      </c>
      <c r="I68" s="759"/>
      <c r="J68" s="754"/>
      <c r="K68" s="124">
        <f>J68+'16'!K68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98"/>
      <c r="H69" s="110">
        <f>F69+'16'!H69</f>
        <v>0</v>
      </c>
      <c r="I69" s="759"/>
      <c r="J69" s="754"/>
      <c r="K69" s="124">
        <f>J69+'16'!K69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98"/>
      <c r="H70" s="110">
        <f>F70+'16'!H70</f>
        <v>3329.1499999999996</v>
      </c>
      <c r="I70" s="759"/>
      <c r="J70" s="754"/>
      <c r="K70" s="124">
        <f>J70+'16'!K70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98"/>
      <c r="H71" s="110">
        <f>F71+'16'!H71</f>
        <v>0</v>
      </c>
      <c r="I71" s="759"/>
      <c r="J71" s="754"/>
      <c r="K71" s="124">
        <f>J71+'16'!K71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94"/>
      <c r="H72" s="387">
        <f>F72+'16'!H72</f>
        <v>1911.376034856974</v>
      </c>
      <c r="I72" s="388"/>
      <c r="J72" s="756">
        <f>K131</f>
        <v>0</v>
      </c>
      <c r="K72" s="395">
        <f>J72+'16'!K72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43"/>
      <c r="H73" s="933">
        <f>F73+'16'!H73</f>
        <v>0</v>
      </c>
      <c r="I73" s="934"/>
      <c r="J73" s="931"/>
      <c r="K73" s="935">
        <f>J73+'16'!K73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667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42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94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24*17-K80</f>
        <v>408</v>
      </c>
      <c r="M80" s="139">
        <f>K80/(24*17)</f>
        <v>0</v>
      </c>
      <c r="N80" s="965"/>
      <c r="O80" s="302">
        <f>N80+'16'!O80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24*17-K81</f>
        <v>408</v>
      </c>
      <c r="M81" s="139">
        <f>K81/(24*17)</f>
        <v>0</v>
      </c>
      <c r="N81" s="965"/>
      <c r="O81" s="302">
        <f>N81+'16'!O81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2">IFERROR(O82/K82,0)</f>
        <v>43.535460826585258</v>
      </c>
      <c r="J82" s="138">
        <f t="shared" si="10"/>
        <v>0.96745468503522791</v>
      </c>
      <c r="K82" s="134">
        <f>F82+'16'!K82</f>
        <v>43.903888888888886</v>
      </c>
      <c r="L82" s="110">
        <f>24*17-K82</f>
        <v>364.0961111111111</v>
      </c>
      <c r="M82" s="139">
        <f>K82/(24*17)</f>
        <v>0.10760757080610021</v>
      </c>
      <c r="N82" s="716">
        <v>0</v>
      </c>
      <c r="O82" s="303">
        <f>N82+'16'!O82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F83+'16'!K83</f>
        <v>64.575555555555553</v>
      </c>
      <c r="L83" s="134">
        <f>G83+'16'!L83</f>
        <v>343.42444444444448</v>
      </c>
      <c r="M83" s="139">
        <f>K83/(24*17)</f>
        <v>0.15827342047930282</v>
      </c>
      <c r="N83" s="716">
        <v>0</v>
      </c>
      <c r="O83" s="303">
        <f>N83+'16'!O83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F84+'16'!K84</f>
        <v>64.977499999999992</v>
      </c>
      <c r="L84" s="134">
        <f>G84+'16'!L84</f>
        <v>343.02250000000004</v>
      </c>
      <c r="M84" s="139">
        <f>K84/(24*17)</f>
        <v>0.15925857843137253</v>
      </c>
      <c r="N84" s="716">
        <v>0</v>
      </c>
      <c r="O84" s="303">
        <f>N84+'16'!O84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37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F85+'16'!K85</f>
        <v>0</v>
      </c>
      <c r="L85" s="134">
        <f>G85+'16'!L85</f>
        <v>408</v>
      </c>
      <c r="M85" s="139">
        <f>K85/(24*12)</f>
        <v>0</v>
      </c>
      <c r="N85" s="965">
        <v>0</v>
      </c>
      <c r="O85" s="302">
        <f>N85+'16'!O85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F86+'16'!K86</f>
        <v>0</v>
      </c>
      <c r="L86" s="134">
        <f>G86+'16'!L86</f>
        <v>384</v>
      </c>
      <c r="M86" s="139">
        <f>K86/(24*12)</f>
        <v>0</v>
      </c>
      <c r="N86" s="965">
        <v>0</v>
      </c>
      <c r="O86" s="303">
        <f>N86+'16'!O86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37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F87+'16'!K87</f>
        <v>0</v>
      </c>
      <c r="L87" s="134">
        <f>G87+'16'!L87</f>
        <v>384</v>
      </c>
      <c r="M87" s="139">
        <f>K87/(24*12)</f>
        <v>0</v>
      </c>
      <c r="N87" s="965">
        <v>0</v>
      </c>
      <c r="O87" s="302">
        <f>N87+'16'!O87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F88+'16'!K88</f>
        <v>0</v>
      </c>
      <c r="L88" s="134">
        <f>G88+'16'!L88</f>
        <v>384</v>
      </c>
      <c r="M88" s="139">
        <f>K88/(24*12)</f>
        <v>0</v>
      </c>
      <c r="N88" s="716">
        <v>0</v>
      </c>
      <c r="O88" s="303">
        <f>N88+'16'!O88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F89+'16'!K89</f>
        <v>1.6950000000000001</v>
      </c>
      <c r="L89" s="134">
        <f>G89+'16'!L89</f>
        <v>406.30500000000001</v>
      </c>
      <c r="M89" s="139">
        <f t="shared" ref="M89:M94" si="13">K89/(24*17)</f>
        <v>4.1544117647058822E-3</v>
      </c>
      <c r="N89" s="1001">
        <v>0</v>
      </c>
      <c r="O89" s="303">
        <f>N89+'16'!O89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F90+'16'!K90</f>
        <v>32.664166666666674</v>
      </c>
      <c r="L90" s="134">
        <f>G90+'16'!L90</f>
        <v>375.33583333333331</v>
      </c>
      <c r="M90" s="139">
        <f t="shared" si="13"/>
        <v>8.0059232026143803E-2</v>
      </c>
      <c r="N90" s="1001">
        <v>0</v>
      </c>
      <c r="O90" s="303">
        <f>N90+'16'!O90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F91+'16'!K91</f>
        <v>0</v>
      </c>
      <c r="L91" s="134">
        <f>G91+'16'!L91</f>
        <v>408</v>
      </c>
      <c r="M91" s="139">
        <f t="shared" si="13"/>
        <v>0</v>
      </c>
      <c r="N91" s="716">
        <v>0</v>
      </c>
      <c r="O91" s="303">
        <f>N91+'16'!O91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F92+'16'!K92</f>
        <v>71.521666666666675</v>
      </c>
      <c r="L92" s="134">
        <f>G92+'16'!L92</f>
        <v>336.47833333333335</v>
      </c>
      <c r="M92" s="139">
        <f t="shared" si="13"/>
        <v>0.17529820261437912</v>
      </c>
      <c r="N92" s="716">
        <v>0</v>
      </c>
      <c r="O92" s="303">
        <f>N92+'16'!O92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F93+'16'!K93</f>
        <v>64.288611111111109</v>
      </c>
      <c r="L93" s="134">
        <f>G93+'16'!L93</f>
        <v>343.71138888888891</v>
      </c>
      <c r="M93" s="139">
        <f t="shared" si="13"/>
        <v>0.15757012527233116</v>
      </c>
      <c r="N93" s="716">
        <v>0</v>
      </c>
      <c r="O93" s="303">
        <f>N93+'16'!O93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F94+'16'!K94</f>
        <v>32</v>
      </c>
      <c r="L94" s="765">
        <f>G94+'16'!L94</f>
        <v>376</v>
      </c>
      <c r="M94" s="880">
        <f t="shared" si="13"/>
        <v>7.8431372549019607E-2</v>
      </c>
      <c r="N94" s="966">
        <f>E111+E120+E121+E122</f>
        <v>0</v>
      </c>
      <c r="O94" s="871">
        <f>N94+'16'!O94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F95+'16'!K95</f>
        <v>7</v>
      </c>
      <c r="L95" s="443">
        <f>G95+'16'!L95</f>
        <v>401</v>
      </c>
      <c r="M95" s="723">
        <f>K95/(24*17)</f>
        <v>1.7156862745098041E-2</v>
      </c>
      <c r="N95" s="967">
        <f>E112+E114+E115+E118+E119</f>
        <v>0</v>
      </c>
      <c r="O95" s="713">
        <f>N95+'16'!O95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4828</v>
      </c>
      <c r="E100" s="89">
        <f>E101+E110</f>
        <v>0</v>
      </c>
      <c r="F100" s="90">
        <f t="shared" ref="F100:F114" si="14">IFERROR((E100/D100),0)</f>
        <v>0</v>
      </c>
      <c r="G100" s="88">
        <f>G101+G110</f>
        <v>105951</v>
      </c>
      <c r="H100" s="89">
        <f>H101+H110</f>
        <v>19708.249999999993</v>
      </c>
      <c r="I100" s="90">
        <f t="shared" ref="I100:I122" si="15">IFERROR((H100/G100),0)</f>
        <v>0.18601287387565943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4828</v>
      </c>
      <c r="E101" s="98">
        <f>SUM(E102:E109)</f>
        <v>0</v>
      </c>
      <c r="F101" s="99">
        <f t="shared" si="14"/>
        <v>0</v>
      </c>
      <c r="G101" s="169">
        <f>SUM(G102:G109)</f>
        <v>75926</v>
      </c>
      <c r="H101" s="98">
        <f>SUM(H102:H109)</f>
        <v>15844.349999999995</v>
      </c>
      <c r="I101" s="99">
        <f t="shared" si="15"/>
        <v>0.20868147933514206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D102+'16'!G102</f>
        <v>0</v>
      </c>
      <c r="H102" s="178">
        <f>E102+'16'!H102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345</v>
      </c>
      <c r="E103" s="166">
        <v>0</v>
      </c>
      <c r="F103" s="138">
        <f t="shared" si="14"/>
        <v>0</v>
      </c>
      <c r="G103" s="445">
        <f>D103+'16'!G103</f>
        <v>6255</v>
      </c>
      <c r="H103" s="150">
        <f>E103+'16'!H103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8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4346</v>
      </c>
      <c r="E104" s="110">
        <v>0</v>
      </c>
      <c r="F104" s="138">
        <f t="shared" si="14"/>
        <v>0</v>
      </c>
      <c r="G104" s="134">
        <f>D104+'16'!G104</f>
        <v>67108</v>
      </c>
      <c r="H104" s="178">
        <f>E104+'16'!H104</f>
        <v>12980.249999999995</v>
      </c>
      <c r="I104" s="138">
        <f t="shared" si="15"/>
        <v>0.1934232878345353</v>
      </c>
      <c r="J104" s="1146"/>
      <c r="K104" s="1147"/>
      <c r="L104" s="253"/>
      <c r="M104" s="253"/>
      <c r="N104" s="253"/>
      <c r="O104" s="148"/>
      <c r="P104" s="148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D105+'16'!G105</f>
        <v>0</v>
      </c>
      <c r="H105" s="178">
        <f>E105+'16'!H105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148"/>
      <c r="P105" s="148"/>
      <c r="Q105" s="83"/>
      <c r="T105" s="93"/>
    </row>
    <row r="106" spans="1:20" outlineLevel="1">
      <c r="A106" s="105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D106+'16'!G106</f>
        <v>0</v>
      </c>
      <c r="H106" s="178">
        <f>E106+'16'!H106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148"/>
      <c r="P106" s="148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D107+'16'!G107</f>
        <v>0</v>
      </c>
      <c r="H107" s="178">
        <f>E107+'16'!H107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148"/>
      <c r="P107" s="148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87</v>
      </c>
      <c r="E108" s="110">
        <v>0</v>
      </c>
      <c r="F108" s="138">
        <f t="shared" si="14"/>
        <v>0</v>
      </c>
      <c r="G108" s="134">
        <f>D108+'16'!G108</f>
        <v>1888</v>
      </c>
      <c r="H108" s="178">
        <f>E108+'16'!H108</f>
        <v>826.59999999999991</v>
      </c>
      <c r="I108" s="138">
        <f t="shared" si="15"/>
        <v>0.43781779661016945</v>
      </c>
      <c r="J108" s="795"/>
      <c r="K108" s="796"/>
      <c r="L108" s="253"/>
      <c r="M108" s="253"/>
      <c r="N108" s="253"/>
      <c r="O108" s="148"/>
      <c r="P108" s="148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50</v>
      </c>
      <c r="E109" s="110">
        <v>0</v>
      </c>
      <c r="F109" s="138">
        <f t="shared" si="14"/>
        <v>0</v>
      </c>
      <c r="G109" s="134">
        <f>D109+'16'!G109</f>
        <v>675</v>
      </c>
      <c r="H109" s="178">
        <f>E109+'16'!H109</f>
        <v>281.59999999999997</v>
      </c>
      <c r="I109" s="138">
        <f t="shared" si="15"/>
        <v>0.41718518518518516</v>
      </c>
      <c r="J109" s="795"/>
      <c r="K109" s="796"/>
      <c r="L109" s="253"/>
      <c r="M109" s="253"/>
      <c r="N109" s="148"/>
      <c r="O109" s="148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1675</v>
      </c>
      <c r="E110" s="98">
        <f>SUM(E111:E122)</f>
        <v>0</v>
      </c>
      <c r="F110" s="1053">
        <f>IFERROR((E110/D110),0)</f>
        <v>0</v>
      </c>
      <c r="G110" s="1051">
        <f>SUM(G111:G122)</f>
        <v>30025</v>
      </c>
      <c r="H110" s="98">
        <f>SUM(H111:H122)</f>
        <v>3863.8999999999996</v>
      </c>
      <c r="I110" s="1053">
        <f>IFERROR((H110/G110),0)</f>
        <v>0.12868942547876769</v>
      </c>
      <c r="J110" s="795"/>
      <c r="K110" s="796"/>
      <c r="L110" s="253"/>
      <c r="M110" s="253"/>
      <c r="N110" s="253"/>
      <c r="O110" s="148"/>
      <c r="P110" s="148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D111+'16'!G111</f>
        <v>0</v>
      </c>
      <c r="H111" s="110">
        <f>E111+'16'!H111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8"/>
      <c r="P111" s="148"/>
      <c r="Q111" s="151"/>
      <c r="S111" s="82"/>
      <c r="T111" s="93"/>
    </row>
    <row r="112" spans="1:20" outlineLevel="1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D112+'16'!G112</f>
        <v>0</v>
      </c>
      <c r="H112" s="110">
        <f>E112+'16'!H112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253"/>
      <c r="T112" s="93"/>
    </row>
    <row r="113" spans="1:20" outlineLevel="1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D113+'16'!G113</f>
        <v>0</v>
      </c>
      <c r="H113" s="110">
        <f>E113+'16'!H113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D114+'16'!G114</f>
        <v>272</v>
      </c>
      <c r="H114" s="110">
        <f>E114+'16'!H114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/>
      <c r="G115" s="134">
        <f>D115+'16'!G115</f>
        <v>0</v>
      </c>
      <c r="H115" s="110">
        <f>E115+'16'!H115</f>
        <v>0</v>
      </c>
      <c r="I115" s="138">
        <f t="shared" si="15"/>
        <v>0</v>
      </c>
      <c r="J115" s="1226"/>
      <c r="K115" s="122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/>
      <c r="G116" s="134">
        <f>D116+'16'!G116</f>
        <v>0</v>
      </c>
      <c r="H116" s="110">
        <f>E116+'16'!H116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/>
      <c r="G117" s="134">
        <f>D117+'16'!G117</f>
        <v>0</v>
      </c>
      <c r="H117" s="110">
        <f>E117+'16'!H117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/>
      <c r="G118" s="134">
        <f>D118+'16'!G118</f>
        <v>5915</v>
      </c>
      <c r="H118" s="110">
        <f>E118+'16'!H118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/>
      <c r="G119" s="134">
        <f>D119+'16'!G119</f>
        <v>0</v>
      </c>
      <c r="H119" s="110">
        <f>E119+'16'!H119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642</v>
      </c>
      <c r="E120" s="110">
        <v>0</v>
      </c>
      <c r="F120" s="138"/>
      <c r="G120" s="134">
        <f>D120+'16'!G120</f>
        <v>12210</v>
      </c>
      <c r="H120" s="110">
        <f>E120+'16'!H120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/>
      <c r="G121" s="134">
        <f>D121+'16'!G121</f>
        <v>544</v>
      </c>
      <c r="H121" s="110">
        <f>E121+'16'!H121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0</v>
      </c>
      <c r="F122" s="138"/>
      <c r="G122" s="134">
        <f>D122+'16'!G122</f>
        <v>11084</v>
      </c>
      <c r="H122" s="110">
        <f>E122+'16'!H122</f>
        <v>1823.35</v>
      </c>
      <c r="I122" s="138">
        <f t="shared" si="15"/>
        <v>0.16450288704438831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9" t="s">
        <v>89</v>
      </c>
      <c r="K124" s="175" t="s">
        <v>90</v>
      </c>
      <c r="L124" s="158"/>
      <c r="M124" s="154"/>
      <c r="N124" s="154"/>
      <c r="O124" s="154"/>
      <c r="P124" s="154"/>
      <c r="T124" s="93"/>
    </row>
    <row r="125" spans="1:20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48">
        <f>SUM(N85:N91)</f>
        <v>0</v>
      </c>
      <c r="K125" s="305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43.090103762002009</v>
      </c>
      <c r="F126" s="157">
        <f>IFERROR(E126/D126,0)</f>
        <v>1.0639531793086916</v>
      </c>
      <c r="G126" s="267">
        <v>40.5</v>
      </c>
      <c r="H126" s="256">
        <v>43.667738840308829</v>
      </c>
      <c r="I126" s="157">
        <f>IFERROR(H126/G126,0)</f>
        <v>1.078215773834786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19.430402006156477</v>
      </c>
      <c r="F127" s="157">
        <f t="shared" ref="F127:F132" si="16">IFERROR(E127/D127,0)</f>
        <v>1.1429648238915575</v>
      </c>
      <c r="G127" s="267">
        <v>17</v>
      </c>
      <c r="H127" s="256">
        <v>18.902049657836788</v>
      </c>
      <c r="I127" s="157">
        <f t="shared" ref="I127:I132" si="17">IFERROR(H127/G127,0)</f>
        <v>1.1118852739903993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972" t="s">
        <v>183</v>
      </c>
      <c r="D129" s="352">
        <v>21</v>
      </c>
      <c r="E129" s="256">
        <v>21.095124405545192</v>
      </c>
      <c r="F129" s="157">
        <f t="shared" si="16"/>
        <v>1.0045297335973902</v>
      </c>
      <c r="G129" s="204">
        <v>21</v>
      </c>
      <c r="H129" s="200">
        <v>21.439865220463979</v>
      </c>
      <c r="I129" s="157">
        <f t="shared" si="17"/>
        <v>1.020945962879237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972" t="s">
        <v>161</v>
      </c>
      <c r="D130" s="352">
        <v>42</v>
      </c>
      <c r="E130" s="256">
        <v>1.5239559520226396</v>
      </c>
      <c r="F130" s="157">
        <f t="shared" si="16"/>
        <v>3.6284665524348558E-2</v>
      </c>
      <c r="G130" s="204">
        <v>42</v>
      </c>
      <c r="H130" s="200">
        <v>11.938324625274381</v>
      </c>
      <c r="I130" s="157">
        <f t="shared" si="17"/>
        <v>0.28424582441129481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45" t="s">
        <v>182</v>
      </c>
      <c r="C131" s="972" t="s">
        <v>162</v>
      </c>
      <c r="D131" s="352">
        <v>35</v>
      </c>
      <c r="E131" s="256">
        <v>36.387632130845994</v>
      </c>
      <c r="F131" s="157">
        <f t="shared" si="16"/>
        <v>1.0396466323098856</v>
      </c>
      <c r="G131" s="204">
        <v>35</v>
      </c>
      <c r="H131" s="200">
        <v>33.59615290918407</v>
      </c>
      <c r="I131" s="157">
        <f t="shared" si="17"/>
        <v>0.95989008311954482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117.88495882921144</v>
      </c>
      <c r="F132" s="684">
        <f t="shared" si="16"/>
        <v>1.1707712665528995</v>
      </c>
      <c r="G132" s="688">
        <v>100.69</v>
      </c>
      <c r="H132" s="683">
        <v>86.915569475338529</v>
      </c>
      <c r="I132" s="684">
        <f t="shared" si="17"/>
        <v>0.86319961739337103</v>
      </c>
      <c r="N132" s="728" t="s">
        <v>188</v>
      </c>
      <c r="O132" s="704">
        <f>O131+'16'!O132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127171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134532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5">IFERROR(C149/$B$149,0)</f>
        <v>0</v>
      </c>
      <c r="D150" s="346">
        <f t="shared" si="25"/>
        <v>0</v>
      </c>
      <c r="E150" s="346">
        <f t="shared" si="25"/>
        <v>0</v>
      </c>
      <c r="F150" s="346">
        <f t="shared" si="25"/>
        <v>0</v>
      </c>
      <c r="G150" s="346">
        <f t="shared" si="25"/>
        <v>0</v>
      </c>
      <c r="H150" s="346">
        <f t="shared" si="25"/>
        <v>0</v>
      </c>
      <c r="I150" s="481">
        <f>SUM(C150:H150)</f>
        <v>0</v>
      </c>
      <c r="K150" s="374"/>
      <c r="L150" s="375"/>
      <c r="M150" s="372"/>
      <c r="N150" s="373"/>
    </row>
  </sheetData>
  <mergeCells count="114">
    <mergeCell ref="O22:P22"/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J97:K98"/>
    <mergeCell ref="J115:K115"/>
    <mergeCell ref="M97:P97"/>
    <mergeCell ref="J101:K101"/>
    <mergeCell ref="J102:K102"/>
    <mergeCell ref="J103:K103"/>
    <mergeCell ref="J104:K104"/>
    <mergeCell ref="J129:J130"/>
    <mergeCell ref="K129:L129"/>
    <mergeCell ref="J105:K105"/>
    <mergeCell ref="J106:K106"/>
    <mergeCell ref="J107:K107"/>
    <mergeCell ref="J111:K111"/>
    <mergeCell ref="K133:N133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5:P5"/>
    <mergeCell ref="O6:P6"/>
    <mergeCell ref="O7:P7"/>
    <mergeCell ref="O8:P8"/>
    <mergeCell ref="A77:P77"/>
    <mergeCell ref="O11:P11"/>
    <mergeCell ref="O38:P38"/>
    <mergeCell ref="O39:P39"/>
    <mergeCell ref="O40:P40"/>
    <mergeCell ref="O41:P41"/>
    <mergeCell ref="O42:P42"/>
    <mergeCell ref="O30:P30"/>
    <mergeCell ref="O9:P9"/>
    <mergeCell ref="O10:P10"/>
    <mergeCell ref="O67:P67"/>
    <mergeCell ref="O68:P68"/>
    <mergeCell ref="O72:P72"/>
    <mergeCell ref="O73:P73"/>
    <mergeCell ref="O23:P23"/>
    <mergeCell ref="O60:P60"/>
    <mergeCell ref="O62:P62"/>
    <mergeCell ref="O63:P63"/>
    <mergeCell ref="O64:P64"/>
    <mergeCell ref="O65:P65"/>
    <mergeCell ref="O21:P21"/>
    <mergeCell ref="O12:P12"/>
    <mergeCell ref="O13:P13"/>
    <mergeCell ref="O14:P14"/>
    <mergeCell ref="O15:P15"/>
    <mergeCell ref="O17:P17"/>
    <mergeCell ref="O18:P18"/>
    <mergeCell ref="O19:P19"/>
    <mergeCell ref="O20:P20"/>
    <mergeCell ref="O16:P16"/>
    <mergeCell ref="O66:P66"/>
    <mergeCell ref="J112:K112"/>
    <mergeCell ref="C124:C125"/>
    <mergeCell ref="D124:F124"/>
    <mergeCell ref="G124:I124"/>
    <mergeCell ref="O43:P43"/>
    <mergeCell ref="O44:P44"/>
    <mergeCell ref="O49:P49"/>
    <mergeCell ref="O50:P50"/>
    <mergeCell ref="O52:P52"/>
    <mergeCell ref="O53:P53"/>
    <mergeCell ref="O59:P59"/>
    <mergeCell ref="P78:P79"/>
    <mergeCell ref="J114:K114"/>
    <mergeCell ref="O48:P48"/>
    <mergeCell ref="O46:P46"/>
    <mergeCell ref="O47:P47"/>
    <mergeCell ref="O69:P69"/>
    <mergeCell ref="O70:P70"/>
    <mergeCell ref="O71:P71"/>
    <mergeCell ref="O45:P45"/>
    <mergeCell ref="N129:P129"/>
    <mergeCell ref="K142:N142"/>
    <mergeCell ref="A136:A138"/>
    <mergeCell ref="B136:B137"/>
    <mergeCell ref="C136:I136"/>
    <mergeCell ref="J139:J140"/>
    <mergeCell ref="J141:J142"/>
    <mergeCell ref="A78:A79"/>
    <mergeCell ref="B78:B79"/>
    <mergeCell ref="C78:C79"/>
    <mergeCell ref="D78:H78"/>
    <mergeCell ref="I78:M78"/>
    <mergeCell ref="N78:O78"/>
    <mergeCell ref="A96:K96"/>
    <mergeCell ref="A97:A99"/>
    <mergeCell ref="B97:B99"/>
    <mergeCell ref="C97:C99"/>
    <mergeCell ref="D97:F98"/>
    <mergeCell ref="G97:I98"/>
    <mergeCell ref="A123:I123"/>
    <mergeCell ref="A124:A125"/>
    <mergeCell ref="B124:B125"/>
    <mergeCell ref="L99:M99"/>
    <mergeCell ref="N99:O99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6" man="1"/>
  </rowBreaks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18 ",Q1)</f>
        <v>Ежедневный отчет производства и отгрузки за 18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J9+J6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E6+'17'!G6</f>
        <v>0</v>
      </c>
      <c r="H6" s="110">
        <f>F6+'17'!H6</f>
        <v>6671.6154299884374</v>
      </c>
      <c r="I6" s="138"/>
      <c r="J6" s="750"/>
      <c r="K6" s="124">
        <f>J6+'17'!K6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10">
        <f>F7+'17'!H7</f>
        <v>0</v>
      </c>
      <c r="I7" s="138"/>
      <c r="J7" s="750"/>
      <c r="K7" s="124">
        <f>J7+'17'!K7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F8+'17'!H8</f>
        <v>0</v>
      </c>
      <c r="I8" s="138"/>
      <c r="J8" s="750"/>
      <c r="K8" s="124">
        <f>J8+'17'!K8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0</v>
      </c>
      <c r="F9" s="98">
        <f>F10+F11+F12+F13</f>
        <v>0</v>
      </c>
      <c r="G9" s="98">
        <f>E9+'17'!G9</f>
        <v>100500</v>
      </c>
      <c r="H9" s="98">
        <f>F9+'17'!H9</f>
        <v>10202.455966818135</v>
      </c>
      <c r="I9" s="99">
        <f>IFERROR((H9/G9),0)</f>
        <v>0.1015169747942103</v>
      </c>
      <c r="J9" s="177">
        <f>J10+J11+J12+J13</f>
        <v>0</v>
      </c>
      <c r="K9" s="100">
        <f>J9+'17'!K9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134"/>
      <c r="F10" s="110">
        <v>0</v>
      </c>
      <c r="G10" s="98">
        <f>E10+'17'!G10</f>
        <v>0</v>
      </c>
      <c r="H10" s="110">
        <f>F10+'17'!H10</f>
        <v>10202.455966818135</v>
      </c>
      <c r="I10" s="99"/>
      <c r="J10" s="178">
        <v>0</v>
      </c>
      <c r="K10" s="124">
        <f>J10+'17'!K10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134"/>
      <c r="F11" s="110"/>
      <c r="G11" s="98">
        <f>E11+'17'!G11</f>
        <v>0</v>
      </c>
      <c r="H11" s="110">
        <f>F11+'17'!H11</f>
        <v>0</v>
      </c>
      <c r="I11" s="99"/>
      <c r="J11" s="178">
        <v>0</v>
      </c>
      <c r="K11" s="124">
        <f>J11+'17'!K11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E12+'17'!G12</f>
        <v>0</v>
      </c>
      <c r="H12" s="110">
        <f>F12+'17'!H12</f>
        <v>0</v>
      </c>
      <c r="I12" s="757">
        <f>IFERROR((H12/G12),0)</f>
        <v>0</v>
      </c>
      <c r="J12" s="750"/>
      <c r="K12" s="124">
        <f>J12+'17'!K12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E13+'17'!G13</f>
        <v>0</v>
      </c>
      <c r="H13" s="110">
        <f>F13+'17'!H13</f>
        <v>0</v>
      </c>
      <c r="I13" s="99"/>
      <c r="J13" s="178"/>
      <c r="K13" s="124">
        <f>J13+'17'!K13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6886.9999999999991</v>
      </c>
      <c r="F14" s="89">
        <f>SUM(F15:F21)</f>
        <v>0</v>
      </c>
      <c r="G14" s="89">
        <f>SUM(G15:G21)</f>
        <v>112163</v>
      </c>
      <c r="H14" s="89">
        <f>SUM(H15:H21)</f>
        <v>18857.68830004807</v>
      </c>
      <c r="I14" s="90">
        <f t="shared" ref="I14:I21" si="1">IFERROR((H14/G14),0)</f>
        <v>0.1681275313610377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110">
        <f>E15+'17'!G15</f>
        <v>0</v>
      </c>
      <c r="H15" s="110">
        <f>F15+'17'!H15</f>
        <v>0</v>
      </c>
      <c r="I15" s="138">
        <f t="shared" si="1"/>
        <v>0</v>
      </c>
      <c r="J15" s="178">
        <v>0</v>
      </c>
      <c r="K15" s="124">
        <f>J15+'17'!K15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05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1566.1004101722724</v>
      </c>
      <c r="F16" s="171">
        <v>0</v>
      </c>
      <c r="G16" s="110">
        <f>E16+'17'!G16</f>
        <v>25505.810992616902</v>
      </c>
      <c r="H16" s="110">
        <f>F16+'17'!H16</f>
        <v>3228.5002277343951</v>
      </c>
      <c r="I16" s="758">
        <f t="shared" si="1"/>
        <v>0.12657900698272015</v>
      </c>
      <c r="J16" s="751">
        <f>IFERROR(SUMIF(A101:A114,A16,E101:E114),0)+E111+E112+E113</f>
        <v>0</v>
      </c>
      <c r="K16" s="124">
        <f>J16+'17'!K16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1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E17+'17'!G17</f>
        <v>0</v>
      </c>
      <c r="H17" s="110">
        <f>F17+'17'!H17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J17+'17'!K17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1" ht="15" customHeight="1">
      <c r="A18" s="105" t="s">
        <v>85</v>
      </c>
      <c r="B18" s="119" t="s">
        <v>9</v>
      </c>
      <c r="C18" s="170">
        <f>'01'!C18</f>
        <v>1360</v>
      </c>
      <c r="D18" s="170">
        <f>'01'!D18</f>
        <v>3183.2380657083054</v>
      </c>
      <c r="E18" s="134"/>
      <c r="F18" s="171"/>
      <c r="G18" s="110">
        <f>E18+'17'!G18</f>
        <v>0</v>
      </c>
      <c r="H18" s="110">
        <f>F18+'17'!H18</f>
        <v>0</v>
      </c>
      <c r="I18" s="758">
        <f t="shared" si="1"/>
        <v>0</v>
      </c>
      <c r="J18" s="751">
        <f>IFERROR(SUMIF(A102:A115,A18,E102:E115),0)+E118+E120</f>
        <v>0</v>
      </c>
      <c r="K18" s="124">
        <f>J18+'17'!K18</f>
        <v>0</v>
      </c>
      <c r="L18" s="39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1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5147.2415401968829</v>
      </c>
      <c r="F19" s="131">
        <v>0</v>
      </c>
      <c r="G19" s="110">
        <f>E19+'17'!G19</f>
        <v>83828.960777276458</v>
      </c>
      <c r="H19" s="110">
        <f>F19+'17'!H19</f>
        <v>15629.188072313675</v>
      </c>
      <c r="I19" s="759">
        <f t="shared" si="1"/>
        <v>0.18644139122562384</v>
      </c>
      <c r="J19" s="751">
        <f>IFERROR(SUMIF(A102:A115,A19,E102:E115),0)+E117+E115+E122</f>
        <v>0</v>
      </c>
      <c r="K19" s="124">
        <f>J19+'17'!K19</f>
        <v>14803.599999999995</v>
      </c>
      <c r="L19" s="127">
        <f>D19+H19-K19-M19</f>
        <v>13590.321784219646</v>
      </c>
      <c r="M19" s="403"/>
      <c r="N19" s="424"/>
      <c r="O19" s="1123"/>
      <c r="P19" s="1124"/>
      <c r="Q19" s="590"/>
      <c r="R19" s="590"/>
    </row>
    <row r="20" spans="1:21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125.63549015586545</v>
      </c>
      <c r="F20" s="110">
        <v>0</v>
      </c>
      <c r="G20" s="110">
        <f>E20+'17'!G20</f>
        <v>2046.1236361771944</v>
      </c>
      <c r="H20" s="110">
        <f>F20+'17'!H20</f>
        <v>0</v>
      </c>
      <c r="I20" s="138">
        <f t="shared" si="1"/>
        <v>0</v>
      </c>
      <c r="J20" s="751">
        <f>IFERROR(SUMIF(A102:A115,A20,E102:E115),0)</f>
        <v>0</v>
      </c>
      <c r="K20" s="124">
        <f>J20+'17'!K20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1">
      <c r="A21" s="123" t="s">
        <v>50</v>
      </c>
      <c r="B21" s="119" t="s">
        <v>9</v>
      </c>
      <c r="C21" s="149">
        <f>'01'!C21</f>
        <v>0</v>
      </c>
      <c r="D21" s="1057">
        <f>'01'!D21</f>
        <v>8.7766238721087575E-11</v>
      </c>
      <c r="E21" s="134">
        <v>48.022559474979481</v>
      </c>
      <c r="F21" s="110">
        <v>0</v>
      </c>
      <c r="G21" s="110">
        <f>E21+'17'!G21</f>
        <v>782.1045939294504</v>
      </c>
      <c r="H21" s="110">
        <f>F21+'17'!H21</f>
        <v>0</v>
      </c>
      <c r="I21" s="138">
        <f t="shared" si="1"/>
        <v>0</v>
      </c>
      <c r="J21" s="751">
        <f>IFERROR(SUMIF(A102:A115,A21,E102:E115),0)</f>
        <v>0</v>
      </c>
      <c r="K21" s="124">
        <f>J21+'17'!K21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1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1100</v>
      </c>
      <c r="F22" s="110">
        <v>0</v>
      </c>
      <c r="G22" s="110">
        <f>E22+'17'!G22</f>
        <v>1100</v>
      </c>
      <c r="H22" s="110">
        <f>F22+'17'!H22</f>
        <v>2130.1044634377968</v>
      </c>
      <c r="I22" s="99"/>
      <c r="J22" s="751">
        <f>IFERROR(SUMIF(A103:A123,A22,E103:E123),0)+E109</f>
        <v>0</v>
      </c>
      <c r="K22" s="124">
        <f>J22+'17'!K22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1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E23+'17'!G23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J23+'17'!K23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1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E24+'17'!G24</f>
        <v>0</v>
      </c>
      <c r="H24" s="110">
        <f>F24+'17'!H24</f>
        <v>0</v>
      </c>
      <c r="I24" s="99"/>
      <c r="J24" s="752">
        <v>0</v>
      </c>
      <c r="K24" s="124">
        <f>J24+'17'!K24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1" s="120" customFormat="1" hidden="1" outlineLevel="1">
      <c r="A25" s="105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E25+'17'!G25</f>
        <v>0</v>
      </c>
      <c r="H25" s="110">
        <f>F25+'17'!H25</f>
        <v>0</v>
      </c>
      <c r="I25" s="99"/>
      <c r="J25" s="752">
        <v>0</v>
      </c>
      <c r="K25" s="124">
        <f>J25+'17'!K25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1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E26+'17'!G26</f>
        <v>0</v>
      </c>
      <c r="H26" s="110">
        <f>F26+'17'!H26</f>
        <v>0</v>
      </c>
      <c r="I26" s="99"/>
      <c r="J26" s="752">
        <v>0</v>
      </c>
      <c r="K26" s="124">
        <f>J26+'17'!K26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1" s="120" customFormat="1" hidden="1" outlineLevel="1">
      <c r="A27" s="123" t="s">
        <v>50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E27+'17'!G27</f>
        <v>0</v>
      </c>
      <c r="H27" s="110">
        <f>F27+'17'!H27</f>
        <v>0</v>
      </c>
      <c r="I27" s="99"/>
      <c r="J27" s="752"/>
      <c r="K27" s="124">
        <f>J27+'17'!K27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1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E28+'17'!G28</f>
        <v>0</v>
      </c>
      <c r="H28" s="110">
        <f>F28+'17'!H28</f>
        <v>0</v>
      </c>
      <c r="I28" s="99"/>
      <c r="J28" s="752"/>
      <c r="K28" s="124">
        <f>J28+'17'!K28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1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E29+'17'!G29</f>
        <v>0</v>
      </c>
      <c r="H29" s="110">
        <f>F29+'17'!H29</f>
        <v>0</v>
      </c>
      <c r="I29" s="99"/>
      <c r="J29" s="752"/>
      <c r="K29" s="124">
        <f>J29+'17'!K29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1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E30+'17'!G30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J30+'17'!K30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  <c r="U30" s="999"/>
    </row>
    <row r="31" spans="1:21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E31+'17'!G31</f>
        <v>0</v>
      </c>
      <c r="H31" s="110">
        <f>F31+'17'!H31</f>
        <v>0</v>
      </c>
      <c r="I31" s="99"/>
      <c r="J31" s="865">
        <v>0</v>
      </c>
      <c r="K31" s="124">
        <f>J31+'17'!K31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1" s="120" customFormat="1" hidden="1" outlineLevel="1">
      <c r="A32" s="105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E32+'17'!G32</f>
        <v>0</v>
      </c>
      <c r="H32" s="110">
        <f>F32+'17'!H32</f>
        <v>554.40000000000009</v>
      </c>
      <c r="I32" s="99"/>
      <c r="J32" s="865">
        <v>0</v>
      </c>
      <c r="K32" s="124">
        <f>J32+'17'!K32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0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E33+'17'!G33</f>
        <v>0</v>
      </c>
      <c r="H33" s="110">
        <f>F33+'17'!H33</f>
        <v>0</v>
      </c>
      <c r="I33" s="99"/>
      <c r="J33" s="865">
        <v>0</v>
      </c>
      <c r="K33" s="124">
        <f>J33+'17'!K33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0" s="120" customFormat="1" hidden="1" outlineLevel="1">
      <c r="A34" s="123" t="s">
        <v>50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E34+'17'!G34</f>
        <v>0</v>
      </c>
      <c r="H34" s="110">
        <f>F34+'17'!H34</f>
        <v>0</v>
      </c>
      <c r="I34" s="99"/>
      <c r="J34" s="865"/>
      <c r="K34" s="124">
        <f>J34+'17'!K34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0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E35+'17'!G35</f>
        <v>0</v>
      </c>
      <c r="H35" s="110">
        <f>F35+'17'!H35</f>
        <v>0</v>
      </c>
      <c r="I35" s="99"/>
      <c r="J35" s="865"/>
      <c r="K35" s="124">
        <f>J35+'17'!K35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0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E36+'17'!G36</f>
        <v>0</v>
      </c>
      <c r="H36" s="110">
        <f>F36+'17'!H36</f>
        <v>0</v>
      </c>
      <c r="I36" s="99"/>
      <c r="J36" s="110">
        <v>0</v>
      </c>
      <c r="K36" s="124">
        <f>J36+'17'!K36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</row>
    <row r="37" spans="1:20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E37+'17'!G37</f>
        <v>0</v>
      </c>
      <c r="H37" s="110">
        <f>F37+'17'!H37</f>
        <v>0</v>
      </c>
      <c r="I37" s="99"/>
      <c r="J37" s="110">
        <v>0</v>
      </c>
      <c r="K37" s="124">
        <f>J37+'17'!K37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0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E38+'17'!G38</f>
        <v>89395.029904529219</v>
      </c>
      <c r="H38" s="676">
        <f>F38+'17'!H38</f>
        <v>9132.5707721894778</v>
      </c>
      <c r="I38" s="760">
        <f>IFERROR((H38/G38),0)</f>
        <v>0.10215971494100674</v>
      </c>
      <c r="J38" s="954">
        <f>SUM(J39:J40)</f>
        <v>0</v>
      </c>
      <c r="K38" s="677">
        <f>J38+'17'!K38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838"/>
    </row>
    <row r="39" spans="1:20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F39+'17'!H39</f>
        <v>6840.5707721894778</v>
      </c>
      <c r="I39" s="138"/>
      <c r="J39" s="750">
        <f>F39</f>
        <v>0</v>
      </c>
      <c r="K39" s="124">
        <f>J39+'17'!K39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118"/>
    </row>
    <row r="40" spans="1:20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F40+'17'!H40</f>
        <v>2292</v>
      </c>
      <c r="I40" s="138"/>
      <c r="J40" s="178">
        <v>0</v>
      </c>
      <c r="K40" s="124">
        <f>J40+'17'!K40</f>
        <v>2243</v>
      </c>
      <c r="L40" s="149"/>
      <c r="M40" s="198"/>
      <c r="N40" s="117"/>
      <c r="O40" s="1125"/>
      <c r="P40" s="1126"/>
      <c r="Q40" s="595"/>
      <c r="R40" s="590"/>
      <c r="S40" s="618"/>
      <c r="T40" s="118"/>
    </row>
    <row r="41" spans="1:20" hidden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F41+'17'!H41</f>
        <v>0</v>
      </c>
      <c r="I41" s="138"/>
      <c r="J41" s="178"/>
      <c r="K41" s="124">
        <f>J41+'17'!K41</f>
        <v>0</v>
      </c>
      <c r="L41" s="149"/>
      <c r="M41" s="198"/>
      <c r="N41" s="258"/>
      <c r="O41" s="1235"/>
      <c r="P41" s="1236"/>
      <c r="Q41" s="595"/>
      <c r="R41" s="590"/>
      <c r="S41" s="618"/>
      <c r="T41" s="118"/>
    </row>
    <row r="42" spans="1:20" hidden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F42+'17'!H42</f>
        <v>0</v>
      </c>
      <c r="I42" s="138"/>
      <c r="J42" s="178"/>
      <c r="K42" s="124">
        <f>J42+'17'!K42</f>
        <v>0</v>
      </c>
      <c r="L42" s="149"/>
      <c r="M42" s="198"/>
      <c r="N42" s="259"/>
      <c r="O42" s="1237"/>
      <c r="P42" s="1238"/>
      <c r="Q42" s="595"/>
      <c r="R42" s="590"/>
      <c r="S42" s="618"/>
      <c r="T42" s="118"/>
    </row>
    <row r="43" spans="1:20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E43+'17'!G43</f>
        <v>57961.127278046508</v>
      </c>
      <c r="H43" s="110">
        <f>F43+'17'!H43</f>
        <v>8403.7999999999993</v>
      </c>
      <c r="I43" s="138">
        <f>IFERROR((H43/G43),0)</f>
        <v>0.14499027873778159</v>
      </c>
      <c r="J43" s="178">
        <f>F43</f>
        <v>0</v>
      </c>
      <c r="K43" s="124">
        <f>J43+'17'!K43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118"/>
    </row>
    <row r="44" spans="1:20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E44+'17'!G44</f>
        <v>24508.159853250836</v>
      </c>
      <c r="H44" s="110">
        <f>F44+'17'!H44</f>
        <v>7255</v>
      </c>
      <c r="I44" s="138">
        <f>IFERROR((H44/G44),0)</f>
        <v>0.29602385668451869</v>
      </c>
      <c r="J44" s="178">
        <v>0</v>
      </c>
      <c r="K44" s="124">
        <f>J44+'17'!K44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0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F45+'17'!H45</f>
        <v>0</v>
      </c>
      <c r="I45" s="138"/>
      <c r="J45" s="178"/>
      <c r="K45" s="124">
        <f>J45+'17'!K45</f>
        <v>0</v>
      </c>
      <c r="L45" s="149"/>
      <c r="M45" s="198"/>
      <c r="N45" s="198"/>
      <c r="O45" s="1203"/>
      <c r="P45" s="1239"/>
      <c r="Q45" s="595"/>
      <c r="R45" s="594"/>
      <c r="S45" s="618"/>
      <c r="T45" s="93"/>
    </row>
    <row r="46" spans="1:20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F46+'17'!H46</f>
        <v>0</v>
      </c>
      <c r="I46" s="138"/>
      <c r="J46" s="178"/>
      <c r="K46" s="124">
        <f>J46+'17'!K46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0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F47+'17'!H47</f>
        <v>0</v>
      </c>
      <c r="I47" s="138"/>
      <c r="J47" s="178"/>
      <c r="K47" s="124">
        <f>J47+'17'!K47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0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E48+'17'!G48</f>
        <v>143198.07915752672</v>
      </c>
      <c r="H48" s="110">
        <f>F48+'17'!H48</f>
        <v>15244.370772189477</v>
      </c>
      <c r="I48" s="138">
        <f>IFERROR((H48/G48),0)</f>
        <v>0.10645653113419021</v>
      </c>
      <c r="J48" s="750">
        <v>0</v>
      </c>
      <c r="K48" s="124">
        <f>J48+'17'!K48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E50+'17'!G50</f>
        <v>0</v>
      </c>
      <c r="H50" s="110">
        <f>F50+'17'!H50</f>
        <v>0</v>
      </c>
      <c r="I50" s="138">
        <f>IFERROR((H50/G50),0)</f>
        <v>0</v>
      </c>
      <c r="J50" s="178"/>
      <c r="K50" s="124">
        <f>J50+'17'!K50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0</v>
      </c>
      <c r="F51" s="110">
        <v>0</v>
      </c>
      <c r="G51" s="110">
        <f>E51+'17'!G51</f>
        <v>162898.95024371953</v>
      </c>
      <c r="H51" s="110">
        <f>F51+'17'!H51</f>
        <v>32176.186994748638</v>
      </c>
      <c r="I51" s="138">
        <f>IFERROR((H51/G51),0)</f>
        <v>0.19752237167034273</v>
      </c>
      <c r="J51" s="178">
        <f>O51-P51</f>
        <v>0</v>
      </c>
      <c r="K51" s="124">
        <f>J51+'17'!K51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118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110"/>
      <c r="I52" s="99"/>
      <c r="J52" s="177"/>
      <c r="K52" s="124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110">
        <f>E53+'17'!G53</f>
        <v>0</v>
      </c>
      <c r="H53" s="110">
        <f>F53+'17'!H53</f>
        <v>0</v>
      </c>
      <c r="I53" s="759">
        <f t="shared" ref="I53:I58" si="4">IFERROR((H53/G53),0)</f>
        <v>0</v>
      </c>
      <c r="J53" s="754"/>
      <c r="K53" s="124">
        <f>J53+'17'!K53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E54+'17'!G54</f>
        <v>5806.4516129032272</v>
      </c>
      <c r="H54" s="110">
        <f>F54+'17'!H54</f>
        <v>0</v>
      </c>
      <c r="I54" s="759">
        <f t="shared" si="4"/>
        <v>0</v>
      </c>
      <c r="J54" s="754">
        <v>0</v>
      </c>
      <c r="K54" s="124">
        <f>J54+'17'!K54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E55+'17'!G55</f>
        <v>9870.9677419354812</v>
      </c>
      <c r="H55" s="110">
        <f>F55+'17'!H55</f>
        <v>0</v>
      </c>
      <c r="I55" s="759">
        <f t="shared" si="4"/>
        <v>0</v>
      </c>
      <c r="J55" s="754">
        <v>0</v>
      </c>
      <c r="K55" s="124">
        <f>J55+'17'!K55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E56+'17'!G56</f>
        <v>0</v>
      </c>
      <c r="H56" s="110">
        <f>F56+'17'!H56</f>
        <v>0</v>
      </c>
      <c r="I56" s="759">
        <f t="shared" si="4"/>
        <v>0</v>
      </c>
      <c r="J56" s="754"/>
      <c r="K56" s="124">
        <f>J56+'17'!K56</f>
        <v>0</v>
      </c>
      <c r="L56" s="203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E57+'17'!G57</f>
        <v>0</v>
      </c>
      <c r="H57" s="110">
        <f>F57+'17'!H57</f>
        <v>0</v>
      </c>
      <c r="I57" s="759">
        <f t="shared" si="4"/>
        <v>0</v>
      </c>
      <c r="J57" s="754"/>
      <c r="K57" s="124">
        <f>J57+'17'!K57</f>
        <v>0</v>
      </c>
      <c r="L57" s="127">
        <f t="shared" si="5"/>
        <v>178.07499999999999</v>
      </c>
      <c r="M57" s="185"/>
      <c r="N57" s="185"/>
      <c r="O57" s="1193"/>
      <c r="P57" s="119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E58+'17'!G58</f>
        <v>0</v>
      </c>
      <c r="H58" s="110">
        <f>F58+'17'!H58</f>
        <v>0</v>
      </c>
      <c r="I58" s="759">
        <f t="shared" si="4"/>
        <v>0</v>
      </c>
      <c r="J58" s="754">
        <v>0</v>
      </c>
      <c r="K58" s="124">
        <f>J58+'17'!K58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110"/>
      <c r="H59" s="110">
        <f>F59+'17'!H59</f>
        <v>0</v>
      </c>
      <c r="I59" s="759"/>
      <c r="J59" s="754"/>
      <c r="K59" s="124">
        <f>J59+'17'!K59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110"/>
      <c r="H60" s="110">
        <f>F60+'17'!H60</f>
        <v>0</v>
      </c>
      <c r="I60" s="759"/>
      <c r="J60" s="754"/>
      <c r="K60" s="124">
        <f>J60+'17'!K60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110"/>
      <c r="H61" s="110">
        <f>F61+'17'!H61</f>
        <v>0</v>
      </c>
      <c r="I61" s="759"/>
      <c r="J61" s="754">
        <f>D139+D141</f>
        <v>0</v>
      </c>
      <c r="K61" s="124">
        <f>J61+'17'!K61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21"/>
      <c r="H62" s="110">
        <f>F62+'17'!H62</f>
        <v>0</v>
      </c>
      <c r="I62" s="522"/>
      <c r="J62" s="754">
        <v>0</v>
      </c>
      <c r="K62" s="124">
        <f>J62+'17'!K62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F63+'17'!H63</f>
        <v>3329.1499999999996</v>
      </c>
      <c r="I63" s="1059"/>
      <c r="J63" s="1068">
        <v>0</v>
      </c>
      <c r="K63" s="668">
        <f>J63+'17'!K63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131"/>
      <c r="G64" s="521"/>
      <c r="H64" s="110">
        <f>F64+'17'!H64</f>
        <v>0</v>
      </c>
      <c r="I64" s="522"/>
      <c r="J64" s="754"/>
      <c r="K64" s="124">
        <f>J64+'17'!K64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110"/>
      <c r="H65" s="110">
        <f>F65+'17'!H65</f>
        <v>0</v>
      </c>
      <c r="I65" s="759"/>
      <c r="J65" s="754"/>
      <c r="K65" s="124">
        <f>J65+'17'!K65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110"/>
      <c r="H66" s="110">
        <f>F66+'17'!H66</f>
        <v>0</v>
      </c>
      <c r="I66" s="759"/>
      <c r="J66" s="754"/>
      <c r="K66" s="124">
        <f>J66+'17'!K66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110"/>
      <c r="H67" s="110">
        <f>F67+'17'!H67</f>
        <v>0</v>
      </c>
      <c r="I67" s="759"/>
      <c r="J67" s="754"/>
      <c r="K67" s="124">
        <f>J67+'17'!K67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110"/>
      <c r="H68" s="110">
        <f>F68+'17'!H68</f>
        <v>0</v>
      </c>
      <c r="I68" s="759"/>
      <c r="J68" s="754"/>
      <c r="K68" s="124">
        <f>J68+'17'!K68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/>
      <c r="G69" s="110"/>
      <c r="H69" s="110">
        <f>F69+'17'!H69</f>
        <v>0</v>
      </c>
      <c r="I69" s="759"/>
      <c r="J69" s="754">
        <v>0</v>
      </c>
      <c r="K69" s="124">
        <f>J69+'17'!K69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110"/>
      <c r="H70" s="110">
        <f>F70+'17'!H70</f>
        <v>3329.1499999999996</v>
      </c>
      <c r="I70" s="759"/>
      <c r="J70" s="754"/>
      <c r="K70" s="124">
        <f>J70+'17'!K70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110"/>
      <c r="H71" s="110">
        <f>F71+'17'!H71</f>
        <v>0</v>
      </c>
      <c r="I71" s="759"/>
      <c r="J71" s="754"/>
      <c r="K71" s="124">
        <f>J71+'17'!K71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87"/>
      <c r="H72" s="387">
        <f>F72+'17'!H72</f>
        <v>1911.376034856974</v>
      </c>
      <c r="I72" s="388"/>
      <c r="J72" s="756">
        <f>K131</f>
        <v>0</v>
      </c>
      <c r="K72" s="395">
        <f>J72+'17'!K72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33"/>
      <c r="H73" s="933">
        <f>F73+'17'!H73</f>
        <v>0</v>
      </c>
      <c r="I73" s="934"/>
      <c r="J73" s="931"/>
      <c r="K73" s="935">
        <f>J73+'17'!K73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191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21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87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24*18-K80</f>
        <v>432</v>
      </c>
      <c r="M80" s="139">
        <f>K80/(24*18)</f>
        <v>0</v>
      </c>
      <c r="N80" s="965"/>
      <c r="O80" s="302">
        <f>N80+'17'!O80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24*18-K81</f>
        <v>432</v>
      </c>
      <c r="M81" s="139">
        <f>K81/(24*18)</f>
        <v>0</v>
      </c>
      <c r="N81" s="965"/>
      <c r="O81" s="302">
        <f>N81+'17'!O81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33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1" si="12">IFERROR(O82/K82,0)</f>
        <v>43.535460826585258</v>
      </c>
      <c r="J82" s="138">
        <f t="shared" si="10"/>
        <v>0.96745468503522791</v>
      </c>
      <c r="K82" s="134">
        <f>F82+'17'!K82</f>
        <v>43.903888888888886</v>
      </c>
      <c r="L82" s="110">
        <f>24*18-K82</f>
        <v>388.0961111111111</v>
      </c>
      <c r="M82" s="139">
        <f>K82/(24*18)</f>
        <v>0.10162937242798353</v>
      </c>
      <c r="N82" s="716">
        <v>0</v>
      </c>
      <c r="O82" s="303">
        <f>N82+'17'!O82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33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F83+'17'!K83</f>
        <v>64.575555555555553</v>
      </c>
      <c r="L83" s="134">
        <f>G83+'17'!L83</f>
        <v>367.42444444444448</v>
      </c>
      <c r="M83" s="139">
        <f>K83/(24*18)</f>
        <v>0.14948045267489712</v>
      </c>
      <c r="N83" s="716">
        <v>0</v>
      </c>
      <c r="O83" s="303">
        <f>N83+'17'!O83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F84+'17'!K84</f>
        <v>64.977499999999992</v>
      </c>
      <c r="L84" s="134">
        <f>G84+'17'!L84</f>
        <v>367.02250000000004</v>
      </c>
      <c r="M84" s="139">
        <f>K84/(24*18)</f>
        <v>0.15041087962962962</v>
      </c>
      <c r="N84" s="716">
        <v>0</v>
      </c>
      <c r="O84" s="303">
        <f>N84+'17'!O84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F85+'17'!K85</f>
        <v>0</v>
      </c>
      <c r="L85" s="134">
        <f>G85+'17'!L85</f>
        <v>432</v>
      </c>
      <c r="M85" s="139">
        <f>K85/(24*12)</f>
        <v>0</v>
      </c>
      <c r="N85" s="965">
        <v>0</v>
      </c>
      <c r="O85" s="302">
        <f>N85+'17'!O85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F86+'17'!K86</f>
        <v>0</v>
      </c>
      <c r="L86" s="134">
        <f>G86+'17'!L86</f>
        <v>408</v>
      </c>
      <c r="M86" s="139">
        <f>K86/(24*12)</f>
        <v>0</v>
      </c>
      <c r="N86" s="965">
        <v>0</v>
      </c>
      <c r="O86" s="303">
        <f>N86+'17'!O86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F87+'17'!K87</f>
        <v>0</v>
      </c>
      <c r="L87" s="134">
        <f>G87+'17'!L87</f>
        <v>408</v>
      </c>
      <c r="M87" s="139">
        <f>K87/(24*12)</f>
        <v>0</v>
      </c>
      <c r="N87" s="965">
        <v>0</v>
      </c>
      <c r="O87" s="302">
        <f>N87+'17'!O87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F88+'17'!K88</f>
        <v>0</v>
      </c>
      <c r="L88" s="134">
        <f>G88+'17'!L88</f>
        <v>408</v>
      </c>
      <c r="M88" s="139">
        <f>K88/(24*12)</f>
        <v>0</v>
      </c>
      <c r="N88" s="716">
        <v>0</v>
      </c>
      <c r="O88" s="303">
        <f>N88+'17'!O88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F89+'17'!K89</f>
        <v>1.6950000000000001</v>
      </c>
      <c r="L89" s="134">
        <f>G89+'17'!L89</f>
        <v>430.30500000000001</v>
      </c>
      <c r="M89" s="139">
        <f t="shared" ref="M89:M94" si="13">K89/(24*18)</f>
        <v>3.9236111111111112E-3</v>
      </c>
      <c r="N89" s="1001">
        <v>0</v>
      </c>
      <c r="O89" s="303">
        <f>N89+'17'!O89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F90+'17'!K90</f>
        <v>32.664166666666674</v>
      </c>
      <c r="L90" s="134">
        <f>G90+'17'!L90</f>
        <v>399.33583333333331</v>
      </c>
      <c r="M90" s="139">
        <f t="shared" si="13"/>
        <v>7.5611496913580267E-2</v>
      </c>
      <c r="N90" s="1001">
        <v>0</v>
      </c>
      <c r="O90" s="303">
        <f>N90+'17'!O90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 t="shared" si="12"/>
        <v>0</v>
      </c>
      <c r="J91" s="138">
        <f t="shared" si="10"/>
        <v>0</v>
      </c>
      <c r="K91" s="134">
        <f>F91+'17'!K91</f>
        <v>0</v>
      </c>
      <c r="L91" s="134">
        <f>G91+'17'!L91</f>
        <v>432</v>
      </c>
      <c r="M91" s="139">
        <f t="shared" si="13"/>
        <v>0</v>
      </c>
      <c r="N91" s="716">
        <v>0</v>
      </c>
      <c r="O91" s="303">
        <f>N91+'17'!O91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F92+'17'!K92</f>
        <v>71.521666666666675</v>
      </c>
      <c r="L92" s="134">
        <f>G92+'17'!L92</f>
        <v>360.47833333333335</v>
      </c>
      <c r="M92" s="139">
        <f t="shared" si="13"/>
        <v>0.16555941358024692</v>
      </c>
      <c r="N92" s="716">
        <v>0</v>
      </c>
      <c r="O92" s="303">
        <f>N92+'17'!O92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F93+'17'!K93</f>
        <v>64.288611111111109</v>
      </c>
      <c r="L93" s="134">
        <f>G93+'17'!L93</f>
        <v>367.71138888888891</v>
      </c>
      <c r="M93" s="139">
        <f t="shared" si="13"/>
        <v>0.1488162294238683</v>
      </c>
      <c r="N93" s="716">
        <v>0</v>
      </c>
      <c r="O93" s="303">
        <f>N93+'17'!O93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F94+'17'!K94</f>
        <v>32</v>
      </c>
      <c r="L94" s="765">
        <f>G94+'17'!L94</f>
        <v>400</v>
      </c>
      <c r="M94" s="880">
        <f t="shared" si="13"/>
        <v>7.407407407407407E-2</v>
      </c>
      <c r="N94" s="966">
        <f>E111+E120+E121+E122</f>
        <v>0</v>
      </c>
      <c r="O94" s="871">
        <f>N94+'17'!O94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F95+'17'!K95</f>
        <v>7</v>
      </c>
      <c r="L95" s="443">
        <f>G95+'17'!L95</f>
        <v>425</v>
      </c>
      <c r="M95" s="723">
        <f>K95/(24*18)</f>
        <v>1.6203703703703703E-2</v>
      </c>
      <c r="N95" s="967">
        <f>E112+E114+E115+E118+E119</f>
        <v>0</v>
      </c>
      <c r="O95" s="713">
        <f>N95+'17'!O95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204"/>
      <c r="N97" s="1204"/>
      <c r="O97" s="1204"/>
      <c r="P97" s="1204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5121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112863</v>
      </c>
      <c r="H100" s="89">
        <f>H101+H110</f>
        <v>19708.249999999993</v>
      </c>
      <c r="I100" s="90">
        <f t="shared" ref="I100:I122" si="15">IFERROR((H100/G100),0)</f>
        <v>0.17462100068224301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5121</v>
      </c>
      <c r="E101" s="98">
        <f>SUM(E102:E109)</f>
        <v>0</v>
      </c>
      <c r="F101" s="99">
        <f t="shared" si="14"/>
        <v>0</v>
      </c>
      <c r="G101" s="169">
        <f>SUM(G102:G109)</f>
        <v>81047</v>
      </c>
      <c r="H101" s="98">
        <f>SUM(H102:H109)</f>
        <v>15844.349999999995</v>
      </c>
      <c r="I101" s="99">
        <f t="shared" si="15"/>
        <v>0.19549582341110708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D102+'17'!G102</f>
        <v>0</v>
      </c>
      <c r="H102" s="178">
        <f>E102+'17'!H102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345</v>
      </c>
      <c r="E103" s="166">
        <v>0</v>
      </c>
      <c r="F103" s="138">
        <f t="shared" si="14"/>
        <v>0</v>
      </c>
      <c r="G103" s="445">
        <f>D103+'17'!G103</f>
        <v>6600</v>
      </c>
      <c r="H103" s="150">
        <f>E103+'17'!H103</f>
        <v>0</v>
      </c>
      <c r="I103" s="138">
        <f t="shared" si="15"/>
        <v>0</v>
      </c>
      <c r="J103" s="1146"/>
      <c r="K103" s="1147"/>
      <c r="L103" s="148"/>
      <c r="M103" s="148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4588</v>
      </c>
      <c r="E104" s="110">
        <v>0</v>
      </c>
      <c r="F104" s="138">
        <f t="shared" si="14"/>
        <v>0</v>
      </c>
      <c r="G104" s="134">
        <f>D104+'17'!G104</f>
        <v>71696</v>
      </c>
      <c r="H104" s="178">
        <f>E104+'17'!H104</f>
        <v>12980.249999999995</v>
      </c>
      <c r="I104" s="138">
        <f t="shared" si="15"/>
        <v>0.18104566503012712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D105+'17'!G105</f>
        <v>0</v>
      </c>
      <c r="H105" s="178">
        <f>E105+'17'!H105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05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445">
        <f>D106+'17'!G106</f>
        <v>0</v>
      </c>
      <c r="H106" s="150">
        <f>E106+'17'!H106</f>
        <v>1280.3</v>
      </c>
      <c r="I106" s="138">
        <f t="shared" si="15"/>
        <v>0</v>
      </c>
      <c r="J106" s="1146"/>
      <c r="K106" s="1147"/>
      <c r="L106" s="253"/>
      <c r="M106" s="253"/>
      <c r="N106" s="148"/>
      <c r="O106" s="148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445">
        <f>D107+'17'!G107</f>
        <v>0</v>
      </c>
      <c r="H107" s="178">
        <f>E107+'17'!H107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163</v>
      </c>
      <c r="E108" s="110">
        <v>0</v>
      </c>
      <c r="F108" s="138">
        <f t="shared" si="14"/>
        <v>0</v>
      </c>
      <c r="G108" s="445">
        <f>D108+'17'!G108</f>
        <v>2051</v>
      </c>
      <c r="H108" s="178">
        <f>E108+'17'!H108</f>
        <v>826.59999999999991</v>
      </c>
      <c r="I108" s="138">
        <f t="shared" si="15"/>
        <v>0.40302291565090198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445">
        <f>D109+'17'!G109</f>
        <v>700</v>
      </c>
      <c r="H109" s="178">
        <f>E109+'17'!H109</f>
        <v>281.59999999999997</v>
      </c>
      <c r="I109" s="138">
        <f t="shared" si="15"/>
        <v>0.40228571428571425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1791</v>
      </c>
      <c r="E110" s="98">
        <f>SUM(E111:E122)</f>
        <v>0</v>
      </c>
      <c r="F110" s="1053">
        <f>IFERROR((E110/D110),0)</f>
        <v>0</v>
      </c>
      <c r="G110" s="1051">
        <f>SUM(G111:G122)</f>
        <v>31816</v>
      </c>
      <c r="H110" s="98">
        <f>SUM(H111:H122)</f>
        <v>3863.8999999999996</v>
      </c>
      <c r="I110" s="1053">
        <f>IFERROR((H110/G110),0)</f>
        <v>0.12144518481267286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D111+'17'!G111</f>
        <v>0</v>
      </c>
      <c r="H111" s="110">
        <f>E111+'17'!H111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D112+'17'!G112</f>
        <v>0</v>
      </c>
      <c r="H112" s="110">
        <f>E112+'17'!H112</f>
        <v>994.39999999999986</v>
      </c>
      <c r="I112" s="138">
        <f>IFERROR((H112/G112),0)</f>
        <v>0</v>
      </c>
      <c r="J112" s="1205"/>
      <c r="K112" s="1206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D113+'17'!G113</f>
        <v>0</v>
      </c>
      <c r="H113" s="110">
        <f>E113+'17'!H113</f>
        <v>20</v>
      </c>
      <c r="I113" s="138">
        <f t="shared" si="15"/>
        <v>0</v>
      </c>
      <c r="J113" s="799"/>
      <c r="K113" s="800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D114+'17'!G114</f>
        <v>288</v>
      </c>
      <c r="H114" s="110">
        <f>E114+'17'!H114</f>
        <v>0</v>
      </c>
      <c r="I114" s="167">
        <f t="shared" si="15"/>
        <v>0</v>
      </c>
      <c r="J114" s="1207"/>
      <c r="K114" s="1208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D115+'17'!G115</f>
        <v>0</v>
      </c>
      <c r="H115" s="110">
        <f>E115+'17'!H115</f>
        <v>0</v>
      </c>
      <c r="I115" s="138">
        <f t="shared" si="15"/>
        <v>0</v>
      </c>
      <c r="J115" s="799"/>
      <c r="K115" s="800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D116+'17'!G116</f>
        <v>0</v>
      </c>
      <c r="H116" s="110">
        <f>E116+'17'!H116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D117+'17'!G117</f>
        <v>0</v>
      </c>
      <c r="H117" s="110">
        <f>E117+'17'!H117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325</v>
      </c>
      <c r="E118" s="110">
        <v>0</v>
      </c>
      <c r="F118" s="138">
        <f t="shared" si="14"/>
        <v>0</v>
      </c>
      <c r="G118" s="134">
        <f>D118+'17'!G118</f>
        <v>6240</v>
      </c>
      <c r="H118" s="110">
        <f>E118+'17'!H118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D119+'17'!G119</f>
        <v>0</v>
      </c>
      <c r="H119" s="110">
        <f>E119+'17'!H119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642</v>
      </c>
      <c r="E120" s="110">
        <v>0</v>
      </c>
      <c r="F120" s="138">
        <f t="shared" si="14"/>
        <v>0</v>
      </c>
      <c r="G120" s="134">
        <f>D120+'17'!G120</f>
        <v>12852</v>
      </c>
      <c r="H120" s="110">
        <f>E120+'17'!H120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272</v>
      </c>
      <c r="E121" s="110">
        <v>0</v>
      </c>
      <c r="F121" s="138">
        <f t="shared" si="14"/>
        <v>0</v>
      </c>
      <c r="G121" s="134">
        <f>D121+'17'!G121</f>
        <v>816</v>
      </c>
      <c r="H121" s="110">
        <f>E121+'17'!H121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536</v>
      </c>
      <c r="E122" s="110">
        <v>0</v>
      </c>
      <c r="F122" s="138">
        <f t="shared" si="14"/>
        <v>0</v>
      </c>
      <c r="G122" s="134">
        <f>D122+'17'!G122</f>
        <v>11620</v>
      </c>
      <c r="H122" s="110">
        <f>E122+'17'!H122</f>
        <v>1823.35</v>
      </c>
      <c r="I122" s="138">
        <f t="shared" si="15"/>
        <v>0.15691480206540448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7" t="s">
        <v>89</v>
      </c>
      <c r="K124" s="350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0</v>
      </c>
      <c r="K125" s="328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43.408351112159004</v>
      </c>
      <c r="F126" s="157">
        <f>IFERROR(E126/D126,0)</f>
        <v>1.0718111385718272</v>
      </c>
      <c r="G126" s="204">
        <v>40.5</v>
      </c>
      <c r="H126" s="200">
        <v>43.653038847856799</v>
      </c>
      <c r="I126" s="157">
        <f>IFERROR(H126/G126,0)</f>
        <v>1.0778528110581926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14.955620686793445</v>
      </c>
      <c r="F127" s="157">
        <f t="shared" ref="F127:F132" si="16">IFERROR(E127/D127,0)</f>
        <v>0.87974239334079085</v>
      </c>
      <c r="G127" s="204">
        <v>17</v>
      </c>
      <c r="H127" s="200">
        <v>18.609088315516178</v>
      </c>
      <c r="I127" s="157">
        <f t="shared" ref="I127:I132" si="17">IFERROR(H127/G127,0)</f>
        <v>1.0946522538538928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20.811710776741002</v>
      </c>
      <c r="F129" s="157">
        <f t="shared" si="16"/>
        <v>0.9910338465114763</v>
      </c>
      <c r="G129" s="204">
        <v>21</v>
      </c>
      <c r="H129" s="200">
        <v>21.402394786227347</v>
      </c>
      <c r="I129" s="157">
        <f t="shared" si="17"/>
        <v>1.0191616564870165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12.686269045990707</v>
      </c>
      <c r="F130" s="157">
        <f t="shared" si="16"/>
        <v>0.30205402490454064</v>
      </c>
      <c r="G130" s="204">
        <v>42</v>
      </c>
      <c r="H130" s="200">
        <v>11.957320797083604</v>
      </c>
      <c r="I130" s="157">
        <f t="shared" si="17"/>
        <v>0.28469811421627628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37.01806230113624</v>
      </c>
      <c r="F131" s="157">
        <f t="shared" si="16"/>
        <v>1.0576589228896069</v>
      </c>
      <c r="G131" s="204">
        <v>35</v>
      </c>
      <c r="H131" s="200">
        <v>33.738907075233492</v>
      </c>
      <c r="I131" s="157">
        <f t="shared" si="17"/>
        <v>0.96396877357809974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125.56425789068204</v>
      </c>
      <c r="F132" s="684">
        <f t="shared" si="16"/>
        <v>1.2470380165923334</v>
      </c>
      <c r="G132" s="688">
        <v>100.69</v>
      </c>
      <c r="H132" s="683">
        <v>88.149678244996849</v>
      </c>
      <c r="I132" s="684">
        <f t="shared" si="17"/>
        <v>0.87545613511765663</v>
      </c>
      <c r="N132" s="728" t="s">
        <v>188</v>
      </c>
      <c r="O132" s="704">
        <f>O131+'17'!O132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130774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132568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5">IFERROR(C149/$B$149,0)</f>
        <v>0</v>
      </c>
      <c r="D150" s="346">
        <f t="shared" si="25"/>
        <v>0</v>
      </c>
      <c r="E150" s="346">
        <f t="shared" si="25"/>
        <v>0</v>
      </c>
      <c r="F150" s="346">
        <f t="shared" si="25"/>
        <v>0</v>
      </c>
      <c r="G150" s="346">
        <f t="shared" si="25"/>
        <v>0</v>
      </c>
      <c r="H150" s="346">
        <f t="shared" si="25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J143:J144"/>
    <mergeCell ref="J145:J146"/>
    <mergeCell ref="J147:J148"/>
    <mergeCell ref="O61:P61"/>
    <mergeCell ref="O54:P54"/>
    <mergeCell ref="O55:P55"/>
    <mergeCell ref="O56:P56"/>
    <mergeCell ref="O57:P57"/>
    <mergeCell ref="O58:P58"/>
    <mergeCell ref="P78:P79"/>
    <mergeCell ref="N78:O78"/>
    <mergeCell ref="A96:K96"/>
    <mergeCell ref="C97:C99"/>
    <mergeCell ref="D97:F98"/>
    <mergeCell ref="G97:I98"/>
    <mergeCell ref="J97:K98"/>
    <mergeCell ref="J129:J130"/>
    <mergeCell ref="K129:L129"/>
    <mergeCell ref="A124:A125"/>
    <mergeCell ref="B124:B125"/>
    <mergeCell ref="C124:C125"/>
    <mergeCell ref="D124:F124"/>
    <mergeCell ref="G124:I124"/>
    <mergeCell ref="I78:M78"/>
    <mergeCell ref="O59:P59"/>
    <mergeCell ref="O66:P66"/>
    <mergeCell ref="O67:P67"/>
    <mergeCell ref="O43:P43"/>
    <mergeCell ref="O44:P44"/>
    <mergeCell ref="O48:P48"/>
    <mergeCell ref="O45:P45"/>
    <mergeCell ref="O46:P46"/>
    <mergeCell ref="O47:P47"/>
    <mergeCell ref="O49:P49"/>
    <mergeCell ref="O50:P50"/>
    <mergeCell ref="O52:P52"/>
    <mergeCell ref="O53:P53"/>
    <mergeCell ref="O65:P65"/>
    <mergeCell ref="A123:I123"/>
    <mergeCell ref="M97:P97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L99:M99"/>
    <mergeCell ref="N99:O99"/>
    <mergeCell ref="A97:A99"/>
    <mergeCell ref="B97:B99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16:P16"/>
    <mergeCell ref="O21:P21"/>
    <mergeCell ref="O23:P23"/>
    <mergeCell ref="O38:P38"/>
    <mergeCell ref="O39:P39"/>
    <mergeCell ref="N129:P129"/>
    <mergeCell ref="K133:N133"/>
    <mergeCell ref="K142:N142"/>
    <mergeCell ref="A136:A138"/>
    <mergeCell ref="B136:B137"/>
    <mergeCell ref="C136:I136"/>
    <mergeCell ref="J139:J140"/>
    <mergeCell ref="J141:J142"/>
    <mergeCell ref="A78:A79"/>
    <mergeCell ref="B78:B79"/>
    <mergeCell ref="C78:C79"/>
    <mergeCell ref="D78:H78"/>
    <mergeCell ref="O68:P68"/>
    <mergeCell ref="O72:P72"/>
    <mergeCell ref="O73:P73"/>
    <mergeCell ref="O60:P60"/>
    <mergeCell ref="O62:P62"/>
    <mergeCell ref="O63:P63"/>
    <mergeCell ref="O64:P64"/>
    <mergeCell ref="O5:P5"/>
    <mergeCell ref="O6:P6"/>
    <mergeCell ref="O7:P7"/>
    <mergeCell ref="O8:P8"/>
    <mergeCell ref="A77:P77"/>
    <mergeCell ref="O9:P9"/>
    <mergeCell ref="O10:P10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  <mergeCell ref="O40:P40"/>
    <mergeCell ref="O41:P41"/>
    <mergeCell ref="O42:P42"/>
    <mergeCell ref="O30:P30"/>
    <mergeCell ref="O22:P22"/>
    <mergeCell ref="O69:P69"/>
    <mergeCell ref="O70:P70"/>
    <mergeCell ref="O71:P71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85546875" style="82" bestFit="1" customWidth="1"/>
    <col min="22" max="23" width="9.140625" style="82"/>
    <col min="24" max="24" width="10.7109375" style="82" bestFit="1" customWidth="1"/>
    <col min="25" max="25" width="14" style="82" bestFit="1" customWidth="1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19 ",Q1)</f>
        <v>Ежедневный отчет производства и отгрузки за 19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J9+J6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E6+'18'!G6</f>
        <v>0</v>
      </c>
      <c r="H6" s="110">
        <f>F6+'18'!H6</f>
        <v>6671.6154299884374</v>
      </c>
      <c r="I6" s="138"/>
      <c r="J6" s="750"/>
      <c r="K6" s="124">
        <f>J6+'18'!K6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10">
        <f>F7+'18'!H7</f>
        <v>0</v>
      </c>
      <c r="I7" s="138"/>
      <c r="J7" s="750"/>
      <c r="K7" s="124">
        <f>J7+'18'!K7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10">
        <f>F8+'18'!H8</f>
        <v>0</v>
      </c>
      <c r="I8" s="138"/>
      <c r="J8" s="750"/>
      <c r="K8" s="124">
        <f>J8+'18'!K8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0</v>
      </c>
      <c r="F9" s="98">
        <f>F10+F11+F12+F13</f>
        <v>0</v>
      </c>
      <c r="G9" s="98">
        <f>E9+'18'!G9</f>
        <v>100500</v>
      </c>
      <c r="H9" s="98">
        <f>F9+'18'!H9</f>
        <v>10202.455966818135</v>
      </c>
      <c r="I9" s="99">
        <f>IFERROR((H9/G9),0)</f>
        <v>0.1015169747942103</v>
      </c>
      <c r="J9" s="177">
        <f>J10+J11+J12+J13</f>
        <v>0</v>
      </c>
      <c r="K9" s="100">
        <f>J9+'18'!K9</f>
        <v>17027.103675312697</v>
      </c>
      <c r="L9" s="96">
        <f>D9+H9-K9+M9+N9</f>
        <v>120247.64605291751</v>
      </c>
      <c r="M9" s="101"/>
      <c r="N9" s="10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96"/>
      <c r="D10" s="149">
        <f>'01'!D10</f>
        <v>56300.273909357406</v>
      </c>
      <c r="E10" s="97"/>
      <c r="F10" s="110">
        <v>0</v>
      </c>
      <c r="G10" s="98">
        <f>E10+'18'!G10</f>
        <v>0</v>
      </c>
      <c r="H10" s="110">
        <f>F10+'18'!H10</f>
        <v>10202.455966818135</v>
      </c>
      <c r="I10" s="99"/>
      <c r="J10" s="178">
        <v>0</v>
      </c>
      <c r="K10" s="124">
        <f>J10+'18'!K10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96"/>
      <c r="D11" s="149">
        <f>'01'!D11</f>
        <v>18224.01726010743</v>
      </c>
      <c r="E11" s="97"/>
      <c r="F11" s="110"/>
      <c r="G11" s="98">
        <f>E11+'18'!G11</f>
        <v>0</v>
      </c>
      <c r="H11" s="110">
        <f>F11+'18'!H11</f>
        <v>0</v>
      </c>
      <c r="I11" s="99"/>
      <c r="J11" s="178">
        <v>0</v>
      </c>
      <c r="K11" s="124">
        <f>J11+'18'!K11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E12+'18'!G12</f>
        <v>0</v>
      </c>
      <c r="H12" s="110">
        <f>F12+'18'!H12</f>
        <v>0</v>
      </c>
      <c r="I12" s="757">
        <f>IFERROR((H12/G12),0)</f>
        <v>0</v>
      </c>
      <c r="J12" s="750"/>
      <c r="K12" s="124">
        <f>J12+'18'!K12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t="16.5" hidden="1" customHeight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E13+'18'!G13</f>
        <v>0</v>
      </c>
      <c r="H13" s="110">
        <f>F13+'18'!H13</f>
        <v>0</v>
      </c>
      <c r="I13" s="99"/>
      <c r="J13" s="178"/>
      <c r="K13" s="124">
        <f>J13+'18'!K13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6489.0000000000009</v>
      </c>
      <c r="F14" s="89">
        <f>SUM(F15:F21)</f>
        <v>0</v>
      </c>
      <c r="G14" s="89">
        <f>SUM(G15:G21)</f>
        <v>118652</v>
      </c>
      <c r="H14" s="89">
        <f>SUM(H15:H21)</f>
        <v>18857.68830004807</v>
      </c>
      <c r="I14" s="90">
        <f t="shared" ref="I14:I21" si="1">IFERROR((H14/G14),0)</f>
        <v>0.15893274702531832</v>
      </c>
      <c r="J14" s="749">
        <f>SUM(J15:J21)</f>
        <v>0</v>
      </c>
      <c r="K14" s="91">
        <f>SUM(K15:K23)</f>
        <v>19728.249999999993</v>
      </c>
      <c r="L14" s="87">
        <f>SUM(L15:L23)</f>
        <v>30049.907782554797</v>
      </c>
      <c r="M14" s="1008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/>
      <c r="G15" s="98">
        <f>E15+'18'!G15</f>
        <v>0</v>
      </c>
      <c r="H15" s="110">
        <f>F15+'18'!H15</f>
        <v>0</v>
      </c>
      <c r="I15" s="138">
        <f t="shared" si="1"/>
        <v>0</v>
      </c>
      <c r="J15" s="178">
        <v>0</v>
      </c>
      <c r="K15" s="124">
        <f>J15+'18'!K15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05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1475.5954060705496</v>
      </c>
      <c r="F16" s="171">
        <v>0</v>
      </c>
      <c r="G16" s="110">
        <f>E16+'18'!G16</f>
        <v>26981.40639868745</v>
      </c>
      <c r="H16" s="110">
        <f>F16+'18'!H16</f>
        <v>3228.5002277343951</v>
      </c>
      <c r="I16" s="758">
        <f t="shared" si="1"/>
        <v>0.1196564841739106</v>
      </c>
      <c r="J16" s="751">
        <f>IFERROR(SUMIF(A101:A114,A16,E101:E114),0)+E111+E112+E113</f>
        <v>0</v>
      </c>
      <c r="K16" s="124">
        <f>J16+'18'!K16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E17+'18'!G17</f>
        <v>0</v>
      </c>
      <c r="H17" s="110">
        <f>F17+'18'!H17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J17+'18'!K17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05" t="s">
        <v>85</v>
      </c>
      <c r="B18" s="119" t="s">
        <v>9</v>
      </c>
      <c r="C18" s="170">
        <f>'01'!C18</f>
        <v>1360</v>
      </c>
      <c r="D18" s="170">
        <f>'01'!D18</f>
        <v>3183.2380657083054</v>
      </c>
      <c r="E18" s="134"/>
      <c r="F18" s="171"/>
      <c r="G18" s="110">
        <f>E18+'18'!G18</f>
        <v>0</v>
      </c>
      <c r="H18" s="110">
        <f>F18+'18'!H18</f>
        <v>0</v>
      </c>
      <c r="I18" s="758">
        <f t="shared" si="1"/>
        <v>0</v>
      </c>
      <c r="J18" s="751">
        <f>IFERROR(SUMIF(A102:A115,A18,E102:E115),0)+E118+E120</f>
        <v>0</v>
      </c>
      <c r="K18" s="124">
        <f>J18+'18'!K18</f>
        <v>0</v>
      </c>
      <c r="L18" s="39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4849.7822497949137</v>
      </c>
      <c r="F19" s="131">
        <v>0</v>
      </c>
      <c r="G19" s="110">
        <f>E19+'18'!G19</f>
        <v>88678.743027071367</v>
      </c>
      <c r="H19" s="110">
        <f>F19+'18'!H19</f>
        <v>15629.188072313675</v>
      </c>
      <c r="I19" s="759">
        <f t="shared" si="1"/>
        <v>0.17624503391463817</v>
      </c>
      <c r="J19" s="751">
        <f>IFERROR(SUMIF(A102:A115,A19,E102:E115),0)+E117+E115+E122</f>
        <v>0</v>
      </c>
      <c r="K19" s="124">
        <f>J19+'18'!K19</f>
        <v>14803.599999999995</v>
      </c>
      <c r="L19" s="127">
        <f>D19+H19-K19-M19</f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118.3750102543068</v>
      </c>
      <c r="F20" s="110">
        <v>0</v>
      </c>
      <c r="G20" s="110">
        <f>E20+'18'!G20</f>
        <v>2164.4986464315011</v>
      </c>
      <c r="H20" s="110">
        <f>F20+'18'!H20</f>
        <v>0</v>
      </c>
      <c r="I20" s="138">
        <f t="shared" si="1"/>
        <v>0</v>
      </c>
      <c r="J20" s="751">
        <f>IFERROR(SUMIF(A102:A115,A20,E102:E115),0)</f>
        <v>0</v>
      </c>
      <c r="K20" s="124">
        <f>J20+'18'!K20</f>
        <v>826.59999999999991</v>
      </c>
      <c r="L20" s="127">
        <f t="shared" si="2"/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">
        <v>50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45.247333880229696</v>
      </c>
      <c r="F21" s="110">
        <v>0</v>
      </c>
      <c r="G21" s="110">
        <f>E21+'18'!G21</f>
        <v>827.35192780968009</v>
      </c>
      <c r="H21" s="110">
        <f>F21+'18'!H21</f>
        <v>0</v>
      </c>
      <c r="I21" s="138">
        <f t="shared" si="1"/>
        <v>0</v>
      </c>
      <c r="J21" s="751">
        <f>IFERROR(SUMIF(A102:A115,A21,E102:E115),0)</f>
        <v>0</v>
      </c>
      <c r="K21" s="124">
        <f>J21+'18'!K21</f>
        <v>0</v>
      </c>
      <c r="L21" s="127" t="s">
        <v>249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E22+'18'!G22</f>
        <v>1100</v>
      </c>
      <c r="H22" s="110">
        <f>F22+'18'!H22</f>
        <v>2130.1044634377968</v>
      </c>
      <c r="I22" s="99"/>
      <c r="J22" s="751">
        <f>IFERROR(SUMIF(A103:A123,A22,E103:E123),0)+E109</f>
        <v>0</v>
      </c>
      <c r="K22" s="124">
        <f>J22+'18'!K22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E23+'18'!G23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J23+'18'!K23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6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E24+'18'!G24</f>
        <v>0</v>
      </c>
      <c r="H24" s="110">
        <f>F24+'18'!H24</f>
        <v>0</v>
      </c>
      <c r="I24" s="99"/>
      <c r="J24" s="752">
        <v>0</v>
      </c>
      <c r="K24" s="124">
        <f>J24+'18'!K24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61"/>
    </row>
    <row r="25" spans="1:20" s="120" customFormat="1" hidden="1" outlineLevel="1">
      <c r="A25" s="105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E25+'18'!G25</f>
        <v>0</v>
      </c>
      <c r="H25" s="110">
        <f>F25+'18'!H25</f>
        <v>0</v>
      </c>
      <c r="I25" s="99"/>
      <c r="J25" s="752">
        <v>0</v>
      </c>
      <c r="K25" s="124">
        <f>J25+'18'!K25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6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E26+'18'!G26</f>
        <v>0</v>
      </c>
      <c r="H26" s="110">
        <f>F26+'18'!H26</f>
        <v>0</v>
      </c>
      <c r="I26" s="99"/>
      <c r="J26" s="752">
        <v>0</v>
      </c>
      <c r="K26" s="124">
        <f>J26+'18'!K26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61"/>
    </row>
    <row r="27" spans="1:20" s="120" customFormat="1" hidden="1" outlineLevel="1">
      <c r="A27" s="123" t="s">
        <v>50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E27+'18'!G27</f>
        <v>0</v>
      </c>
      <c r="H27" s="110">
        <f>F27+'18'!H27</f>
        <v>0</v>
      </c>
      <c r="I27" s="99"/>
      <c r="J27" s="752"/>
      <c r="K27" s="124">
        <f>J27+'18'!K27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6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E28+'18'!G28</f>
        <v>0</v>
      </c>
      <c r="H28" s="110">
        <f>F28+'18'!H28</f>
        <v>0</v>
      </c>
      <c r="I28" s="99"/>
      <c r="J28" s="752"/>
      <c r="K28" s="124">
        <f>J28+'18'!K28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6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E29+'18'!G29</f>
        <v>0</v>
      </c>
      <c r="H29" s="110">
        <f>F29+'18'!H29</f>
        <v>0</v>
      </c>
      <c r="I29" s="99"/>
      <c r="J29" s="752"/>
      <c r="K29" s="124">
        <f>J29+'18'!K29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6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E30+'18'!G30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J30+'18'!K30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6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E31+'18'!G31</f>
        <v>0</v>
      </c>
      <c r="H31" s="110">
        <f>F31+'18'!H31</f>
        <v>0</v>
      </c>
      <c r="I31" s="99"/>
      <c r="J31" s="865">
        <v>0</v>
      </c>
      <c r="K31" s="124">
        <f>J31+'18'!K31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61"/>
    </row>
    <row r="32" spans="1:20" s="120" customFormat="1" hidden="1" outlineLevel="1">
      <c r="A32" s="105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E32+'18'!G32</f>
        <v>0</v>
      </c>
      <c r="H32" s="110">
        <f>F32+'18'!H32</f>
        <v>554.40000000000009</v>
      </c>
      <c r="I32" s="99"/>
      <c r="J32" s="865">
        <v>0</v>
      </c>
      <c r="K32" s="124">
        <f>J32+'18'!K32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61"/>
    </row>
    <row r="33" spans="1:25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E33+'18'!G33</f>
        <v>0</v>
      </c>
      <c r="H33" s="110">
        <f>F33+'18'!H33</f>
        <v>0</v>
      </c>
      <c r="I33" s="99"/>
      <c r="J33" s="865">
        <v>0</v>
      </c>
      <c r="K33" s="124">
        <f>J33+'18'!K33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61"/>
    </row>
    <row r="34" spans="1:25" s="120" customFormat="1" hidden="1" outlineLevel="1">
      <c r="A34" s="123" t="s">
        <v>50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E34+'18'!G34</f>
        <v>0</v>
      </c>
      <c r="H34" s="110">
        <f>F34+'18'!H34</f>
        <v>0</v>
      </c>
      <c r="I34" s="99"/>
      <c r="J34" s="865"/>
      <c r="K34" s="124">
        <f>J34+'18'!K34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61"/>
    </row>
    <row r="35" spans="1:25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E35+'18'!G35</f>
        <v>0</v>
      </c>
      <c r="H35" s="110">
        <f>F35+'18'!H35</f>
        <v>0</v>
      </c>
      <c r="I35" s="99"/>
      <c r="J35" s="865"/>
      <c r="K35" s="124">
        <f>J35+'18'!K35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61"/>
    </row>
    <row r="36" spans="1:25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E36+'18'!G36</f>
        <v>0</v>
      </c>
      <c r="H36" s="110">
        <f>F36+'18'!H36</f>
        <v>0</v>
      </c>
      <c r="I36" s="99"/>
      <c r="J36" s="110">
        <v>0</v>
      </c>
      <c r="K36" s="124">
        <f>J36+'18'!K36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61"/>
    </row>
    <row r="37" spans="1:25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E37+'18'!G37</f>
        <v>0</v>
      </c>
      <c r="H37" s="110">
        <f>F37+'18'!H37</f>
        <v>0</v>
      </c>
      <c r="I37" s="99"/>
      <c r="J37" s="110">
        <v>0</v>
      </c>
      <c r="K37" s="124">
        <f>J37+'18'!K37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61"/>
    </row>
    <row r="38" spans="1:25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E38+'18'!G38</f>
        <v>94361.420454780848</v>
      </c>
      <c r="H38" s="676">
        <f>F38+'18'!H38</f>
        <v>9132.5707721894778</v>
      </c>
      <c r="I38" s="760">
        <f>IFERROR((H38/G38),0)</f>
        <v>9.6782887838848489E-2</v>
      </c>
      <c r="J38" s="954">
        <f>SUM(J39:J40)</f>
        <v>0</v>
      </c>
      <c r="K38" s="677">
        <f>J38+'18'!K38</f>
        <v>9083.5707721894778</v>
      </c>
      <c r="L38" s="311" t="e">
        <f>D38+H38-K38-Y52</f>
        <v>#VALUE!</v>
      </c>
      <c r="M38" s="198"/>
      <c r="N38" s="117"/>
      <c r="O38" s="1125"/>
      <c r="P38" s="1126"/>
      <c r="Q38" s="595"/>
      <c r="R38" s="590"/>
      <c r="S38" s="618"/>
      <c r="T38" s="118"/>
    </row>
    <row r="39" spans="1:25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F39+'18'!H39</f>
        <v>6840.5707721894778</v>
      </c>
      <c r="I39" s="138"/>
      <c r="J39" s="750">
        <f>F39</f>
        <v>0</v>
      </c>
      <c r="K39" s="124">
        <f>J39+'18'!K39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118"/>
    </row>
    <row r="40" spans="1:25" ht="15.75" customHeight="1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F40+'18'!H40</f>
        <v>2292</v>
      </c>
      <c r="I40" s="138"/>
      <c r="J40" s="178">
        <v>0</v>
      </c>
      <c r="K40" s="124">
        <f>J40+'18'!K40</f>
        <v>2243</v>
      </c>
      <c r="L40" s="149"/>
      <c r="M40" s="198"/>
      <c r="N40" s="117"/>
      <c r="O40" s="1125"/>
      <c r="P40" s="1126"/>
      <c r="Q40" s="595"/>
      <c r="R40" s="590"/>
      <c r="S40" s="618"/>
      <c r="T40" s="118"/>
    </row>
    <row r="41" spans="1:25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F41+'18'!H41</f>
        <v>0</v>
      </c>
      <c r="I41" s="138"/>
      <c r="J41" s="178"/>
      <c r="K41" s="124">
        <f>J41+'18'!K41</f>
        <v>0</v>
      </c>
      <c r="L41" s="149"/>
      <c r="M41" s="198"/>
      <c r="N41" s="117"/>
      <c r="O41" s="1125"/>
      <c r="P41" s="1126"/>
      <c r="Q41" s="595"/>
      <c r="R41" s="590"/>
      <c r="S41" s="618"/>
      <c r="T41" s="118"/>
    </row>
    <row r="42" spans="1:25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F42+'18'!H42</f>
        <v>0</v>
      </c>
      <c r="I42" s="138"/>
      <c r="J42" s="178"/>
      <c r="K42" s="124">
        <f>J42+'18'!K42</f>
        <v>0</v>
      </c>
      <c r="L42" s="149"/>
      <c r="M42" s="198"/>
      <c r="N42" s="117"/>
      <c r="O42" s="1125"/>
      <c r="P42" s="1126"/>
      <c r="Q42" s="595"/>
      <c r="R42" s="590"/>
      <c r="S42" s="618"/>
      <c r="T42" s="118"/>
    </row>
    <row r="43" spans="1:25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E43+'18'!G43</f>
        <v>61181.189904604646</v>
      </c>
      <c r="H43" s="110">
        <f>F43+'18'!H43</f>
        <v>8403.7999999999993</v>
      </c>
      <c r="I43" s="138">
        <f>IFERROR((H43/G43),0)</f>
        <v>0.1373592114357931</v>
      </c>
      <c r="J43" s="178">
        <f>F43</f>
        <v>0</v>
      </c>
      <c r="K43" s="124">
        <f>J43+'18'!K43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118"/>
    </row>
    <row r="44" spans="1:25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E44+'18'!G44</f>
        <v>25869.724289542548</v>
      </c>
      <c r="H44" s="110">
        <f>F44+'18'!H44</f>
        <v>7255</v>
      </c>
      <c r="I44" s="138">
        <f>IFERROR((H44/G44),0)</f>
        <v>0.28044365370112295</v>
      </c>
      <c r="J44" s="178">
        <v>0</v>
      </c>
      <c r="K44" s="124">
        <f>J44+'18'!K44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  <c r="Y44" s="187"/>
    </row>
    <row r="45" spans="1:25" s="120" customFormat="1" hidden="1" outlineLevel="1">
      <c r="A45" s="103" t="s">
        <v>70</v>
      </c>
      <c r="B45" s="119"/>
      <c r="C45" s="149"/>
      <c r="D45" s="149"/>
      <c r="E45" s="134"/>
      <c r="F45" s="110">
        <v>0</v>
      </c>
      <c r="G45" s="110"/>
      <c r="H45" s="110">
        <f>F45+'18'!H45</f>
        <v>0</v>
      </c>
      <c r="I45" s="138"/>
      <c r="J45" s="178"/>
      <c r="K45" s="124">
        <f>J45+'18'!K45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  <c r="Y45" s="187"/>
    </row>
    <row r="46" spans="1:25" s="120" customFormat="1" hidden="1" outlineLevel="1">
      <c r="A46" s="103" t="s">
        <v>71</v>
      </c>
      <c r="B46" s="119"/>
      <c r="C46" s="149"/>
      <c r="D46" s="149"/>
      <c r="E46" s="134"/>
      <c r="F46" s="110"/>
      <c r="G46" s="110"/>
      <c r="H46" s="110">
        <f>F46+'18'!H46</f>
        <v>0</v>
      </c>
      <c r="I46" s="138"/>
      <c r="J46" s="178"/>
      <c r="K46" s="124">
        <f>J46+'18'!K46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  <c r="Y46" s="187"/>
    </row>
    <row r="47" spans="1:25" s="120" customFormat="1" hidden="1" outlineLevel="1">
      <c r="A47" s="103" t="s">
        <v>72</v>
      </c>
      <c r="B47" s="119"/>
      <c r="C47" s="149"/>
      <c r="D47" s="149"/>
      <c r="E47" s="134"/>
      <c r="F47" s="110"/>
      <c r="G47" s="110"/>
      <c r="H47" s="110">
        <f>F47+'18'!H47</f>
        <v>0</v>
      </c>
      <c r="I47" s="138"/>
      <c r="J47" s="178"/>
      <c r="K47" s="124">
        <f>J47+'18'!K47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  <c r="Y47" s="187"/>
    </row>
    <row r="48" spans="1:25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E48+'18'!G48</f>
        <v>151153.52799961154</v>
      </c>
      <c r="H48" s="110">
        <f>F48+'18'!H48</f>
        <v>15244.370772189477</v>
      </c>
      <c r="I48" s="138">
        <f>IFERROR((H48/G48),0)</f>
        <v>0.10085355581133809</v>
      </c>
      <c r="J48" s="750">
        <v>0</v>
      </c>
      <c r="K48" s="124">
        <f>J48+'18'!K48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  <c r="Y48" s="187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  <c r="Y49" s="188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E50+'18'!G50</f>
        <v>0</v>
      </c>
      <c r="H50" s="110">
        <f>F50+'18'!H50</f>
        <v>0</v>
      </c>
      <c r="I50" s="138">
        <f>IFERROR((H50/G50),0)</f>
        <v>0</v>
      </c>
      <c r="J50" s="178"/>
      <c r="K50" s="124">
        <f>J50+'18'!K50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  <c r="Y50" s="189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0</v>
      </c>
      <c r="F51" s="110">
        <v>0</v>
      </c>
      <c r="G51" s="110">
        <f>E51+'18'!G51</f>
        <v>162898.95024371953</v>
      </c>
      <c r="H51" s="110">
        <f>F51+'18'!H51</f>
        <v>32176.186994748638</v>
      </c>
      <c r="I51" s="138">
        <f>IFERROR((H51/G51),0)</f>
        <v>0.19752237167034273</v>
      </c>
      <c r="J51" s="178">
        <f>O51-P51</f>
        <v>0</v>
      </c>
      <c r="K51" s="459">
        <f>J51+'18'!K51</f>
        <v>26069.180673341318</v>
      </c>
      <c r="L51" s="149" t="e">
        <f>D51+H51-K51+M51-Y54</f>
        <v>#VALUE!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118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110"/>
      <c r="I52" s="99"/>
      <c r="J52" s="177"/>
      <c r="K52" s="124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98">
        <f>E53+'18'!G53</f>
        <v>0</v>
      </c>
      <c r="H53" s="110">
        <f>F53+'18'!H53</f>
        <v>0</v>
      </c>
      <c r="I53" s="759">
        <f t="shared" ref="I53:I58" si="4">IFERROR((H53/G53),0)</f>
        <v>0</v>
      </c>
      <c r="J53" s="754"/>
      <c r="K53" s="124">
        <f>J53+'18'!K53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E54+'18'!G54</f>
        <v>6129.0322580645179</v>
      </c>
      <c r="H54" s="110">
        <f>F54+'18'!H54</f>
        <v>0</v>
      </c>
      <c r="I54" s="759">
        <f t="shared" si="4"/>
        <v>0</v>
      </c>
      <c r="J54" s="754">
        <v>0</v>
      </c>
      <c r="K54" s="124">
        <f>J54+'18'!K54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E55+'18'!G55</f>
        <v>10419.354838709674</v>
      </c>
      <c r="H55" s="110">
        <f>F55+'18'!H55</f>
        <v>0</v>
      </c>
      <c r="I55" s="759">
        <f t="shared" si="4"/>
        <v>0</v>
      </c>
      <c r="J55" s="754">
        <v>0</v>
      </c>
      <c r="K55" s="124">
        <f>J55+'18'!K55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98">
        <f>E56+'18'!G56</f>
        <v>0</v>
      </c>
      <c r="H56" s="110">
        <f>F56+'18'!H56</f>
        <v>0</v>
      </c>
      <c r="I56" s="759">
        <f t="shared" si="4"/>
        <v>0</v>
      </c>
      <c r="J56" s="754"/>
      <c r="K56" s="124">
        <f>J56+'18'!K56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98">
        <f>E57+'18'!G57</f>
        <v>0</v>
      </c>
      <c r="H57" s="110">
        <f>F57+'18'!H57</f>
        <v>0</v>
      </c>
      <c r="I57" s="759">
        <f t="shared" si="4"/>
        <v>0</v>
      </c>
      <c r="J57" s="754"/>
      <c r="K57" s="124">
        <f>J57+'18'!K57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E58+'18'!G58</f>
        <v>0</v>
      </c>
      <c r="H58" s="110">
        <f>F58+'18'!H58</f>
        <v>0</v>
      </c>
      <c r="I58" s="759">
        <f t="shared" si="4"/>
        <v>0</v>
      </c>
      <c r="J58" s="754">
        <v>0</v>
      </c>
      <c r="K58" s="124">
        <f>J58+'18'!K58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98"/>
      <c r="H59" s="110">
        <f>F59+'18'!H59</f>
        <v>0</v>
      </c>
      <c r="I59" s="759"/>
      <c r="J59" s="754"/>
      <c r="K59" s="124">
        <f>J59+'18'!K59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>
        <v>0</v>
      </c>
      <c r="G60" s="98"/>
      <c r="H60" s="110">
        <f>F60+'18'!H60</f>
        <v>0</v>
      </c>
      <c r="I60" s="759"/>
      <c r="J60" s="754"/>
      <c r="K60" s="124">
        <f>J60+'18'!K60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98"/>
      <c r="H61" s="110">
        <f>F61+'18'!H61</f>
        <v>0</v>
      </c>
      <c r="I61" s="759"/>
      <c r="J61" s="754">
        <f>D139+D141</f>
        <v>0</v>
      </c>
      <c r="K61" s="124">
        <f>J61+'18'!K61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42"/>
      <c r="H62" s="110">
        <f>F62+'18'!H62</f>
        <v>0</v>
      </c>
      <c r="I62" s="522"/>
      <c r="J62" s="754">
        <v>0</v>
      </c>
      <c r="K62" s="124">
        <f>J62+'18'!K62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F63+'18'!H63</f>
        <v>3329.1499999999996</v>
      </c>
      <c r="I63" s="1059"/>
      <c r="J63" s="1065">
        <v>0</v>
      </c>
      <c r="K63" s="668">
        <f>J63+'18'!K63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42"/>
      <c r="H64" s="110">
        <f>F64+'18'!H64</f>
        <v>0</v>
      </c>
      <c r="I64" s="522"/>
      <c r="J64" s="755"/>
      <c r="K64" s="124">
        <f>J64+'18'!K64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98"/>
      <c r="H65" s="110">
        <f>F65+'18'!H65</f>
        <v>0</v>
      </c>
      <c r="I65" s="759"/>
      <c r="J65" s="755"/>
      <c r="K65" s="124">
        <f>J65+'18'!K65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98"/>
      <c r="H66" s="110">
        <f>F66+'18'!H66</f>
        <v>0</v>
      </c>
      <c r="I66" s="759"/>
      <c r="J66" s="755"/>
      <c r="K66" s="124">
        <f>J66+'18'!K66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98"/>
      <c r="H67" s="110">
        <f>F67+'18'!H67</f>
        <v>0</v>
      </c>
      <c r="I67" s="759"/>
      <c r="J67" s="755"/>
      <c r="K67" s="124">
        <f>J67+'18'!K67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98"/>
      <c r="H68" s="110">
        <f>F68+'18'!H68</f>
        <v>0</v>
      </c>
      <c r="I68" s="759"/>
      <c r="J68" s="755"/>
      <c r="K68" s="124">
        <f>J68+'18'!K68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98"/>
      <c r="H69" s="110">
        <f>F69+'18'!H69</f>
        <v>0</v>
      </c>
      <c r="I69" s="759"/>
      <c r="J69" s="755">
        <v>0</v>
      </c>
      <c r="K69" s="124">
        <f>J69+'18'!K69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98"/>
      <c r="H70" s="110">
        <f>F70+'18'!H70</f>
        <v>3329.1499999999996</v>
      </c>
      <c r="I70" s="759"/>
      <c r="J70" s="755"/>
      <c r="K70" s="124">
        <f>J70+'18'!K70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98"/>
      <c r="H71" s="110">
        <f>F71+'18'!H71</f>
        <v>0</v>
      </c>
      <c r="I71" s="759"/>
      <c r="J71" s="754"/>
      <c r="K71" s="124">
        <f>J71+'18'!K71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94"/>
      <c r="H72" s="387">
        <f>F72+'18'!H72</f>
        <v>1911.376034856974</v>
      </c>
      <c r="I72" s="388"/>
      <c r="J72" s="756">
        <f>K131</f>
        <v>0</v>
      </c>
      <c r="K72" s="395">
        <f>J72+'18'!K72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43"/>
      <c r="H73" s="933">
        <f>F73+'18'!H73</f>
        <v>0</v>
      </c>
      <c r="I73" s="934"/>
      <c r="J73" s="931"/>
      <c r="K73" s="935">
        <f>J73+'18'!K73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667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42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94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24*19-K80</f>
        <v>456</v>
      </c>
      <c r="M80" s="139">
        <f>K80/(24*19)</f>
        <v>0</v>
      </c>
      <c r="N80" s="965"/>
      <c r="O80" s="302">
        <f>N80+'18'!O80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24*19-K81</f>
        <v>456</v>
      </c>
      <c r="M81" s="139">
        <f>K81/(24*19)</f>
        <v>0</v>
      </c>
      <c r="N81" s="965"/>
      <c r="O81" s="302">
        <f>N81+'18'!O81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2">IFERROR(O82/K82,0)</f>
        <v>43.535460826585258</v>
      </c>
      <c r="J82" s="138">
        <f t="shared" si="10"/>
        <v>0.96745468503522791</v>
      </c>
      <c r="K82" s="134">
        <f>F82+'18'!K82</f>
        <v>43.903888888888886</v>
      </c>
      <c r="L82" s="110">
        <f>24*19-K82</f>
        <v>412.0961111111111</v>
      </c>
      <c r="M82" s="139">
        <f>K82/(24*19)</f>
        <v>9.6280458089668605E-2</v>
      </c>
      <c r="N82" s="716">
        <v>0</v>
      </c>
      <c r="O82" s="303">
        <f>N82+'18'!O82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F83+'18'!K83</f>
        <v>64.575555555555553</v>
      </c>
      <c r="L83" s="134">
        <f>G83+'18'!L83</f>
        <v>391.42444444444448</v>
      </c>
      <c r="M83" s="139">
        <f>K83/(24*19)</f>
        <v>0.14161306042884989</v>
      </c>
      <c r="N83" s="716">
        <v>0</v>
      </c>
      <c r="O83" s="303">
        <f>N83+'18'!O83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F84+'18'!K84</f>
        <v>64.977499999999992</v>
      </c>
      <c r="L84" s="134">
        <f>G84+'18'!L84</f>
        <v>391.02250000000004</v>
      </c>
      <c r="M84" s="139">
        <f>K84/(24*19)</f>
        <v>0.14249451754385964</v>
      </c>
      <c r="N84" s="716">
        <v>0</v>
      </c>
      <c r="O84" s="303">
        <f>N84+'18'!O84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F85+'18'!K85</f>
        <v>0</v>
      </c>
      <c r="L85" s="134">
        <f>G85+'18'!L85</f>
        <v>456</v>
      </c>
      <c r="M85" s="139">
        <f>K85/(24*12)</f>
        <v>0</v>
      </c>
      <c r="N85" s="965">
        <v>0</v>
      </c>
      <c r="O85" s="302">
        <f>N85+'18'!O85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F86+'18'!K86</f>
        <v>0</v>
      </c>
      <c r="L86" s="134">
        <f>G86+'18'!L86</f>
        <v>432</v>
      </c>
      <c r="M86" s="139">
        <f>K86/(24*12)</f>
        <v>0</v>
      </c>
      <c r="N86" s="965">
        <v>0</v>
      </c>
      <c r="O86" s="303">
        <f>N86+'18'!O86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F87+'18'!K87</f>
        <v>0</v>
      </c>
      <c r="L87" s="134">
        <f>G87+'18'!L87</f>
        <v>432</v>
      </c>
      <c r="M87" s="139">
        <f>K87/(24*12)</f>
        <v>0</v>
      </c>
      <c r="N87" s="965">
        <v>0</v>
      </c>
      <c r="O87" s="302">
        <f>N87+'18'!O87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F88+'18'!K88</f>
        <v>0</v>
      </c>
      <c r="L88" s="134">
        <f>G88+'18'!L88</f>
        <v>432</v>
      </c>
      <c r="M88" s="139">
        <f>K88/(24*12)</f>
        <v>0</v>
      </c>
      <c r="N88" s="716">
        <v>0</v>
      </c>
      <c r="O88" s="303">
        <f>N88+'18'!O88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F89+'18'!K89</f>
        <v>1.6950000000000001</v>
      </c>
      <c r="L89" s="134">
        <f>G89+'18'!L89</f>
        <v>454.30500000000001</v>
      </c>
      <c r="M89" s="139">
        <f t="shared" ref="M89:M94" si="13">K89/(24*19)</f>
        <v>3.7171052631578948E-3</v>
      </c>
      <c r="N89" s="1001">
        <v>0</v>
      </c>
      <c r="O89" s="303">
        <f>N89+'18'!O89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F90+'18'!K90</f>
        <v>32.664166666666674</v>
      </c>
      <c r="L90" s="134">
        <f>G90+'18'!L90</f>
        <v>423.33583333333331</v>
      </c>
      <c r="M90" s="139">
        <f t="shared" si="13"/>
        <v>7.1631944444444456E-2</v>
      </c>
      <c r="N90" s="1001">
        <v>0</v>
      </c>
      <c r="O90" s="303">
        <f>N90+'18'!O90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F91+'18'!K91</f>
        <v>0</v>
      </c>
      <c r="L91" s="134">
        <f>G91+'18'!L91</f>
        <v>456</v>
      </c>
      <c r="M91" s="139">
        <f t="shared" si="13"/>
        <v>0</v>
      </c>
      <c r="N91" s="716">
        <v>0</v>
      </c>
      <c r="O91" s="303">
        <f>N91+'18'!O91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F92+'18'!K92</f>
        <v>71.521666666666675</v>
      </c>
      <c r="L92" s="134">
        <f>G92+'18'!L92</f>
        <v>384.47833333333335</v>
      </c>
      <c r="M92" s="139">
        <f t="shared" si="13"/>
        <v>0.15684576023391814</v>
      </c>
      <c r="N92" s="716">
        <v>0</v>
      </c>
      <c r="O92" s="303">
        <f>N92+'18'!O92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F93+'18'!K93</f>
        <v>64.288611111111109</v>
      </c>
      <c r="L93" s="134">
        <f>G93+'18'!L93</f>
        <v>391.71138888888891</v>
      </c>
      <c r="M93" s="139">
        <f t="shared" si="13"/>
        <v>0.14098379629629629</v>
      </c>
      <c r="N93" s="716">
        <v>0</v>
      </c>
      <c r="O93" s="303">
        <f>N93+'18'!O93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F94+'18'!K94</f>
        <v>32</v>
      </c>
      <c r="L94" s="765">
        <f>G94+'18'!L94</f>
        <v>424</v>
      </c>
      <c r="M94" s="880">
        <f t="shared" si="13"/>
        <v>7.0175438596491224E-2</v>
      </c>
      <c r="N94" s="966">
        <f>E111+E120+E121+E122</f>
        <v>0</v>
      </c>
      <c r="O94" s="871">
        <f>N94+'18'!O94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F95+'18'!K95</f>
        <v>7</v>
      </c>
      <c r="L95" s="443">
        <f>G95+'18'!L95</f>
        <v>449</v>
      </c>
      <c r="M95" s="723">
        <f>K95/(24*19)</f>
        <v>1.5350877192982455E-2</v>
      </c>
      <c r="N95" s="967">
        <f>E112+E114+E115+E118+E119</f>
        <v>0</v>
      </c>
      <c r="O95" s="713">
        <f>N95+'18'!O95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207"/>
      <c r="N97" s="207"/>
      <c r="O97" s="207"/>
      <c r="P97" s="207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199"/>
      <c r="N98" s="199"/>
      <c r="O98" s="199"/>
      <c r="P98" s="199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195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5038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119402</v>
      </c>
      <c r="H100" s="89">
        <f>H101+H110</f>
        <v>19708.249999999993</v>
      </c>
      <c r="I100" s="90">
        <f t="shared" ref="I100:I122" si="15">IFERROR((H100/G100),0)</f>
        <v>0.16505795547813262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5038</v>
      </c>
      <c r="E101" s="98">
        <f>SUM(E102:E109)</f>
        <v>0</v>
      </c>
      <c r="F101" s="99">
        <f t="shared" si="14"/>
        <v>0</v>
      </c>
      <c r="G101" s="169">
        <f>SUM(G102:G109)</f>
        <v>86085</v>
      </c>
      <c r="H101" s="98">
        <f>SUM(H102:H109)</f>
        <v>15844.349999999995</v>
      </c>
      <c r="I101" s="99">
        <f t="shared" si="15"/>
        <v>0.18405471336469761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D102+'18'!G102</f>
        <v>0</v>
      </c>
      <c r="H102" s="178">
        <f>E102+'18'!H102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345</v>
      </c>
      <c r="E103" s="166">
        <v>0</v>
      </c>
      <c r="F103" s="138">
        <f t="shared" si="14"/>
        <v>0</v>
      </c>
      <c r="G103" s="445">
        <f>D103+'18'!G103</f>
        <v>6945</v>
      </c>
      <c r="H103" s="150">
        <f>E103+'18'!H103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4556</v>
      </c>
      <c r="E104" s="110">
        <v>0</v>
      </c>
      <c r="F104" s="138">
        <f t="shared" si="14"/>
        <v>0</v>
      </c>
      <c r="G104" s="134">
        <f>D104+'18'!G104</f>
        <v>76252</v>
      </c>
      <c r="H104" s="178">
        <f>E104+'18'!H104</f>
        <v>12980.249999999995</v>
      </c>
      <c r="I104" s="138">
        <f t="shared" si="15"/>
        <v>0.17022832188008177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D105+'18'!G105</f>
        <v>0</v>
      </c>
      <c r="H105" s="178">
        <f>E105+'18'!H105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05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D106+'18'!G106</f>
        <v>0</v>
      </c>
      <c r="H106" s="178">
        <f>E106+'18'!H106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D107+'18'!G107</f>
        <v>0</v>
      </c>
      <c r="H107" s="178">
        <f>E107+'18'!H107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87</v>
      </c>
      <c r="E108" s="110">
        <v>0</v>
      </c>
      <c r="F108" s="138">
        <f t="shared" si="14"/>
        <v>0</v>
      </c>
      <c r="G108" s="134">
        <f>D108+'18'!G108</f>
        <v>2138</v>
      </c>
      <c r="H108" s="178">
        <f>E108+'18'!H108</f>
        <v>826.59999999999991</v>
      </c>
      <c r="I108" s="138">
        <f t="shared" si="15"/>
        <v>0.38662301216089801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545">
        <f>'01'!C109</f>
        <v>1100</v>
      </c>
      <c r="D109" s="134">
        <v>50</v>
      </c>
      <c r="E109" s="110">
        <v>0</v>
      </c>
      <c r="F109" s="138">
        <f t="shared" si="14"/>
        <v>0</v>
      </c>
      <c r="G109" s="134">
        <f>D109+'18'!G109</f>
        <v>750</v>
      </c>
      <c r="H109" s="178">
        <f>E109+'18'!H109</f>
        <v>281.59999999999997</v>
      </c>
      <c r="I109" s="138">
        <f t="shared" si="15"/>
        <v>0.37546666666666662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260">
        <f>SUM(C111:C122)</f>
        <v>52832</v>
      </c>
      <c r="D110" s="1052">
        <f>SUM(D111:D122)</f>
        <v>1501</v>
      </c>
      <c r="E110" s="98">
        <f>SUM(E111:E122)</f>
        <v>0</v>
      </c>
      <c r="F110" s="1053">
        <f>IFERROR((E110/D110),0)</f>
        <v>0</v>
      </c>
      <c r="G110" s="1052">
        <f>SUM(G111:G122)</f>
        <v>33317</v>
      </c>
      <c r="H110" s="98">
        <f>SUM(H111:H122)</f>
        <v>3863.8999999999996</v>
      </c>
      <c r="I110" s="1056">
        <f>IFERROR((H110/G110),0)</f>
        <v>0.11597382717531589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826" t="s">
        <v>9</v>
      </c>
      <c r="C111" s="149">
        <f>'01'!C111</f>
        <v>0</v>
      </c>
      <c r="D111" s="134">
        <v>0</v>
      </c>
      <c r="E111" s="110">
        <v>0</v>
      </c>
      <c r="F111" s="829">
        <f>IFERROR((E111/D111),0)</f>
        <v>0</v>
      </c>
      <c r="G111" s="134">
        <f>D111+'18'!G111</f>
        <v>0</v>
      </c>
      <c r="H111" s="110">
        <f>E111+'18'!H111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 outlineLevel="1">
      <c r="A112" s="254" t="s">
        <v>252</v>
      </c>
      <c r="B112" s="826" t="s">
        <v>9</v>
      </c>
      <c r="C112" s="149">
        <f>'01'!C112</f>
        <v>0</v>
      </c>
      <c r="D112" s="134">
        <v>0</v>
      </c>
      <c r="E112" s="110">
        <v>0</v>
      </c>
      <c r="F112" s="829">
        <f>IFERROR((E112/D112),0)</f>
        <v>0</v>
      </c>
      <c r="G112" s="134">
        <f>D112+'18'!G112</f>
        <v>0</v>
      </c>
      <c r="H112" s="110">
        <f>E112+'18'!H112</f>
        <v>994.39999999999986</v>
      </c>
      <c r="I112" s="138">
        <f>IFERROR((H112/G112),0)</f>
        <v>0</v>
      </c>
      <c r="J112" s="1240"/>
      <c r="K112" s="1241"/>
      <c r="L112" s="143"/>
      <c r="M112" s="152"/>
      <c r="N112" s="253"/>
      <c r="O112" s="253"/>
      <c r="P112" s="143"/>
      <c r="T112" s="93"/>
    </row>
    <row r="113" spans="1:20" outlineLevel="1">
      <c r="A113" s="254" t="s">
        <v>253</v>
      </c>
      <c r="B113" s="826" t="s">
        <v>9</v>
      </c>
      <c r="C113" s="149">
        <f>'01'!C113</f>
        <v>0</v>
      </c>
      <c r="D113" s="134">
        <v>0</v>
      </c>
      <c r="E113" s="110">
        <v>0</v>
      </c>
      <c r="F113" s="829">
        <f t="shared" si="14"/>
        <v>0</v>
      </c>
      <c r="G113" s="134">
        <f>D113+'18'!G113</f>
        <v>0</v>
      </c>
      <c r="H113" s="110">
        <f>E113+'18'!H113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7" t="s">
        <v>9</v>
      </c>
      <c r="C114" s="299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D114+'18'!G114</f>
        <v>304</v>
      </c>
      <c r="H114" s="110">
        <f>E114+'18'!H114</f>
        <v>0</v>
      </c>
      <c r="I114" s="167">
        <f t="shared" si="15"/>
        <v>0</v>
      </c>
      <c r="J114" s="1242"/>
      <c r="K114" s="1243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828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D115+'18'!G115</f>
        <v>0</v>
      </c>
      <c r="H115" s="110">
        <f>E115+'18'!H115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828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D116+'18'!G116</f>
        <v>0</v>
      </c>
      <c r="H116" s="110">
        <f>E116+'18'!H116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828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D117+'18'!G117</f>
        <v>0</v>
      </c>
      <c r="H117" s="110">
        <f>E117+'18'!H117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828" t="s">
        <v>9</v>
      </c>
      <c r="C118" s="149">
        <f>'01'!C118</f>
        <v>10700</v>
      </c>
      <c r="D118" s="134">
        <v>375</v>
      </c>
      <c r="E118" s="110">
        <v>0</v>
      </c>
      <c r="F118" s="138">
        <f t="shared" si="14"/>
        <v>0</v>
      </c>
      <c r="G118" s="134">
        <f>D118+'18'!G118</f>
        <v>6615</v>
      </c>
      <c r="H118" s="110">
        <f>E118+'18'!H118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828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D119+'18'!G119</f>
        <v>0</v>
      </c>
      <c r="H119" s="110">
        <f>E119+'18'!H119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828" t="s">
        <v>9</v>
      </c>
      <c r="C120" s="149">
        <f>'01'!C120</f>
        <v>22152</v>
      </c>
      <c r="D120" s="134">
        <v>1050</v>
      </c>
      <c r="E120" s="110">
        <v>0</v>
      </c>
      <c r="F120" s="138">
        <f t="shared" si="14"/>
        <v>0</v>
      </c>
      <c r="G120" s="134">
        <f>D120+'18'!G120</f>
        <v>13902</v>
      </c>
      <c r="H120" s="110">
        <f>E120+'18'!H120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828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D121+'18'!G121</f>
        <v>816</v>
      </c>
      <c r="H121" s="110">
        <f>E121+'18'!H121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828" t="s">
        <v>9</v>
      </c>
      <c r="C122" s="149">
        <f>'01'!C122</f>
        <v>18120</v>
      </c>
      <c r="D122" s="134">
        <v>60</v>
      </c>
      <c r="E122" s="110">
        <v>0</v>
      </c>
      <c r="F122" s="138">
        <f t="shared" si="14"/>
        <v>0</v>
      </c>
      <c r="G122" s="134">
        <f>D122+'18'!G122</f>
        <v>11680</v>
      </c>
      <c r="H122" s="110">
        <f>E122+'18'!H122</f>
        <v>1823.35</v>
      </c>
      <c r="I122" s="138">
        <f t="shared" si="15"/>
        <v>0.15610873287671231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7" t="s">
        <v>89</v>
      </c>
      <c r="K124" s="351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0</v>
      </c>
      <c r="K125" s="328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36.18884148992332</v>
      </c>
      <c r="F126" s="157">
        <f>IFERROR(E126/D126,0)</f>
        <v>0.8935516417265017</v>
      </c>
      <c r="G126" s="204">
        <v>40.5</v>
      </c>
      <c r="H126" s="200">
        <v>43.214441359110594</v>
      </c>
      <c r="I126" s="157">
        <f>IFERROR(H126/G126,0)</f>
        <v>1.0670232434348295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7.4509162342410713</v>
      </c>
      <c r="F127" s="157">
        <f t="shared" ref="F127:F132" si="16">IFERROR(E127/D127,0)</f>
        <v>0.43828919024947477</v>
      </c>
      <c r="G127" s="204">
        <v>17</v>
      </c>
      <c r="H127" s="200">
        <v>17.832370342750803</v>
      </c>
      <c r="I127" s="157">
        <f t="shared" ref="I127:I132" si="17">IFERROR(H127/G127,0)</f>
        <v>1.0489629613382825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18.864017186852987</v>
      </c>
      <c r="F129" s="157">
        <f t="shared" si="16"/>
        <v>0.89828653270728509</v>
      </c>
      <c r="G129" s="204">
        <v>21</v>
      </c>
      <c r="H129" s="200">
        <v>21.257773866838644</v>
      </c>
      <c r="I129" s="157">
        <f t="shared" si="17"/>
        <v>1.0122749460399354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0</v>
      </c>
      <c r="F130" s="157">
        <f t="shared" si="16"/>
        <v>0</v>
      </c>
      <c r="G130" s="204">
        <v>42</v>
      </c>
      <c r="H130" s="200">
        <v>12.283083841155111</v>
      </c>
      <c r="I130" s="157">
        <f t="shared" si="17"/>
        <v>0.29245437717035977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37.183429760249027</v>
      </c>
      <c r="F131" s="157">
        <f t="shared" si="16"/>
        <v>1.0623837074356866</v>
      </c>
      <c r="G131" s="204">
        <v>35</v>
      </c>
      <c r="H131" s="200">
        <v>33.922124189897268</v>
      </c>
      <c r="I131" s="157">
        <f t="shared" si="17"/>
        <v>0.9692035482827791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85.968952214818003</v>
      </c>
      <c r="F132" s="684">
        <f t="shared" si="16"/>
        <v>0.8537983137830768</v>
      </c>
      <c r="G132" s="688">
        <v>100.69</v>
      </c>
      <c r="H132" s="683">
        <v>87.740780594638608</v>
      </c>
      <c r="I132" s="684">
        <f t="shared" si="17"/>
        <v>0.87139517920983822</v>
      </c>
      <c r="N132" s="728" t="s">
        <v>188</v>
      </c>
      <c r="O132" s="704">
        <f>O131+'18'!O132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120054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179320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23">
        <f t="shared" si="24"/>
        <v>0</v>
      </c>
      <c r="E149" s="323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5">IFERROR(C149/$B$149,0)</f>
        <v>0</v>
      </c>
      <c r="D150" s="346">
        <f t="shared" si="25"/>
        <v>0</v>
      </c>
      <c r="E150" s="346">
        <f t="shared" si="25"/>
        <v>0</v>
      </c>
      <c r="F150" s="346">
        <f t="shared" si="25"/>
        <v>0</v>
      </c>
      <c r="G150" s="346">
        <f t="shared" si="25"/>
        <v>0</v>
      </c>
      <c r="H150" s="346">
        <f t="shared" si="25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69:P69"/>
    <mergeCell ref="O70:P70"/>
    <mergeCell ref="O71:P71"/>
    <mergeCell ref="O30:P30"/>
    <mergeCell ref="O22:P22"/>
    <mergeCell ref="C78:C79"/>
    <mergeCell ref="D78:H78"/>
    <mergeCell ref="O58:P58"/>
    <mergeCell ref="O60:P60"/>
    <mergeCell ref="A77:P77"/>
    <mergeCell ref="O23:P23"/>
    <mergeCell ref="O38:P38"/>
    <mergeCell ref="O39:P39"/>
    <mergeCell ref="O40:P40"/>
    <mergeCell ref="O41:P41"/>
    <mergeCell ref="O42:P42"/>
    <mergeCell ref="O44:P44"/>
    <mergeCell ref="O48:P48"/>
    <mergeCell ref="O46:P46"/>
    <mergeCell ref="O47:P47"/>
    <mergeCell ref="O43:P43"/>
    <mergeCell ref="O45:P45"/>
    <mergeCell ref="O49:P49"/>
    <mergeCell ref="O50:P50"/>
    <mergeCell ref="J141:J142"/>
    <mergeCell ref="J143:J144"/>
    <mergeCell ref="J145:J146"/>
    <mergeCell ref="J147:J148"/>
    <mergeCell ref="P78:P79"/>
    <mergeCell ref="N78:O78"/>
    <mergeCell ref="A96:K96"/>
    <mergeCell ref="B78:B79"/>
    <mergeCell ref="A78:A79"/>
    <mergeCell ref="A97:A99"/>
    <mergeCell ref="B97:B99"/>
    <mergeCell ref="C97:C99"/>
    <mergeCell ref="D97:F98"/>
    <mergeCell ref="G97:I98"/>
    <mergeCell ref="A136:A138"/>
    <mergeCell ref="B136:B137"/>
    <mergeCell ref="J129:J130"/>
    <mergeCell ref="K129:L129"/>
    <mergeCell ref="A124:A125"/>
    <mergeCell ref="A123:I123"/>
    <mergeCell ref="B124:B125"/>
    <mergeCell ref="K142:N142"/>
    <mergeCell ref="I78:M78"/>
    <mergeCell ref="J102:K102"/>
    <mergeCell ref="O16:P16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J104:K104"/>
    <mergeCell ref="J105:K105"/>
    <mergeCell ref="J106:K106"/>
    <mergeCell ref="J111:K111"/>
    <mergeCell ref="L99:M99"/>
    <mergeCell ref="J107:K107"/>
    <mergeCell ref="N99:O99"/>
    <mergeCell ref="J97:K98"/>
    <mergeCell ref="J101:K101"/>
    <mergeCell ref="J103:K103"/>
    <mergeCell ref="J139:J140"/>
    <mergeCell ref="C136:I136"/>
    <mergeCell ref="C124:C125"/>
    <mergeCell ref="D124:F124"/>
    <mergeCell ref="G124:I124"/>
    <mergeCell ref="J115:K115"/>
    <mergeCell ref="K133:N133"/>
    <mergeCell ref="J112:K112"/>
    <mergeCell ref="J114:K114"/>
    <mergeCell ref="N129:P129"/>
    <mergeCell ref="O52:P52"/>
    <mergeCell ref="O67:P67"/>
    <mergeCell ref="O53:P53"/>
    <mergeCell ref="O59:P59"/>
    <mergeCell ref="O61:P61"/>
    <mergeCell ref="O54:P54"/>
    <mergeCell ref="O55:P55"/>
    <mergeCell ref="O56:P56"/>
    <mergeCell ref="O57:P57"/>
    <mergeCell ref="O68:P68"/>
    <mergeCell ref="O72:P72"/>
    <mergeCell ref="O73:P73"/>
    <mergeCell ref="O62:P62"/>
    <mergeCell ref="O63:P63"/>
    <mergeCell ref="O64:P64"/>
    <mergeCell ref="O65:P65"/>
    <mergeCell ref="O66:P66"/>
    <mergeCell ref="O5:P5"/>
    <mergeCell ref="O6:P6"/>
    <mergeCell ref="O7:P7"/>
    <mergeCell ref="O8:P8"/>
    <mergeCell ref="O9:P9"/>
    <mergeCell ref="O10:P10"/>
    <mergeCell ref="O21:P21"/>
    <mergeCell ref="O11:P11"/>
    <mergeCell ref="O12:P12"/>
    <mergeCell ref="O13:P13"/>
    <mergeCell ref="O14:P14"/>
    <mergeCell ref="O15:P15"/>
    <mergeCell ref="O17:P17"/>
    <mergeCell ref="O18:P18"/>
    <mergeCell ref="O19:P19"/>
    <mergeCell ref="O20:P20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20 ",Q1)</f>
        <v>Ежедневный отчет производства и отгрузки за 20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135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118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1010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95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E6+'19'!G6</f>
        <v>0</v>
      </c>
      <c r="H6" s="110">
        <f>F6+'19'!H6</f>
        <v>6671.6154299884374</v>
      </c>
      <c r="I6" s="138"/>
      <c r="J6" s="750"/>
      <c r="K6" s="124">
        <f>J6+'19'!K6</f>
        <v>0</v>
      </c>
      <c r="L6" s="149">
        <f>D6+H6-K6-M6-N6</f>
        <v>22624.535195522654</v>
      </c>
      <c r="M6" s="101"/>
      <c r="N6" s="101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95" t="s">
        <v>9</v>
      </c>
      <c r="C7" s="149"/>
      <c r="D7" s="149">
        <f>'01'!D7</f>
        <v>0</v>
      </c>
      <c r="E7" s="134"/>
      <c r="F7" s="110">
        <v>0</v>
      </c>
      <c r="G7" s="110"/>
      <c r="H7" s="110">
        <f>F7+'19'!H7</f>
        <v>0</v>
      </c>
      <c r="I7" s="138"/>
      <c r="J7" s="750"/>
      <c r="K7" s="124">
        <f>J7+'19'!K7</f>
        <v>0</v>
      </c>
      <c r="L7" s="149">
        <f>D7+H7-K7-M7-N7</f>
        <v>0</v>
      </c>
      <c r="M7" s="101"/>
      <c r="N7" s="101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95" t="s">
        <v>9</v>
      </c>
      <c r="C8" s="149"/>
      <c r="D8" s="149">
        <f>'01'!D8</f>
        <v>0</v>
      </c>
      <c r="E8" s="134"/>
      <c r="F8" s="110"/>
      <c r="G8" s="110"/>
      <c r="H8" s="110">
        <f>F8+'19'!H8</f>
        <v>0</v>
      </c>
      <c r="I8" s="138"/>
      <c r="J8" s="750"/>
      <c r="K8" s="124">
        <f>J8+'19'!K8</f>
        <v>0</v>
      </c>
      <c r="L8" s="149">
        <f>D8+H8-K8</f>
        <v>0</v>
      </c>
      <c r="M8" s="101"/>
      <c r="N8" s="1011"/>
      <c r="O8" s="1133"/>
      <c r="P8" s="1134"/>
      <c r="Q8" s="592"/>
      <c r="R8" s="590"/>
      <c r="S8" s="618"/>
      <c r="T8" s="93"/>
    </row>
    <row r="9" spans="1:20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0</v>
      </c>
      <c r="F9" s="98">
        <f>F10+F11+F12+F13</f>
        <v>0</v>
      </c>
      <c r="G9" s="98">
        <f>E9+'19'!G9</f>
        <v>100500</v>
      </c>
      <c r="H9" s="98">
        <f>F9+'19'!H9</f>
        <v>10202.455966818135</v>
      </c>
      <c r="I9" s="99">
        <f>IFERROR((H9/G9),0)</f>
        <v>0.1015169747942103</v>
      </c>
      <c r="J9" s="177">
        <f>J10+J11+J12+J13</f>
        <v>0</v>
      </c>
      <c r="K9" s="100">
        <f>J9+'19'!K9</f>
        <v>17027.103675312697</v>
      </c>
      <c r="L9" s="96">
        <f>D9+H9-K9+M9+N9</f>
        <v>120247.64605291751</v>
      </c>
      <c r="M9" s="101"/>
      <c r="N9" s="1011">
        <f>N10</f>
        <v>0</v>
      </c>
      <c r="O9" s="1133"/>
      <c r="P9" s="1134"/>
      <c r="Q9" s="592">
        <v>-23266.571785975502</v>
      </c>
      <c r="R9" s="590">
        <f>J9-Q9</f>
        <v>23266.571785975502</v>
      </c>
      <c r="S9" s="618"/>
      <c r="T9" s="93"/>
    </row>
    <row r="10" spans="1:20">
      <c r="A10" s="103" t="s">
        <v>64</v>
      </c>
      <c r="B10" s="95" t="s">
        <v>9</v>
      </c>
      <c r="C10" s="149"/>
      <c r="D10" s="149">
        <f>'01'!D10</f>
        <v>56300.273909357406</v>
      </c>
      <c r="E10" s="134"/>
      <c r="F10" s="110">
        <v>0</v>
      </c>
      <c r="G10" s="98">
        <f>E10+'19'!G10</f>
        <v>0</v>
      </c>
      <c r="H10" s="110">
        <f>F10+'19'!H10</f>
        <v>10202.455966818135</v>
      </c>
      <c r="I10" s="138"/>
      <c r="J10" s="178">
        <v>0</v>
      </c>
      <c r="K10" s="124">
        <f>J10+'19'!K10</f>
        <v>17027.103675312697</v>
      </c>
      <c r="L10" s="149">
        <f>D10+H10-K10+M10+N10</f>
        <v>49475.62620086284</v>
      </c>
      <c r="M10" s="101"/>
      <c r="N10" s="1011"/>
      <c r="O10" s="1133"/>
      <c r="P10" s="1134"/>
      <c r="Q10" s="592"/>
      <c r="R10" s="590"/>
    </row>
    <row r="11" spans="1:20">
      <c r="A11" s="103" t="s">
        <v>244</v>
      </c>
      <c r="B11" s="95" t="s">
        <v>9</v>
      </c>
      <c r="C11" s="149"/>
      <c r="D11" s="149">
        <f>'01'!D11</f>
        <v>18224.01726010743</v>
      </c>
      <c r="E11" s="134"/>
      <c r="F11" s="110"/>
      <c r="G11" s="98">
        <f>E11+'19'!G11</f>
        <v>0</v>
      </c>
      <c r="H11" s="110">
        <f>F11+'19'!H11</f>
        <v>0</v>
      </c>
      <c r="I11" s="138"/>
      <c r="J11" s="178">
        <v>0</v>
      </c>
      <c r="K11" s="124">
        <f>J11+'19'!K11</f>
        <v>0</v>
      </c>
      <c r="L11" s="149">
        <f>D11+H11-K11+M11+N11</f>
        <v>18224.01726010743</v>
      </c>
      <c r="M11" s="101"/>
      <c r="N11" s="1011"/>
      <c r="O11" s="1133"/>
      <c r="P11" s="1134"/>
      <c r="Q11" s="592"/>
      <c r="R11" s="590"/>
    </row>
    <row r="12" spans="1:20" outlineLevel="1">
      <c r="A12" s="162" t="s">
        <v>154</v>
      </c>
      <c r="B12" s="95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E12+'19'!G12</f>
        <v>0</v>
      </c>
      <c r="H12" s="110">
        <f>F12+'19'!H12</f>
        <v>0</v>
      </c>
      <c r="I12" s="757">
        <f>IFERROR((H12/G12),0)</f>
        <v>0</v>
      </c>
      <c r="J12" s="750"/>
      <c r="K12" s="124">
        <f>J12+'19'!K12</f>
        <v>0</v>
      </c>
      <c r="L12" s="149">
        <f>D12+H12-K12</f>
        <v>52548.002591947239</v>
      </c>
      <c r="M12" s="101"/>
      <c r="N12" s="101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E13+'19'!G13</f>
        <v>0</v>
      </c>
      <c r="H13" s="110">
        <f>F13+'19'!H13</f>
        <v>0</v>
      </c>
      <c r="I13" s="138"/>
      <c r="J13" s="178"/>
      <c r="K13" s="124">
        <f>J13+'19'!K13</f>
        <v>0</v>
      </c>
      <c r="L13" s="149">
        <f>D13+H13-K13+M13-N13</f>
        <v>0</v>
      </c>
      <c r="M13" s="101"/>
      <c r="N13" s="101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6756.9999999999991</v>
      </c>
      <c r="F14" s="89">
        <f>SUM(F15:F21)</f>
        <v>0</v>
      </c>
      <c r="G14" s="89">
        <f>SUM(G15:G21)</f>
        <v>125409</v>
      </c>
      <c r="H14" s="89">
        <f>SUM(H15:H21)</f>
        <v>18857.68830004807</v>
      </c>
      <c r="I14" s="90">
        <f t="shared" ref="I14:I21" si="1">IFERROR((H14/G14),0)</f>
        <v>0.15036949740487582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12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f>E15+'19'!G15</f>
        <v>0</v>
      </c>
      <c r="H15" s="110">
        <f>F15+'19'!H15</f>
        <v>0</v>
      </c>
      <c r="I15" s="138">
        <f t="shared" si="1"/>
        <v>0</v>
      </c>
      <c r="J15" s="178">
        <v>0</v>
      </c>
      <c r="K15" s="124">
        <f>J15+'19'!K15</f>
        <v>0</v>
      </c>
      <c r="L15" s="149">
        <f t="shared" ref="L15:L37" si="2">D15+H15-K15+M15</f>
        <v>0</v>
      </c>
      <c r="M15" s="101"/>
      <c r="N15" s="1013"/>
      <c r="O15" s="1121"/>
      <c r="P15" s="1122"/>
      <c r="Q15" s="590"/>
      <c r="R15" s="590"/>
      <c r="S15" s="703"/>
      <c r="T15" s="703"/>
    </row>
    <row r="16" spans="1:20" outlineLevel="1">
      <c r="A16" s="123" t="s">
        <v>254</v>
      </c>
      <c r="B16" s="119" t="s">
        <v>9</v>
      </c>
      <c r="C16" s="149">
        <f>'01'!C16</f>
        <v>44352</v>
      </c>
      <c r="D16" s="149">
        <f>'01'!D16</f>
        <v>6069.3572595923979</v>
      </c>
      <c r="E16" s="134">
        <v>1536.538474159147</v>
      </c>
      <c r="F16" s="171">
        <v>0</v>
      </c>
      <c r="G16" s="110">
        <f>E16+'19'!G16</f>
        <v>28517.944872846598</v>
      </c>
      <c r="H16" s="110">
        <f>F16+'19'!H16</f>
        <v>3228.5002277343951</v>
      </c>
      <c r="I16" s="138">
        <f t="shared" si="1"/>
        <v>0.11320942803309843</v>
      </c>
      <c r="J16" s="751">
        <f>IFERROR(SUMIF(A101:A114,A16,E101:E114),0)+E111+E112+E113</f>
        <v>0</v>
      </c>
      <c r="K16" s="124">
        <f>J16+'19'!K16</f>
        <v>3320.85</v>
      </c>
      <c r="L16" s="127">
        <f t="shared" si="2"/>
        <v>5977.0074873267931</v>
      </c>
      <c r="M16" s="101"/>
      <c r="N16" s="101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49">
        <f>'01'!C17</f>
        <v>0</v>
      </c>
      <c r="D17" s="149">
        <f>'01'!D17</f>
        <v>483.23739591927495</v>
      </c>
      <c r="E17" s="108">
        <v>0</v>
      </c>
      <c r="F17" s="173">
        <v>0</v>
      </c>
      <c r="G17" s="110">
        <f>E17+'19'!G17</f>
        <v>0</v>
      </c>
      <c r="H17" s="110">
        <f>F17+'19'!H17</f>
        <v>0</v>
      </c>
      <c r="I17" s="138">
        <f t="shared" si="1"/>
        <v>0</v>
      </c>
      <c r="J17" s="751">
        <f>IFERROR(SUMIF(A102:A115,A17,E102:E115),0)+E116+E119+E121+E114</f>
        <v>0</v>
      </c>
      <c r="K17" s="124">
        <f>J17+'19'!K17</f>
        <v>0</v>
      </c>
      <c r="L17" s="127">
        <f t="shared" si="2"/>
        <v>483.23739591927495</v>
      </c>
      <c r="M17" s="101"/>
      <c r="N17" s="101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23" t="s">
        <v>85</v>
      </c>
      <c r="B18" s="119" t="s">
        <v>9</v>
      </c>
      <c r="C18" s="149">
        <f>'01'!C18</f>
        <v>1360</v>
      </c>
      <c r="D18" s="149">
        <f>'01'!D18</f>
        <v>3183.2380657083054</v>
      </c>
      <c r="E18" s="134"/>
      <c r="F18" s="171"/>
      <c r="G18" s="110">
        <f>E18+'19'!G18</f>
        <v>0</v>
      </c>
      <c r="H18" s="110">
        <f>F18+'19'!H18</f>
        <v>0</v>
      </c>
      <c r="I18" s="138">
        <f t="shared" si="1"/>
        <v>0</v>
      </c>
      <c r="J18" s="751">
        <f>IFERROR(SUMIF(A102:A115,A18,E102:E115),0)+E118+E120</f>
        <v>0</v>
      </c>
      <c r="K18" s="124">
        <f>J18+'19'!K18</f>
        <v>0</v>
      </c>
      <c r="L18" s="127">
        <f>D18+H18-K18-M18</f>
        <v>3183.2380657083054</v>
      </c>
      <c r="M18" s="101"/>
      <c r="N18" s="101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5050.0814704675959</v>
      </c>
      <c r="F19" s="131">
        <v>0</v>
      </c>
      <c r="G19" s="110">
        <f>E19+'19'!G19</f>
        <v>93728.824497538968</v>
      </c>
      <c r="H19" s="110">
        <f>F19+'19'!H19</f>
        <v>15629.188072313675</v>
      </c>
      <c r="I19" s="759">
        <f t="shared" si="1"/>
        <v>0.16674900337327977</v>
      </c>
      <c r="J19" s="751">
        <f>IFERROR(SUMIF(A102:A115,A19,E102:E115),0)+E117+E115+E122</f>
        <v>0</v>
      </c>
      <c r="K19" s="124">
        <f>J19+'19'!K19</f>
        <v>14803.599999999995</v>
      </c>
      <c r="L19" s="127">
        <f>D19+H19-K19-M19</f>
        <v>13590.321784219646</v>
      </c>
      <c r="M19" s="403"/>
      <c r="N19" s="101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123.26397662018047</v>
      </c>
      <c r="F20" s="110">
        <v>0</v>
      </c>
      <c r="G20" s="110">
        <f>E20+'19'!G20</f>
        <v>2287.7626230516817</v>
      </c>
      <c r="H20" s="110">
        <f>F20+'19'!H20</f>
        <v>0</v>
      </c>
      <c r="I20" s="138">
        <f t="shared" si="1"/>
        <v>0</v>
      </c>
      <c r="J20" s="751">
        <f>IFERROR(SUMIF(A102:A115,A20,E102:E115),0)</f>
        <v>0</v>
      </c>
      <c r="K20" s="124">
        <f>J20+'19'!K20</f>
        <v>826.59999999999991</v>
      </c>
      <c r="L20" s="127">
        <f>D20+H20-K20+M20</f>
        <v>2577.4479510608048</v>
      </c>
      <c r="M20" s="101"/>
      <c r="N20" s="1013"/>
      <c r="O20" s="1121"/>
      <c r="P20" s="1122"/>
      <c r="Q20" s="590"/>
      <c r="R20" s="590"/>
      <c r="S20" s="115"/>
    </row>
    <row r="21" spans="1:20">
      <c r="A21" s="123" t="s">
        <v>50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47.116078753076287</v>
      </c>
      <c r="F21" s="110">
        <v>0</v>
      </c>
      <c r="G21" s="110">
        <f>E21+'19'!G21</f>
        <v>874.46800656275639</v>
      </c>
      <c r="H21" s="110">
        <f>F21+'19'!H21</f>
        <v>0</v>
      </c>
      <c r="I21" s="138">
        <f t="shared" si="1"/>
        <v>0</v>
      </c>
      <c r="J21" s="751">
        <f>IFERROR(SUMIF(A102:A115,A21,E102:E115),0)</f>
        <v>0</v>
      </c>
      <c r="K21" s="124">
        <f>J21+'19'!K21</f>
        <v>0</v>
      </c>
      <c r="L21" s="127">
        <f t="shared" si="2"/>
        <v>8.7766238721087575E-11</v>
      </c>
      <c r="M21" s="404"/>
      <c r="N21" s="101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E22+'19'!G22</f>
        <v>1100</v>
      </c>
      <c r="H22" s="110">
        <f>F22+'19'!H22</f>
        <v>2130.1044634377968</v>
      </c>
      <c r="I22" s="99"/>
      <c r="J22" s="751">
        <f>IFERROR(SUMIF(A103:A123,A22,E103:E123),0)+E109</f>
        <v>0</v>
      </c>
      <c r="K22" s="124">
        <f>J22+'19'!K22</f>
        <v>757.20000000000016</v>
      </c>
      <c r="L22" s="127">
        <f t="shared" si="2"/>
        <v>4206.655098319975</v>
      </c>
      <c r="M22" s="404"/>
      <c r="N22" s="101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E23+'19'!G23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J23+'19'!K23</f>
        <v>20</v>
      </c>
      <c r="L23" s="583">
        <f>D23+H23-K23+M23</f>
        <v>32</v>
      </c>
      <c r="M23" s="421"/>
      <c r="N23" s="1016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E24+'19'!G24</f>
        <v>0</v>
      </c>
      <c r="H24" s="110">
        <f>F24+'19'!H24</f>
        <v>0</v>
      </c>
      <c r="I24" s="99"/>
      <c r="J24" s="752">
        <v>0</v>
      </c>
      <c r="K24" s="124">
        <f>J24+'19'!K24</f>
        <v>0</v>
      </c>
      <c r="L24" s="127">
        <f t="shared" si="2"/>
        <v>0</v>
      </c>
      <c r="M24" s="421"/>
      <c r="N24" s="1016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23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E25+'19'!G25</f>
        <v>0</v>
      </c>
      <c r="H25" s="110">
        <f>F25+'19'!H25</f>
        <v>0</v>
      </c>
      <c r="I25" s="99"/>
      <c r="J25" s="752">
        <v>0</v>
      </c>
      <c r="K25" s="124">
        <f>J25+'19'!K25</f>
        <v>20</v>
      </c>
      <c r="L25" s="127">
        <f t="shared" si="2"/>
        <v>-4</v>
      </c>
      <c r="M25" s="421"/>
      <c r="N25" s="1016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E26+'19'!G26</f>
        <v>0</v>
      </c>
      <c r="H26" s="110">
        <f>F26+'19'!H26</f>
        <v>0</v>
      </c>
      <c r="I26" s="99"/>
      <c r="J26" s="752">
        <v>0</v>
      </c>
      <c r="K26" s="124">
        <f>J26+'19'!K26</f>
        <v>0</v>
      </c>
      <c r="L26" s="127">
        <f t="shared" si="2"/>
        <v>36</v>
      </c>
      <c r="M26" s="421"/>
      <c r="N26" s="1016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">
        <v>50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E27+'19'!G27</f>
        <v>0</v>
      </c>
      <c r="H27" s="110">
        <f>F27+'19'!H27</f>
        <v>0</v>
      </c>
      <c r="I27" s="99"/>
      <c r="J27" s="752"/>
      <c r="K27" s="124">
        <f>J27+'19'!K27</f>
        <v>0</v>
      </c>
      <c r="L27" s="127">
        <f t="shared" si="2"/>
        <v>0</v>
      </c>
      <c r="M27" s="421"/>
      <c r="N27" s="1016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E28+'19'!G28</f>
        <v>0</v>
      </c>
      <c r="H28" s="110">
        <f>F28+'19'!H28</f>
        <v>0</v>
      </c>
      <c r="I28" s="99"/>
      <c r="J28" s="752"/>
      <c r="K28" s="124">
        <f>J28+'19'!K28</f>
        <v>0</v>
      </c>
      <c r="L28" s="127">
        <f t="shared" si="2"/>
        <v>0</v>
      </c>
      <c r="M28" s="421"/>
      <c r="N28" s="1016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E29+'19'!G29</f>
        <v>0</v>
      </c>
      <c r="H29" s="110">
        <f>F29+'19'!H29</f>
        <v>0</v>
      </c>
      <c r="I29" s="99"/>
      <c r="J29" s="752"/>
      <c r="K29" s="124">
        <f>J29+'19'!K29</f>
        <v>0</v>
      </c>
      <c r="L29" s="127">
        <f t="shared" si="2"/>
        <v>0</v>
      </c>
      <c r="M29" s="421"/>
      <c r="N29" s="1016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E30+'19'!G30</f>
        <v>0</v>
      </c>
      <c r="H30" s="98">
        <f>SUM(H31:H37)</f>
        <v>554.40000000000009</v>
      </c>
      <c r="I30" s="99">
        <f>IFERROR((H30/G30),0)</f>
        <v>0</v>
      </c>
      <c r="J30" s="177">
        <f>SUM(J31:J37)</f>
        <v>0</v>
      </c>
      <c r="K30" s="100">
        <f>J30+'19'!K30</f>
        <v>994.39999999999986</v>
      </c>
      <c r="L30" s="583">
        <f t="shared" si="2"/>
        <v>1073.6000000000001</v>
      </c>
      <c r="M30" s="421"/>
      <c r="N30" s="1016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E31+'19'!G31</f>
        <v>0</v>
      </c>
      <c r="H31" s="110">
        <f>F31+'19'!H31</f>
        <v>0</v>
      </c>
      <c r="I31" s="99"/>
      <c r="J31" s="865">
        <v>0</v>
      </c>
      <c r="K31" s="124">
        <f>J31+'19'!K31</f>
        <v>0</v>
      </c>
      <c r="L31" s="127">
        <f t="shared" si="2"/>
        <v>0</v>
      </c>
      <c r="M31" s="421"/>
      <c r="N31" s="1016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23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E32+'19'!G32</f>
        <v>0</v>
      </c>
      <c r="H32" s="110">
        <f>F32+'19'!H32</f>
        <v>554.40000000000009</v>
      </c>
      <c r="I32" s="99"/>
      <c r="J32" s="865">
        <v>0</v>
      </c>
      <c r="K32" s="124">
        <f>J32+'19'!K32</f>
        <v>994.39999999999986</v>
      </c>
      <c r="L32" s="127">
        <f t="shared" si="2"/>
        <v>1068.3200000000004</v>
      </c>
      <c r="M32" s="421"/>
      <c r="N32" s="1016"/>
      <c r="O32" s="906"/>
      <c r="P32" s="907"/>
      <c r="Q32" s="594"/>
      <c r="R32" s="594"/>
      <c r="S32" s="620"/>
      <c r="T32" s="151"/>
    </row>
    <row r="33" spans="1:21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E33+'19'!G33</f>
        <v>0</v>
      </c>
      <c r="H33" s="110">
        <f>F33+'19'!H33</f>
        <v>0</v>
      </c>
      <c r="I33" s="99"/>
      <c r="J33" s="865">
        <v>0</v>
      </c>
      <c r="K33" s="124">
        <f>J33+'19'!K33</f>
        <v>0</v>
      </c>
      <c r="L33" s="127">
        <f t="shared" si="2"/>
        <v>5.28</v>
      </c>
      <c r="M33" s="421"/>
      <c r="N33" s="1016"/>
      <c r="O33" s="906"/>
      <c r="P33" s="907"/>
      <c r="Q33" s="594"/>
      <c r="R33" s="594"/>
      <c r="S33" s="620"/>
      <c r="T33" s="151"/>
    </row>
    <row r="34" spans="1:21" s="120" customFormat="1" hidden="1" outlineLevel="1">
      <c r="A34" s="123" t="s">
        <v>50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E34+'19'!G34</f>
        <v>0</v>
      </c>
      <c r="H34" s="110">
        <f>F34+'19'!H34</f>
        <v>0</v>
      </c>
      <c r="I34" s="99"/>
      <c r="J34" s="865"/>
      <c r="K34" s="124">
        <f>J34+'19'!K34</f>
        <v>0</v>
      </c>
      <c r="L34" s="127">
        <f t="shared" si="2"/>
        <v>0</v>
      </c>
      <c r="M34" s="421"/>
      <c r="N34" s="1016"/>
      <c r="O34" s="906"/>
      <c r="P34" s="907"/>
      <c r="Q34" s="594"/>
      <c r="R34" s="594"/>
      <c r="S34" s="620"/>
      <c r="T34" s="151"/>
    </row>
    <row r="35" spans="1:21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E35+'19'!G35</f>
        <v>0</v>
      </c>
      <c r="H35" s="110">
        <f>F35+'19'!H35</f>
        <v>0</v>
      </c>
      <c r="I35" s="99"/>
      <c r="J35" s="865"/>
      <c r="K35" s="124">
        <f>J35+'19'!K35</f>
        <v>0</v>
      </c>
      <c r="L35" s="127">
        <f t="shared" si="2"/>
        <v>0</v>
      </c>
      <c r="M35" s="421"/>
      <c r="N35" s="1016"/>
      <c r="O35" s="906"/>
      <c r="P35" s="907"/>
      <c r="Q35" s="594"/>
      <c r="R35" s="594"/>
      <c r="S35" s="620"/>
      <c r="T35" s="151"/>
    </row>
    <row r="36" spans="1:21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E36+'19'!G36</f>
        <v>0</v>
      </c>
      <c r="H36" s="110">
        <f>F36+'19'!H36</f>
        <v>0</v>
      </c>
      <c r="I36" s="99"/>
      <c r="J36" s="110">
        <v>0</v>
      </c>
      <c r="K36" s="124">
        <f>J36+'19'!K36</f>
        <v>0</v>
      </c>
      <c r="L36" s="127">
        <f t="shared" si="2"/>
        <v>1673.24</v>
      </c>
      <c r="M36" s="421"/>
      <c r="N36" s="1016"/>
      <c r="O36" s="906"/>
      <c r="P36" s="907"/>
      <c r="Q36" s="594"/>
      <c r="R36" s="594"/>
      <c r="S36" s="620"/>
      <c r="T36" s="151"/>
    </row>
    <row r="37" spans="1:21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E37+'19'!G37</f>
        <v>0</v>
      </c>
      <c r="H37" s="110">
        <f>F37+'19'!H37</f>
        <v>0</v>
      </c>
      <c r="I37" s="99"/>
      <c r="J37" s="110">
        <v>0</v>
      </c>
      <c r="K37" s="124">
        <f>J37+'19'!K37</f>
        <v>0</v>
      </c>
      <c r="L37" s="127">
        <f t="shared" si="2"/>
        <v>294.63999999999987</v>
      </c>
      <c r="M37" s="421"/>
      <c r="N37" s="1016"/>
      <c r="O37" s="906"/>
      <c r="P37" s="907"/>
      <c r="Q37" s="594"/>
      <c r="R37" s="594"/>
      <c r="S37" s="620"/>
      <c r="T37" s="151"/>
      <c r="U37" s="151"/>
    </row>
    <row r="38" spans="1:2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E38+'19'!G38</f>
        <v>99327.811005032476</v>
      </c>
      <c r="H38" s="676">
        <f>F38+'19'!H38</f>
        <v>9132.5707721894778</v>
      </c>
      <c r="I38" s="760">
        <f>IFERROR((H38/G38),0)</f>
        <v>9.1943743446906048E-2</v>
      </c>
      <c r="J38" s="954">
        <f>SUM(J39:J40)</f>
        <v>0</v>
      </c>
      <c r="K38" s="677">
        <f>J38+'19'!K38</f>
        <v>9083.5707721894778</v>
      </c>
      <c r="L38" s="311">
        <f>D38+H38-K38</f>
        <v>1805.9829593932955</v>
      </c>
      <c r="M38" s="198"/>
      <c r="N38" s="1017"/>
      <c r="O38" s="1125"/>
      <c r="P38" s="1126"/>
      <c r="Q38" s="595"/>
      <c r="R38" s="590"/>
      <c r="S38" s="618"/>
      <c r="T38" s="208"/>
    </row>
    <row r="39" spans="1:21" ht="15.75" customHeight="1">
      <c r="A39" s="162" t="s">
        <v>91</v>
      </c>
      <c r="B39" s="163" t="s">
        <v>9</v>
      </c>
      <c r="C39" s="170"/>
      <c r="D39" s="170"/>
      <c r="E39" s="108"/>
      <c r="F39" s="110">
        <v>0</v>
      </c>
      <c r="G39" s="110"/>
      <c r="H39" s="110">
        <f>F39+'19'!H39</f>
        <v>6840.5707721894778</v>
      </c>
      <c r="I39" s="758"/>
      <c r="J39" s="750">
        <f>F39</f>
        <v>0</v>
      </c>
      <c r="K39" s="124">
        <f>J39+'19'!K39</f>
        <v>6840.5707721894778</v>
      </c>
      <c r="L39" s="149"/>
      <c r="M39" s="198"/>
      <c r="N39" s="1017"/>
      <c r="O39" s="1125"/>
      <c r="P39" s="1126"/>
      <c r="Q39" s="595"/>
      <c r="R39" s="590"/>
      <c r="S39" s="618"/>
      <c r="T39" s="118"/>
    </row>
    <row r="40" spans="1:21" ht="15.75" customHeight="1">
      <c r="A40" s="162" t="s">
        <v>109</v>
      </c>
      <c r="B40" s="163" t="s">
        <v>9</v>
      </c>
      <c r="C40" s="170"/>
      <c r="D40" s="170"/>
      <c r="E40" s="108"/>
      <c r="F40" s="110">
        <v>0</v>
      </c>
      <c r="G40" s="110"/>
      <c r="H40" s="110">
        <f>F40+'19'!H40</f>
        <v>2292</v>
      </c>
      <c r="I40" s="758"/>
      <c r="J40" s="178">
        <v>0</v>
      </c>
      <c r="K40" s="124">
        <f>J40+'19'!K40</f>
        <v>2243</v>
      </c>
      <c r="L40" s="149"/>
      <c r="M40" s="198"/>
      <c r="N40" s="1017"/>
      <c r="O40" s="1125"/>
      <c r="P40" s="1126"/>
      <c r="Q40" s="595"/>
      <c r="R40" s="590"/>
      <c r="S40" s="618"/>
      <c r="T40" s="118"/>
    </row>
    <row r="41" spans="1:21" ht="15.75" hidden="1" customHeight="1" outlineLevel="1">
      <c r="A41" s="162" t="s">
        <v>67</v>
      </c>
      <c r="B41" s="163" t="s">
        <v>9</v>
      </c>
      <c r="C41" s="170"/>
      <c r="D41" s="170"/>
      <c r="E41" s="108"/>
      <c r="F41" s="109"/>
      <c r="G41" s="110"/>
      <c r="H41" s="110">
        <f>F41+'19'!H41</f>
        <v>0</v>
      </c>
      <c r="I41" s="758"/>
      <c r="J41" s="751"/>
      <c r="K41" s="124">
        <f>J41+'19'!K41</f>
        <v>0</v>
      </c>
      <c r="L41" s="149"/>
      <c r="M41" s="198"/>
      <c r="N41" s="1017"/>
      <c r="O41" s="1125"/>
      <c r="P41" s="1126"/>
      <c r="Q41" s="595"/>
      <c r="R41" s="590"/>
      <c r="S41" s="618"/>
      <c r="T41" s="118"/>
    </row>
    <row r="42" spans="1:21" ht="15.75" hidden="1" customHeight="1" outlineLevel="1">
      <c r="A42" s="162" t="s">
        <v>68</v>
      </c>
      <c r="B42" s="163" t="s">
        <v>9</v>
      </c>
      <c r="C42" s="170"/>
      <c r="D42" s="170"/>
      <c r="E42" s="108"/>
      <c r="F42" s="109"/>
      <c r="G42" s="110"/>
      <c r="H42" s="110">
        <f>F42+'19'!H42</f>
        <v>0</v>
      </c>
      <c r="I42" s="758"/>
      <c r="J42" s="751"/>
      <c r="K42" s="124">
        <f>J42+'19'!K42</f>
        <v>0</v>
      </c>
      <c r="L42" s="149"/>
      <c r="M42" s="198"/>
      <c r="N42" s="1017"/>
      <c r="O42" s="1125"/>
      <c r="P42" s="1126"/>
      <c r="Q42" s="595"/>
      <c r="R42" s="590"/>
      <c r="S42" s="618"/>
      <c r="T42" s="118"/>
    </row>
    <row r="43" spans="1:21" ht="15.75" customHeight="1" collapsed="1">
      <c r="A43" s="74" t="s">
        <v>63</v>
      </c>
      <c r="B43" s="9" t="s">
        <v>9</v>
      </c>
      <c r="C43" s="149">
        <f>'01'!C43</f>
        <v>96601.878796744204</v>
      </c>
      <c r="D43" s="170"/>
      <c r="E43" s="456">
        <f>C43/30</f>
        <v>3220.06262655814</v>
      </c>
      <c r="F43" s="110">
        <v>0</v>
      </c>
      <c r="G43" s="110">
        <f>E43+'19'!G43</f>
        <v>64401.252531162783</v>
      </c>
      <c r="H43" s="110">
        <f>F43+'19'!H43</f>
        <v>8403.7999999999993</v>
      </c>
      <c r="I43" s="138">
        <f>IFERROR((H43/G43),0)</f>
        <v>0.13049125086400343</v>
      </c>
      <c r="J43" s="751">
        <f>F43</f>
        <v>0</v>
      </c>
      <c r="K43" s="124">
        <f>J43+'19'!K43</f>
        <v>8403.7999999999993</v>
      </c>
      <c r="L43" s="149">
        <f>D43+H43-K43</f>
        <v>0</v>
      </c>
      <c r="M43" s="185"/>
      <c r="N43" s="1009"/>
      <c r="O43" s="1125"/>
      <c r="P43" s="1126"/>
      <c r="Q43" s="595"/>
      <c r="R43" s="590"/>
      <c r="S43" s="618"/>
      <c r="T43" s="118"/>
    </row>
    <row r="44" spans="1:21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E44+'19'!G44</f>
        <v>27231.28872583426</v>
      </c>
      <c r="H44" s="110">
        <f>F44+'19'!H44</f>
        <v>7255</v>
      </c>
      <c r="I44" s="138">
        <f>IFERROR((H44/G44),0)</f>
        <v>0.26642147101606684</v>
      </c>
      <c r="J44" s="178">
        <v>0</v>
      </c>
      <c r="K44" s="124">
        <f>J44+'19'!K44</f>
        <v>4780.2485953962823</v>
      </c>
      <c r="L44" s="149">
        <f>D44+H44-K44</f>
        <v>6234.207933515936</v>
      </c>
      <c r="M44" s="198"/>
      <c r="N44" s="1017"/>
      <c r="O44" s="1125"/>
      <c r="P44" s="1126"/>
      <c r="Q44" s="595"/>
      <c r="R44" s="594"/>
      <c r="S44" s="93"/>
      <c r="T44" s="93"/>
    </row>
    <row r="45" spans="1:21" s="120" customFormat="1" hidden="1" outlineLevel="1">
      <c r="A45" s="103" t="s">
        <v>70</v>
      </c>
      <c r="B45" s="119"/>
      <c r="C45" s="170"/>
      <c r="D45" s="170"/>
      <c r="E45" s="108"/>
      <c r="F45" s="109">
        <v>0</v>
      </c>
      <c r="G45" s="110"/>
      <c r="H45" s="110">
        <f>F45+'19'!H45</f>
        <v>0</v>
      </c>
      <c r="I45" s="758"/>
      <c r="J45" s="751"/>
      <c r="K45" s="124">
        <f>J45+'19'!K45</f>
        <v>0</v>
      </c>
      <c r="L45" s="149"/>
      <c r="M45" s="198"/>
      <c r="N45" s="1017"/>
      <c r="O45" s="1125"/>
      <c r="P45" s="1126"/>
      <c r="Q45" s="595"/>
      <c r="R45" s="594"/>
      <c r="S45" s="618"/>
      <c r="T45" s="93"/>
    </row>
    <row r="46" spans="1:21" s="120" customFormat="1" hidden="1" outlineLevel="1">
      <c r="A46" s="103" t="s">
        <v>71</v>
      </c>
      <c r="B46" s="119"/>
      <c r="C46" s="170"/>
      <c r="D46" s="170"/>
      <c r="E46" s="108"/>
      <c r="F46" s="109"/>
      <c r="G46" s="110"/>
      <c r="H46" s="110">
        <f>F46+'19'!H46</f>
        <v>0</v>
      </c>
      <c r="I46" s="758"/>
      <c r="J46" s="751"/>
      <c r="K46" s="124">
        <f>J46+'19'!K46</f>
        <v>0</v>
      </c>
      <c r="L46" s="149"/>
      <c r="M46" s="198"/>
      <c r="N46" s="1017"/>
      <c r="O46" s="1125"/>
      <c r="P46" s="1126"/>
      <c r="Q46" s="595"/>
      <c r="R46" s="594"/>
      <c r="S46" s="618"/>
      <c r="T46" s="93"/>
    </row>
    <row r="47" spans="1:21" s="120" customFormat="1" hidden="1" outlineLevel="1">
      <c r="A47" s="103" t="s">
        <v>72</v>
      </c>
      <c r="B47" s="119"/>
      <c r="C47" s="170"/>
      <c r="D47" s="170"/>
      <c r="E47" s="108"/>
      <c r="F47" s="109"/>
      <c r="G47" s="110"/>
      <c r="H47" s="110">
        <f>F47+'19'!H47</f>
        <v>0</v>
      </c>
      <c r="I47" s="758"/>
      <c r="J47" s="751"/>
      <c r="K47" s="124">
        <f>J47+'19'!K47</f>
        <v>0</v>
      </c>
      <c r="L47" s="149"/>
      <c r="M47" s="198"/>
      <c r="N47" s="1017"/>
      <c r="O47" s="1125"/>
      <c r="P47" s="1126"/>
      <c r="Q47" s="595"/>
      <c r="R47" s="594"/>
      <c r="S47" s="618"/>
      <c r="T47" s="93"/>
    </row>
    <row r="48" spans="1:21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134">
        <f>C48/30</f>
        <v>7955.4488420848165</v>
      </c>
      <c r="F48" s="110">
        <v>0</v>
      </c>
      <c r="G48" s="110">
        <f>E48+'19'!G48</f>
        <v>159108.97684169636</v>
      </c>
      <c r="H48" s="110">
        <f>F48+'19'!H48</f>
        <v>15244.370772189477</v>
      </c>
      <c r="I48" s="138">
        <f>IFERROR((H48/G48),0)</f>
        <v>9.5810878020771179E-2</v>
      </c>
      <c r="J48" s="750">
        <v>0</v>
      </c>
      <c r="K48" s="124">
        <f>J48+'19'!K48</f>
        <v>27730.381517661059</v>
      </c>
      <c r="L48" s="149">
        <f>D48+H48-K48</f>
        <v>2068.961018696391</v>
      </c>
      <c r="M48" s="198"/>
      <c r="N48" s="10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018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98">
        <f>E50+'19'!G50</f>
        <v>0</v>
      </c>
      <c r="H50" s="110">
        <f>F50+'19'!H50</f>
        <v>0</v>
      </c>
      <c r="I50" s="138">
        <f>IFERROR((H50/G50),0)</f>
        <v>0</v>
      </c>
      <c r="J50" s="178"/>
      <c r="K50" s="124">
        <f>J50+'19'!K50</f>
        <v>0</v>
      </c>
      <c r="L50" s="149">
        <f>D50+H50-K50+M50</f>
        <v>2323.23</v>
      </c>
      <c r="M50" s="405"/>
      <c r="N50" s="1018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0</v>
      </c>
      <c r="F51" s="110">
        <v>0</v>
      </c>
      <c r="G51" s="110">
        <f>E51+'19'!G51</f>
        <v>162898.95024371953</v>
      </c>
      <c r="H51" s="110">
        <f>F51+'19'!H51</f>
        <v>32176.186994748638</v>
      </c>
      <c r="I51" s="138">
        <f>IFERROR((H51/G51),0)</f>
        <v>0.19752237167034273</v>
      </c>
      <c r="J51" s="178">
        <f>O51-P51</f>
        <v>0</v>
      </c>
      <c r="K51" s="124">
        <f>J51+'19'!K51</f>
        <v>26069.180673341318</v>
      </c>
      <c r="L51" s="149">
        <f>D51+H51-K51+M51</f>
        <v>10674.168318391596</v>
      </c>
      <c r="M51" s="405"/>
      <c r="N51" s="1018"/>
      <c r="O51" s="178">
        <v>0</v>
      </c>
      <c r="P51" s="668">
        <f>O51*0.055</f>
        <v>0</v>
      </c>
      <c r="Q51" s="596"/>
      <c r="R51" s="590"/>
      <c r="S51" s="618"/>
      <c r="T51" s="118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110"/>
      <c r="I52" s="99"/>
      <c r="J52" s="177"/>
      <c r="K52" s="124"/>
      <c r="L52" s="96"/>
      <c r="M52" s="198"/>
      <c r="N52" s="10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98">
        <f>E53+'19'!G53</f>
        <v>0</v>
      </c>
      <c r="H53" s="110">
        <f>F53+'19'!H53</f>
        <v>0</v>
      </c>
      <c r="I53" s="759">
        <f t="shared" ref="I53:I58" si="4">IFERROR((H53/G53),0)</f>
        <v>0</v>
      </c>
      <c r="J53" s="754"/>
      <c r="K53" s="124">
        <f>J53+'19'!K53</f>
        <v>0</v>
      </c>
      <c r="L53" s="127">
        <f t="shared" ref="L53:L63" si="5">D53+H53-K53</f>
        <v>0</v>
      </c>
      <c r="M53" s="185"/>
      <c r="N53" s="1009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E54+'19'!G54</f>
        <v>6451.6129032258086</v>
      </c>
      <c r="H54" s="110">
        <f>F54+'19'!H54</f>
        <v>0</v>
      </c>
      <c r="I54" s="759">
        <f t="shared" si="4"/>
        <v>0</v>
      </c>
      <c r="J54" s="754">
        <v>0</v>
      </c>
      <c r="K54" s="124">
        <f>J54+'19'!K54</f>
        <v>1475.3367227920221</v>
      </c>
      <c r="L54" s="127">
        <f t="shared" si="5"/>
        <v>12209.579158431603</v>
      </c>
      <c r="M54" s="185"/>
      <c r="N54" s="1009"/>
      <c r="O54" s="1113"/>
      <c r="P54" s="1114"/>
      <c r="Q54" s="597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E55+'19'!G55</f>
        <v>10967.741935483868</v>
      </c>
      <c r="H55" s="110">
        <f>F55+'19'!H55</f>
        <v>0</v>
      </c>
      <c r="I55" s="759">
        <f t="shared" si="4"/>
        <v>0</v>
      </c>
      <c r="J55" s="754">
        <v>0</v>
      </c>
      <c r="K55" s="124">
        <f>J55+'19'!K55</f>
        <v>1358.9626219234012</v>
      </c>
      <c r="L55" s="127">
        <f t="shared" si="5"/>
        <v>2640.6039748618332</v>
      </c>
      <c r="M55" s="185"/>
      <c r="N55" s="1009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E56+'19'!G56</f>
        <v>0</v>
      </c>
      <c r="H56" s="110">
        <f>F56+'19'!H56</f>
        <v>0</v>
      </c>
      <c r="I56" s="759">
        <f t="shared" si="4"/>
        <v>0</v>
      </c>
      <c r="J56" s="754"/>
      <c r="K56" s="124">
        <f>J56+'19'!K56</f>
        <v>0</v>
      </c>
      <c r="L56" s="127">
        <f t="shared" si="5"/>
        <v>0</v>
      </c>
      <c r="M56" s="185"/>
      <c r="N56" s="1009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98">
        <f>E57+'19'!G57</f>
        <v>0</v>
      </c>
      <c r="H57" s="110">
        <f>F57+'19'!H57</f>
        <v>0</v>
      </c>
      <c r="I57" s="759">
        <f t="shared" si="4"/>
        <v>0</v>
      </c>
      <c r="J57" s="754"/>
      <c r="K57" s="124">
        <f>J57+'19'!K57</f>
        <v>0</v>
      </c>
      <c r="L57" s="127">
        <f t="shared" si="5"/>
        <v>178.07499999999999</v>
      </c>
      <c r="M57" s="185"/>
      <c r="N57" s="1009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E58+'19'!G58</f>
        <v>0</v>
      </c>
      <c r="H58" s="110">
        <f>F58+'19'!H58</f>
        <v>0</v>
      </c>
      <c r="I58" s="759">
        <f t="shared" si="4"/>
        <v>0</v>
      </c>
      <c r="J58" s="754">
        <v>0</v>
      </c>
      <c r="K58" s="124">
        <f>J58+'19'!K58</f>
        <v>0</v>
      </c>
      <c r="L58" s="127">
        <f t="shared" si="5"/>
        <v>3480.6937513418743</v>
      </c>
      <c r="M58" s="185"/>
      <c r="N58" s="1009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98"/>
      <c r="H59" s="110">
        <f>F59+'19'!H59</f>
        <v>0</v>
      </c>
      <c r="I59" s="759"/>
      <c r="J59" s="754"/>
      <c r="K59" s="124">
        <f>J59+'19'!K59</f>
        <v>0</v>
      </c>
      <c r="L59" s="127">
        <f t="shared" si="5"/>
        <v>4269.0880030013104</v>
      </c>
      <c r="M59" s="185"/>
      <c r="N59" s="1009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98"/>
      <c r="H60" s="110">
        <f>F60+'19'!H60</f>
        <v>0</v>
      </c>
      <c r="I60" s="759"/>
      <c r="J60" s="754"/>
      <c r="K60" s="124">
        <f>J60+'19'!K60</f>
        <v>0</v>
      </c>
      <c r="L60" s="127">
        <f t="shared" si="5"/>
        <v>0</v>
      </c>
      <c r="M60" s="185"/>
      <c r="N60" s="1009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98"/>
      <c r="H61" s="110">
        <f>F61+'19'!H61</f>
        <v>0</v>
      </c>
      <c r="I61" s="759"/>
      <c r="J61" s="754">
        <f>D139+D141</f>
        <v>0</v>
      </c>
      <c r="K61" s="124">
        <f>J61+'19'!K61</f>
        <v>0</v>
      </c>
      <c r="L61" s="127">
        <f t="shared" si="5"/>
        <v>1063.653</v>
      </c>
      <c r="M61" s="185"/>
      <c r="N61" s="1009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42"/>
      <c r="H62" s="110">
        <f>F62+'19'!H62</f>
        <v>0</v>
      </c>
      <c r="I62" s="522"/>
      <c r="J62" s="754">
        <v>0</v>
      </c>
      <c r="K62" s="124">
        <f>J62+'19'!K62</f>
        <v>0</v>
      </c>
      <c r="L62" s="127">
        <f t="shared" si="5"/>
        <v>1531.7249999999999</v>
      </c>
      <c r="M62" s="524"/>
      <c r="N62" s="1019"/>
      <c r="O62" s="1113"/>
      <c r="P62" s="1114"/>
      <c r="Q62" s="597"/>
      <c r="R62" s="154"/>
      <c r="S62" s="619"/>
      <c r="T62" s="93"/>
    </row>
    <row r="63" spans="1:26" s="114" customFormat="1" ht="15.75" customHeigh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F63+'19'!H63</f>
        <v>3329.1499999999996</v>
      </c>
      <c r="I63" s="1059"/>
      <c r="J63" s="1065">
        <v>0</v>
      </c>
      <c r="K63" s="668">
        <f>J63+'19'!K63</f>
        <v>2011.9747735336571</v>
      </c>
      <c r="L63" s="149">
        <f t="shared" si="5"/>
        <v>5722.792418496927</v>
      </c>
      <c r="M63" s="524"/>
      <c r="N63" s="1019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42"/>
      <c r="H64" s="110">
        <f>F64+'19'!H64</f>
        <v>0</v>
      </c>
      <c r="I64" s="522"/>
      <c r="J64" s="755"/>
      <c r="K64" s="124">
        <f>J64+'19'!K64</f>
        <v>0</v>
      </c>
      <c r="L64" s="127">
        <f>D64+H64-K64</f>
        <v>452.58776173652768</v>
      </c>
      <c r="M64" s="185"/>
      <c r="N64" s="1009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98"/>
      <c r="H65" s="190">
        <f>F65+'19'!H65</f>
        <v>0</v>
      </c>
      <c r="I65" s="759"/>
      <c r="J65" s="755"/>
      <c r="K65" s="124">
        <f>J65+'19'!K65</f>
        <v>0</v>
      </c>
      <c r="L65" s="127">
        <f>D65+H65-K65</f>
        <v>0</v>
      </c>
      <c r="M65" s="185"/>
      <c r="N65" s="1009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98"/>
      <c r="H66" s="110">
        <f>F66+'19'!H66</f>
        <v>0</v>
      </c>
      <c r="I66" s="759"/>
      <c r="J66" s="755"/>
      <c r="K66" s="124">
        <f>J66+'19'!K66</f>
        <v>0</v>
      </c>
      <c r="L66" s="127">
        <f>D66+H66-K66</f>
        <v>0</v>
      </c>
      <c r="M66" s="185"/>
      <c r="N66" s="1009"/>
      <c r="O66" s="1113"/>
      <c r="P66" s="1114"/>
      <c r="Q66" s="599"/>
      <c r="R66" s="600"/>
      <c r="S66" s="619"/>
      <c r="T66" s="93">
        <v>0</v>
      </c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98"/>
      <c r="H67" s="156">
        <f>F67+'19'!H67</f>
        <v>0</v>
      </c>
      <c r="I67" s="759"/>
      <c r="J67" s="755"/>
      <c r="K67" s="124">
        <f>J67+'19'!K67</f>
        <v>0</v>
      </c>
      <c r="L67" s="127">
        <f t="shared" ref="L67:L73" si="6">D67+H67-K67</f>
        <v>243.8</v>
      </c>
      <c r="M67" s="577"/>
      <c r="N67" s="1020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98"/>
      <c r="H68" s="110">
        <f>F68+'19'!H68</f>
        <v>0</v>
      </c>
      <c r="I68" s="759"/>
      <c r="J68" s="755"/>
      <c r="K68" s="124">
        <f>J68+'19'!K68</f>
        <v>0</v>
      </c>
      <c r="L68" s="127">
        <f t="shared" si="6"/>
        <v>0</v>
      </c>
      <c r="M68" s="577"/>
      <c r="N68" s="1020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98"/>
      <c r="H69" s="156">
        <f>F69+'19'!H69</f>
        <v>0</v>
      </c>
      <c r="I69" s="759"/>
      <c r="J69" s="755">
        <v>0</v>
      </c>
      <c r="K69" s="124">
        <f>J69+'19'!K69</f>
        <v>2011.9747735336571</v>
      </c>
      <c r="L69" s="127">
        <f t="shared" si="6"/>
        <v>-16224.918949544372</v>
      </c>
      <c r="M69" s="577"/>
      <c r="N69" s="1020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98"/>
      <c r="H70" s="110">
        <f>F70+'19'!H70</f>
        <v>3329.1499999999996</v>
      </c>
      <c r="I70" s="759"/>
      <c r="J70" s="755"/>
      <c r="K70" s="124">
        <f>J70+'19'!K70</f>
        <v>0</v>
      </c>
      <c r="L70" s="127">
        <f t="shared" si="6"/>
        <v>21251.323606304773</v>
      </c>
      <c r="M70" s="577"/>
      <c r="N70" s="1020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98"/>
      <c r="H71" s="110">
        <f>F71+'19'!H71</f>
        <v>0</v>
      </c>
      <c r="I71" s="759"/>
      <c r="J71" s="754"/>
      <c r="K71" s="124">
        <f>J71+'19'!K71</f>
        <v>0</v>
      </c>
      <c r="L71" s="127">
        <f t="shared" si="6"/>
        <v>0</v>
      </c>
      <c r="M71" s="577"/>
      <c r="N71" s="1020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94"/>
      <c r="H72" s="387">
        <f>F72+'19'!H72</f>
        <v>1911.376034856974</v>
      </c>
      <c r="I72" s="388"/>
      <c r="J72" s="756">
        <f>K131</f>
        <v>0</v>
      </c>
      <c r="K72" s="395">
        <f>J72+'19'!K72</f>
        <v>1866.56160653087</v>
      </c>
      <c r="L72" s="552">
        <f t="shared" si="6"/>
        <v>190.6565801742413</v>
      </c>
      <c r="M72" s="406"/>
      <c r="N72" s="1021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43"/>
      <c r="H73" s="933">
        <f>F73+'19'!H73</f>
        <v>0</v>
      </c>
      <c r="I73" s="934"/>
      <c r="J73" s="931"/>
      <c r="K73" s="935">
        <f>J73+'19'!K73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667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42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94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24*20-K80</f>
        <v>480</v>
      </c>
      <c r="M80" s="139">
        <f>K80/(24*20)</f>
        <v>0</v>
      </c>
      <c r="N80" s="965"/>
      <c r="O80" s="302">
        <f>N80+'19'!O80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24*20-K81</f>
        <v>480</v>
      </c>
      <c r="M81" s="139">
        <f>K81/(24*20)</f>
        <v>0</v>
      </c>
      <c r="N81" s="965"/>
      <c r="O81" s="302">
        <f>N81+'19'!O81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33">
        <f>'01'!C82</f>
        <v>45</v>
      </c>
      <c r="D82" s="134">
        <f t="shared" ref="D82:D90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0" si="12">IFERROR(O82/K82,0)</f>
        <v>43.535460826585258</v>
      </c>
      <c r="J82" s="138">
        <f t="shared" si="10"/>
        <v>0.96745468503522791</v>
      </c>
      <c r="K82" s="134">
        <f>F82+'19'!K82</f>
        <v>43.903888888888886</v>
      </c>
      <c r="L82" s="110">
        <f>24*20-K82</f>
        <v>436.0961111111111</v>
      </c>
      <c r="M82" s="139">
        <f>K82/(24*20)</f>
        <v>9.1466435185185185E-2</v>
      </c>
      <c r="N82" s="716">
        <v>0</v>
      </c>
      <c r="O82" s="303">
        <f>N82+'19'!O82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F83+'19'!K83</f>
        <v>64.575555555555553</v>
      </c>
      <c r="L83" s="134">
        <f>G83+'19'!L83</f>
        <v>415.42444444444448</v>
      </c>
      <c r="M83" s="139">
        <f>K83/(24*20)</f>
        <v>0.13453240740740741</v>
      </c>
      <c r="N83" s="716">
        <v>0</v>
      </c>
      <c r="O83" s="303">
        <f>N83+'19'!O83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F84+'19'!K84</f>
        <v>64.977499999999992</v>
      </c>
      <c r="L84" s="134">
        <f>G84+'19'!L84</f>
        <v>415.02250000000004</v>
      </c>
      <c r="M84" s="139">
        <f>K84/(24*20)</f>
        <v>0.13536979166666666</v>
      </c>
      <c r="N84" s="716">
        <v>0</v>
      </c>
      <c r="O84" s="303">
        <f>N84+'19'!O84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10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F85+'19'!K85</f>
        <v>0</v>
      </c>
      <c r="L85" s="134">
        <f>G85+'19'!L85</f>
        <v>480</v>
      </c>
      <c r="M85" s="139">
        <f>K85/(24*12)</f>
        <v>0</v>
      </c>
      <c r="N85" s="965">
        <v>0</v>
      </c>
      <c r="O85" s="302">
        <f>N85+'19'!O85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10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F86+'19'!K86</f>
        <v>0</v>
      </c>
      <c r="L86" s="134">
        <f>G86+'19'!L86</f>
        <v>456</v>
      </c>
      <c r="M86" s="139">
        <f>K86/(24*12)</f>
        <v>0</v>
      </c>
      <c r="N86" s="965">
        <v>0</v>
      </c>
      <c r="O86" s="303">
        <f>N86+'19'!O86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10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F87+'19'!K87</f>
        <v>0</v>
      </c>
      <c r="L87" s="134">
        <f>G87+'19'!L87</f>
        <v>456</v>
      </c>
      <c r="M87" s="139">
        <f>K87/(24*12)</f>
        <v>0</v>
      </c>
      <c r="N87" s="965">
        <v>0</v>
      </c>
      <c r="O87" s="302">
        <f>N87+'19'!O87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F88+'19'!K88</f>
        <v>0</v>
      </c>
      <c r="L88" s="134">
        <f>G88+'19'!L88</f>
        <v>456</v>
      </c>
      <c r="M88" s="139">
        <f>K88/(24*12)</f>
        <v>0</v>
      </c>
      <c r="N88" s="716">
        <v>0</v>
      </c>
      <c r="O88" s="303">
        <f>N88+'19'!O88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F89+'19'!K89</f>
        <v>1.6950000000000001</v>
      </c>
      <c r="L89" s="134">
        <f>G89+'19'!L89</f>
        <v>478.30500000000001</v>
      </c>
      <c r="M89" s="139">
        <f t="shared" ref="M89:M94" si="13">K89/(24*20)</f>
        <v>3.5312500000000001E-3</v>
      </c>
      <c r="N89" s="1001">
        <v>0</v>
      </c>
      <c r="O89" s="303">
        <f>N89+'19'!O89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F90+'19'!K90</f>
        <v>32.664166666666674</v>
      </c>
      <c r="L90" s="134">
        <f>G90+'19'!L90</f>
        <v>447.33583333333331</v>
      </c>
      <c r="M90" s="139">
        <f t="shared" si="13"/>
        <v>6.8050347222222238E-2</v>
      </c>
      <c r="N90" s="1001">
        <v>0</v>
      </c>
      <c r="O90" s="303">
        <f>N90+'19'!O90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>IFERROR(N91/F91,0)</f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>IFERROR(O91/K91,0)</f>
        <v>0</v>
      </c>
      <c r="J91" s="138">
        <f t="shared" si="10"/>
        <v>0</v>
      </c>
      <c r="K91" s="134">
        <f>F91+'19'!K91</f>
        <v>0</v>
      </c>
      <c r="L91" s="134">
        <f>G91+'19'!L91</f>
        <v>480</v>
      </c>
      <c r="M91" s="139">
        <f t="shared" si="13"/>
        <v>0</v>
      </c>
      <c r="N91" s="716">
        <v>0</v>
      </c>
      <c r="O91" s="303">
        <f>N91+'19'!O91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>IFERROR(N92/F92,0)</f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>IFERROR(O92/K92,0)</f>
        <v>140.11316982515353</v>
      </c>
      <c r="J92" s="138">
        <f t="shared" si="10"/>
        <v>0.89583581578868565</v>
      </c>
      <c r="K92" s="134">
        <f>F92+'19'!K92</f>
        <v>71.521666666666675</v>
      </c>
      <c r="L92" s="134">
        <f>G92+'19'!L92</f>
        <v>408.47833333333335</v>
      </c>
      <c r="M92" s="139">
        <f t="shared" si="13"/>
        <v>0.14900347222222224</v>
      </c>
      <c r="N92" s="716">
        <v>0</v>
      </c>
      <c r="O92" s="303">
        <f>N92+'19'!O92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>IFERROR(N93/F93,0)</f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>IFERROR(O93/K93,0)</f>
        <v>144.80399190974401</v>
      </c>
      <c r="J93" s="138">
        <f t="shared" si="10"/>
        <v>0.94516947445354405</v>
      </c>
      <c r="K93" s="134">
        <f>F93+'19'!K93</f>
        <v>64.288611111111109</v>
      </c>
      <c r="L93" s="134">
        <f>G93+'19'!L93</f>
        <v>415.71138888888891</v>
      </c>
      <c r="M93" s="139">
        <f t="shared" si="13"/>
        <v>0.13393460648148148</v>
      </c>
      <c r="N93" s="716">
        <v>0</v>
      </c>
      <c r="O93" s="303">
        <f>N93+'19'!O93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>IFERROR(N94/F94,0)</f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>IFERROR(O94/K94,0)</f>
        <v>89.046875</v>
      </c>
      <c r="J94" s="746">
        <f t="shared" si="10"/>
        <v>1.4841145833333333</v>
      </c>
      <c r="K94" s="765">
        <f>F94+'19'!K94</f>
        <v>32</v>
      </c>
      <c r="L94" s="765">
        <f>G94+'19'!L94</f>
        <v>448</v>
      </c>
      <c r="M94" s="880">
        <f t="shared" si="13"/>
        <v>6.6666666666666666E-2</v>
      </c>
      <c r="N94" s="966">
        <f>E111+E120+E121+E122</f>
        <v>0</v>
      </c>
      <c r="O94" s="871">
        <f>N94+'19'!O94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>IFERROR(O95/K95,0)</f>
        <v>142.05714285714285</v>
      </c>
      <c r="J95" s="444">
        <f>IFERROR(I95/C95,0)</f>
        <v>0</v>
      </c>
      <c r="K95" s="443">
        <f>F95+'19'!K95</f>
        <v>7</v>
      </c>
      <c r="L95" s="443">
        <f>G95+'19'!L95</f>
        <v>473</v>
      </c>
      <c r="M95" s="723">
        <f>K95/(24*20)</f>
        <v>1.4583333333333334E-2</v>
      </c>
      <c r="N95" s="967">
        <f>E112+E114+E115+E118+E119</f>
        <v>0</v>
      </c>
      <c r="O95" s="713">
        <f>N95+'19'!O95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99"/>
      <c r="N97" s="241"/>
      <c r="O97" s="241"/>
      <c r="P97" s="241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207"/>
      <c r="N98" s="241"/>
      <c r="O98" s="241"/>
      <c r="P98" s="241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242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4971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126184</v>
      </c>
      <c r="H100" s="89">
        <f>H101+H110</f>
        <v>19708.249999999993</v>
      </c>
      <c r="I100" s="90">
        <f t="shared" ref="I100:I122" si="15">IFERROR((H100/G100),0)</f>
        <v>0.15618660051987568</v>
      </c>
      <c r="J100" s="546"/>
      <c r="K100" s="970"/>
      <c r="L100" s="197"/>
      <c r="M100" s="914" t="s">
        <v>13</v>
      </c>
      <c r="N100" s="197"/>
      <c r="O100" s="914" t="s">
        <v>13</v>
      </c>
      <c r="P100" s="143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4971</v>
      </c>
      <c r="E101" s="98">
        <f>SUM(E102:E109)</f>
        <v>0</v>
      </c>
      <c r="F101" s="99">
        <f t="shared" si="14"/>
        <v>0</v>
      </c>
      <c r="G101" s="169">
        <f>SUM(G102:G109)</f>
        <v>91056</v>
      </c>
      <c r="H101" s="98">
        <f>SUM(H102:H109)</f>
        <v>15844.349999999995</v>
      </c>
      <c r="I101" s="99">
        <f t="shared" si="15"/>
        <v>0.17400665524512382</v>
      </c>
      <c r="J101" s="1146"/>
      <c r="K101" s="1220"/>
      <c r="L101" s="197" t="s">
        <v>82</v>
      </c>
      <c r="M101" s="255"/>
      <c r="N101" s="197" t="s">
        <v>82</v>
      </c>
      <c r="O101" s="255"/>
      <c r="P101" s="143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D102+'19'!G102</f>
        <v>0</v>
      </c>
      <c r="H102" s="178">
        <f>E102+'19'!H102</f>
        <v>0</v>
      </c>
      <c r="I102" s="138">
        <f t="shared" si="15"/>
        <v>0</v>
      </c>
      <c r="J102" s="1146"/>
      <c r="K102" s="1147"/>
      <c r="N102" s="253"/>
      <c r="O102" s="253"/>
      <c r="P102" s="143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395</v>
      </c>
      <c r="E103" s="166">
        <v>0</v>
      </c>
      <c r="F103" s="138">
        <f t="shared" si="14"/>
        <v>0</v>
      </c>
      <c r="G103" s="445">
        <f>D103+'19'!G103</f>
        <v>7340</v>
      </c>
      <c r="H103" s="150">
        <f>E103+'19'!H103</f>
        <v>0</v>
      </c>
      <c r="I103" s="138">
        <f t="shared" si="15"/>
        <v>0</v>
      </c>
      <c r="J103" s="1146"/>
      <c r="K103" s="1147"/>
      <c r="L103" s="244"/>
      <c r="M103" s="244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4438</v>
      </c>
      <c r="E104" s="110">
        <v>0</v>
      </c>
      <c r="F104" s="138">
        <f t="shared" si="14"/>
        <v>0</v>
      </c>
      <c r="G104" s="134">
        <f>D104+'19'!G104</f>
        <v>80690</v>
      </c>
      <c r="H104" s="178">
        <f>E104+'19'!H104</f>
        <v>12980.249999999995</v>
      </c>
      <c r="I104" s="138">
        <f t="shared" si="15"/>
        <v>0.16086565869376621</v>
      </c>
      <c r="J104" s="1146"/>
      <c r="K104" s="1147"/>
      <c r="L104" s="244"/>
      <c r="M104" s="244"/>
      <c r="N104" s="253"/>
      <c r="O104" s="253"/>
      <c r="P104" s="143"/>
      <c r="T104" s="93"/>
    </row>
    <row r="105" spans="1:20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D105+'19'!G105</f>
        <v>0</v>
      </c>
      <c r="H105" s="178">
        <f>E105+'19'!H105</f>
        <v>475.6</v>
      </c>
      <c r="I105" s="138">
        <f t="shared" si="15"/>
        <v>0</v>
      </c>
      <c r="J105" s="1146"/>
      <c r="K105" s="1147"/>
      <c r="L105" s="244"/>
      <c r="M105" s="244"/>
      <c r="N105" s="253"/>
      <c r="O105" s="253"/>
      <c r="P105" s="143"/>
      <c r="Q105" s="83"/>
      <c r="T105" s="93"/>
    </row>
    <row r="106" spans="1:20" outlineLevel="1">
      <c r="A106" s="123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D106+'19'!G106</f>
        <v>0</v>
      </c>
      <c r="H106" s="178">
        <f>E106+'19'!H106</f>
        <v>1280.3</v>
      </c>
      <c r="I106" s="138">
        <f t="shared" si="15"/>
        <v>0</v>
      </c>
      <c r="J106" s="1146"/>
      <c r="K106" s="1147"/>
      <c r="L106" s="244"/>
      <c r="M106" s="244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D107+'19'!G107</f>
        <v>0</v>
      </c>
      <c r="H107" s="178">
        <f>E107+'19'!H107</f>
        <v>0</v>
      </c>
      <c r="I107" s="138">
        <f t="shared" si="15"/>
        <v>0</v>
      </c>
      <c r="J107" s="1146"/>
      <c r="K107" s="1147"/>
      <c r="L107" s="244"/>
      <c r="M107" s="244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113</v>
      </c>
      <c r="E108" s="110">
        <v>0</v>
      </c>
      <c r="F108" s="138">
        <f t="shared" si="14"/>
        <v>0</v>
      </c>
      <c r="G108" s="134">
        <f>D108+'19'!G108</f>
        <v>2251</v>
      </c>
      <c r="H108" s="178">
        <f>E108+'19'!H108</f>
        <v>826.59999999999991</v>
      </c>
      <c r="I108" s="138">
        <f t="shared" si="15"/>
        <v>0.3672145713016437</v>
      </c>
      <c r="J108" s="795"/>
      <c r="K108" s="796"/>
      <c r="L108" s="244"/>
      <c r="M108" s="244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25</v>
      </c>
      <c r="E109" s="110">
        <v>0</v>
      </c>
      <c r="F109" s="138">
        <f t="shared" si="14"/>
        <v>0</v>
      </c>
      <c r="G109" s="134">
        <f>D109+'19'!G109</f>
        <v>775</v>
      </c>
      <c r="H109" s="178">
        <f>E109+'19'!H109</f>
        <v>281.59999999999997</v>
      </c>
      <c r="I109" s="138">
        <f t="shared" si="15"/>
        <v>0.36335483870967739</v>
      </c>
      <c r="J109" s="795"/>
      <c r="K109" s="796"/>
      <c r="L109" s="244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1811</v>
      </c>
      <c r="E110" s="98">
        <f>SUM(E111:E122)</f>
        <v>0</v>
      </c>
      <c r="F110" s="1053">
        <f>IFERROR((E110/D110),0)</f>
        <v>0</v>
      </c>
      <c r="G110" s="1051">
        <f>SUM(G111:G122)</f>
        <v>35128</v>
      </c>
      <c r="H110" s="98">
        <f>SUM(H111:H122)</f>
        <v>3863.8999999999996</v>
      </c>
      <c r="I110" s="1053">
        <f>IFERROR((H110/G110),0)</f>
        <v>0.10999487588248689</v>
      </c>
      <c r="J110" s="795"/>
      <c r="K110" s="796"/>
      <c r="L110" s="244"/>
      <c r="M110" s="244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D111+'19'!G111</f>
        <v>0</v>
      </c>
      <c r="H111" s="110">
        <f>E111+'19'!H111</f>
        <v>1026.1499999999999</v>
      </c>
      <c r="I111" s="138">
        <f>IFERROR((H111/G111),0)</f>
        <v>0</v>
      </c>
      <c r="J111" s="1146"/>
      <c r="K111" s="1147"/>
      <c r="L111" s="244"/>
      <c r="M111" s="244"/>
      <c r="N111" s="143"/>
      <c r="O111" s="143"/>
      <c r="P111" s="143"/>
      <c r="Q111" s="151"/>
      <c r="S111" s="82"/>
      <c r="T111" s="93"/>
    </row>
    <row r="112" spans="1:20" outlineLevel="1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D112+'19'!G112</f>
        <v>0</v>
      </c>
      <c r="H112" s="110">
        <f>E112+'19'!H112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 outlineLevel="1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D113+'19'!G113</f>
        <v>0</v>
      </c>
      <c r="H113" s="110">
        <f>E113+'19'!H113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D114+'19'!G114</f>
        <v>320</v>
      </c>
      <c r="H114" s="110">
        <f>E114+'19'!H114</f>
        <v>0</v>
      </c>
      <c r="I114" s="167">
        <f t="shared" si="15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D115+'19'!G115</f>
        <v>0</v>
      </c>
      <c r="H115" s="110">
        <f>E115+'19'!H115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D116+'19'!G116</f>
        <v>0</v>
      </c>
      <c r="H116" s="110">
        <f>E116+'19'!H116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D117+'19'!G117</f>
        <v>0</v>
      </c>
      <c r="H117" s="110">
        <f>E117+'19'!H117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>
        <f t="shared" si="14"/>
        <v>0</v>
      </c>
      <c r="G118" s="134">
        <f>D118+'19'!G118</f>
        <v>6960</v>
      </c>
      <c r="H118" s="110">
        <f>E118+'19'!H118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D119+'19'!G119</f>
        <v>0</v>
      </c>
      <c r="H119" s="110">
        <f>E119+'19'!H119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778</v>
      </c>
      <c r="E120" s="110">
        <v>0</v>
      </c>
      <c r="F120" s="138">
        <f t="shared" si="14"/>
        <v>0</v>
      </c>
      <c r="G120" s="134">
        <f>D120+'19'!G120</f>
        <v>14680</v>
      </c>
      <c r="H120" s="110">
        <f>E120+'19'!H120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D121+'19'!G121</f>
        <v>816</v>
      </c>
      <c r="H121" s="110">
        <f>E121+'19'!H121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672</v>
      </c>
      <c r="E122" s="110">
        <v>0</v>
      </c>
      <c r="F122" s="138">
        <f t="shared" si="14"/>
        <v>0</v>
      </c>
      <c r="G122" s="134">
        <f>D122+'19'!G122</f>
        <v>12352</v>
      </c>
      <c r="H122" s="110">
        <f>E122+'19'!H122</f>
        <v>1823.35</v>
      </c>
      <c r="I122" s="138">
        <f t="shared" si="15"/>
        <v>0.14761577072538859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7" t="s">
        <v>89</v>
      </c>
      <c r="K124" s="353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0</v>
      </c>
      <c r="K125" s="328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40.891741539963498</v>
      </c>
      <c r="F126" s="157">
        <f>IFERROR(E126/D126,0)</f>
        <v>1.0096726306163826</v>
      </c>
      <c r="G126" s="204">
        <v>40.5</v>
      </c>
      <c r="H126" s="200">
        <v>43.094786378537329</v>
      </c>
      <c r="I126" s="157">
        <f>IFERROR(H126/G126,0)</f>
        <v>1.0640687994700575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10.518792135324945</v>
      </c>
      <c r="F127" s="157">
        <f t="shared" ref="F127:F132" si="16">IFERROR(E127/D127,0)</f>
        <v>0.61875247854852622</v>
      </c>
      <c r="G127" s="204">
        <v>17</v>
      </c>
      <c r="H127" s="200">
        <v>17.358036194301167</v>
      </c>
      <c r="I127" s="157">
        <f t="shared" ref="I127:I132" si="17">IFERROR(H127/G127,0)</f>
        <v>1.0210609526059511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17.837680454850094</v>
      </c>
      <c r="F129" s="157">
        <f t="shared" si="16"/>
        <v>0.84941335499286164</v>
      </c>
      <c r="G129" s="204">
        <v>21</v>
      </c>
      <c r="H129" s="200">
        <v>21.075109692351251</v>
      </c>
      <c r="I129" s="157">
        <f t="shared" si="17"/>
        <v>1.0035766520167262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0</v>
      </c>
      <c r="F130" s="157">
        <f t="shared" si="16"/>
        <v>0</v>
      </c>
      <c r="G130" s="204">
        <v>42</v>
      </c>
      <c r="H130" s="200">
        <v>12.498885466669991</v>
      </c>
      <c r="I130" s="157">
        <f t="shared" si="17"/>
        <v>0.29759251111119028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23.080114906261564</v>
      </c>
      <c r="F131" s="157">
        <f t="shared" si="16"/>
        <v>0.65943185446461605</v>
      </c>
      <c r="G131" s="204">
        <v>35</v>
      </c>
      <c r="H131" s="200">
        <v>33.263275462669313</v>
      </c>
      <c r="I131" s="157">
        <f t="shared" si="17"/>
        <v>0.95037929893340889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67.985154961457255</v>
      </c>
      <c r="F132" s="684">
        <f t="shared" si="16"/>
        <v>0.67519271984762397</v>
      </c>
      <c r="G132" s="688">
        <v>100.69</v>
      </c>
      <c r="H132" s="683">
        <v>86.315045463909613</v>
      </c>
      <c r="I132" s="684">
        <f t="shared" si="17"/>
        <v>0.85723552948564519</v>
      </c>
      <c r="N132" s="728" t="s">
        <v>188</v>
      </c>
      <c r="O132" s="704">
        <f>O131+'19'!O132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112424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135389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5">IFERROR(C149/$B$149,0)</f>
        <v>0</v>
      </c>
      <c r="D150" s="346">
        <f t="shared" si="25"/>
        <v>0</v>
      </c>
      <c r="E150" s="346">
        <f t="shared" si="25"/>
        <v>0</v>
      </c>
      <c r="F150" s="346">
        <f t="shared" si="25"/>
        <v>0</v>
      </c>
      <c r="G150" s="346">
        <f t="shared" si="25"/>
        <v>0</v>
      </c>
      <c r="H150" s="346">
        <f t="shared" si="25"/>
        <v>0</v>
      </c>
      <c r="I150" s="481">
        <f>SUM(C150:H150)</f>
        <v>0</v>
      </c>
      <c r="K150" s="374"/>
      <c r="L150" s="375"/>
      <c r="M150" s="372"/>
      <c r="N150" s="373"/>
    </row>
  </sheetData>
  <mergeCells count="112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15:K115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82" customWidth="1"/>
    <col min="2" max="2" width="18.5703125" style="82" customWidth="1"/>
    <col min="3" max="3" width="16" style="82" customWidth="1"/>
    <col min="4" max="4" width="18.42578125" style="82" bestFit="1" customWidth="1"/>
    <col min="5" max="8" width="15.85546875" style="82" bestFit="1" customWidth="1"/>
    <col min="9" max="9" width="13.7109375" style="82" bestFit="1" customWidth="1"/>
    <col min="10" max="11" width="19.5703125" style="82" customWidth="1"/>
    <col min="12" max="12" width="17.140625" style="82" bestFit="1" customWidth="1"/>
    <col min="13" max="13" width="16.140625" style="82" customWidth="1"/>
    <col min="14" max="14" width="17.7109375" style="82" customWidth="1"/>
    <col min="15" max="15" width="16.140625" style="82" customWidth="1"/>
    <col min="16" max="16" width="14.5703125" style="82" customWidth="1"/>
    <col min="17" max="17" width="15.85546875" style="82" hidden="1" customWidth="1" outlineLevel="1"/>
    <col min="18" max="18" width="13.85546875" style="82" hidden="1" customWidth="1" outlineLevel="1"/>
    <col min="19" max="19" width="25.140625" style="82" customWidth="1" collapsed="1"/>
    <col min="20" max="20" width="19.7109375" style="82" customWidth="1"/>
    <col min="21" max="21" width="10.7109375" style="82" bestFit="1" customWidth="1"/>
    <col min="22" max="23" width="9.140625" style="82"/>
    <col min="24" max="24" width="10.7109375" style="82" bestFit="1" customWidth="1"/>
    <col min="25" max="25" width="9.140625" style="82"/>
    <col min="26" max="26" width="11.5703125" style="82" bestFit="1" customWidth="1"/>
    <col min="27" max="16384" width="9.140625" style="82"/>
  </cols>
  <sheetData>
    <row r="1" spans="1:20" ht="20.25">
      <c r="A1" s="1085" t="str">
        <f>CONCATENATE("Ежедневный отчет производства и отгрузки за 21 ",Q1)</f>
        <v>Ежедневный отчет производства и отгрузки за 21 август</v>
      </c>
      <c r="B1" s="1085"/>
      <c r="C1" s="1085"/>
      <c r="D1" s="1085"/>
      <c r="E1" s="1085"/>
      <c r="F1" s="1085"/>
      <c r="G1" s="1085"/>
      <c r="H1" s="1085"/>
      <c r="I1" s="1085"/>
      <c r="J1" s="1085"/>
      <c r="K1" s="1085"/>
      <c r="L1" s="1085"/>
      <c r="M1" s="1085"/>
      <c r="N1" s="1085"/>
      <c r="O1" s="1085"/>
      <c r="P1" s="1085"/>
      <c r="Q1" s="81" t="s">
        <v>263</v>
      </c>
      <c r="R1" s="81"/>
    </row>
    <row r="2" spans="1:20" ht="8.25" customHeight="1" thickBot="1">
      <c r="A2" s="83"/>
      <c r="B2" s="83"/>
      <c r="C2" s="83"/>
      <c r="D2" s="83"/>
      <c r="E2" s="83"/>
      <c r="F2" s="83"/>
      <c r="G2" s="83"/>
      <c r="H2" s="83"/>
      <c r="I2" s="83"/>
      <c r="J2" s="83"/>
      <c r="L2" s="83"/>
      <c r="M2" s="83"/>
      <c r="N2" s="83"/>
      <c r="O2" s="83"/>
      <c r="Q2" s="81">
        <v>31</v>
      </c>
      <c r="R2" s="81"/>
      <c r="S2" s="592"/>
    </row>
    <row r="3" spans="1:20" ht="52.5" customHeight="1">
      <c r="A3" s="1086" t="s">
        <v>7</v>
      </c>
      <c r="B3" s="1088" t="s">
        <v>6</v>
      </c>
      <c r="C3" s="1090" t="s">
        <v>38</v>
      </c>
      <c r="D3" s="1090" t="s">
        <v>37</v>
      </c>
      <c r="E3" s="1092" t="s">
        <v>36</v>
      </c>
      <c r="F3" s="1093"/>
      <c r="G3" s="1093"/>
      <c r="H3" s="1093"/>
      <c r="I3" s="1094"/>
      <c r="J3" s="1093" t="s">
        <v>35</v>
      </c>
      <c r="K3" s="1094"/>
      <c r="L3" s="1090" t="s">
        <v>34</v>
      </c>
      <c r="M3" s="1090" t="s">
        <v>33</v>
      </c>
      <c r="N3" s="1090" t="s">
        <v>49</v>
      </c>
      <c r="O3" s="1095" t="s">
        <v>26</v>
      </c>
      <c r="P3" s="1096"/>
      <c r="Q3" s="589"/>
      <c r="R3" s="589"/>
      <c r="S3" s="590"/>
    </row>
    <row r="4" spans="1:20" ht="31.5">
      <c r="A4" s="1087"/>
      <c r="B4" s="1089"/>
      <c r="C4" s="1091"/>
      <c r="D4" s="1091"/>
      <c r="E4" s="909" t="s">
        <v>32</v>
      </c>
      <c r="F4" s="916" t="s">
        <v>28</v>
      </c>
      <c r="G4" s="916" t="s">
        <v>18</v>
      </c>
      <c r="H4" s="916" t="s">
        <v>27</v>
      </c>
      <c r="I4" s="912" t="s">
        <v>1</v>
      </c>
      <c r="J4" s="905" t="s">
        <v>28</v>
      </c>
      <c r="K4" s="912" t="s">
        <v>27</v>
      </c>
      <c r="L4" s="1091"/>
      <c r="M4" s="1091"/>
      <c r="N4" s="1091"/>
      <c r="O4" s="1097"/>
      <c r="P4" s="1098"/>
      <c r="Q4" s="590"/>
      <c r="R4" s="590"/>
      <c r="S4" s="617"/>
    </row>
    <row r="5" spans="1:20">
      <c r="A5" s="85" t="s">
        <v>31</v>
      </c>
      <c r="B5" s="86" t="s">
        <v>9</v>
      </c>
      <c r="C5" s="87">
        <f t="shared" ref="C5:H5" si="0">C6+C9</f>
        <v>160800</v>
      </c>
      <c r="D5" s="87">
        <f>D6+D9+D8</f>
        <v>143025.21352694629</v>
      </c>
      <c r="E5" s="88">
        <f t="shared" si="0"/>
        <v>0</v>
      </c>
      <c r="F5" s="89">
        <f t="shared" si="0"/>
        <v>0</v>
      </c>
      <c r="G5" s="89">
        <f t="shared" si="0"/>
        <v>100500</v>
      </c>
      <c r="H5" s="89">
        <f t="shared" si="0"/>
        <v>16874.071396806572</v>
      </c>
      <c r="I5" s="90">
        <f>IFERROR((H5/G5),0)</f>
        <v>0.16790120792842361</v>
      </c>
      <c r="J5" s="749">
        <f>J6+J9</f>
        <v>0</v>
      </c>
      <c r="K5" s="91">
        <f>K6+K9+K8</f>
        <v>17027.103675312697</v>
      </c>
      <c r="L5" s="87">
        <f>L6+L9+L8</f>
        <v>142872.18124844017</v>
      </c>
      <c r="M5" s="401"/>
      <c r="N5" s="92"/>
      <c r="O5" s="1131"/>
      <c r="P5" s="1132"/>
      <c r="Q5" s="591"/>
      <c r="R5" s="590"/>
      <c r="S5" s="618"/>
      <c r="T5" s="93"/>
    </row>
    <row r="6" spans="1:20">
      <c r="A6" s="103" t="s">
        <v>218</v>
      </c>
      <c r="B6" s="119" t="s">
        <v>9</v>
      </c>
      <c r="C6" s="149">
        <f>'01'!C6</f>
        <v>0</v>
      </c>
      <c r="D6" s="149">
        <f>'01'!D6</f>
        <v>15952.919765534218</v>
      </c>
      <c r="E6" s="134">
        <v>0</v>
      </c>
      <c r="F6" s="110"/>
      <c r="G6" s="110">
        <f>E6+'20'!G6</f>
        <v>0</v>
      </c>
      <c r="H6" s="110">
        <f>F6+'20'!H6</f>
        <v>6671.6154299884374</v>
      </c>
      <c r="I6" s="138"/>
      <c r="J6" s="750"/>
      <c r="K6" s="124">
        <f>J6+'20'!K6</f>
        <v>0</v>
      </c>
      <c r="L6" s="149">
        <f>D6+H6-K6-M6-N6</f>
        <v>22624.535195522654</v>
      </c>
      <c r="M6" s="101"/>
      <c r="N6" s="101">
        <f>N10</f>
        <v>0</v>
      </c>
      <c r="O6" s="1133"/>
      <c r="P6" s="1134"/>
      <c r="Q6" s="592"/>
      <c r="R6" s="590"/>
      <c r="S6" s="618"/>
      <c r="T6" s="93"/>
    </row>
    <row r="7" spans="1:20" hidden="1" outlineLevel="1">
      <c r="A7" s="162" t="s">
        <v>219</v>
      </c>
      <c r="B7" s="119" t="s">
        <v>9</v>
      </c>
      <c r="C7" s="149"/>
      <c r="D7" s="149">
        <f>'01'!D7</f>
        <v>0</v>
      </c>
      <c r="E7" s="134"/>
      <c r="F7" s="110">
        <v>0</v>
      </c>
      <c r="G7" s="110"/>
      <c r="H7" s="146">
        <f>F7+'20'!H7</f>
        <v>0</v>
      </c>
      <c r="I7" s="138"/>
      <c r="J7" s="750"/>
      <c r="K7" s="196">
        <f>J7+'20'!K7</f>
        <v>0</v>
      </c>
      <c r="L7" s="149">
        <f>D7+H7-K7-M7-N7</f>
        <v>0</v>
      </c>
      <c r="M7" s="101"/>
      <c r="N7" s="101"/>
      <c r="O7" s="1133"/>
      <c r="P7" s="1134"/>
      <c r="Q7" s="592"/>
      <c r="R7" s="590"/>
      <c r="S7" s="618"/>
      <c r="T7" s="93"/>
    </row>
    <row r="8" spans="1:20" hidden="1" outlineLevel="1">
      <c r="A8" s="162" t="s">
        <v>94</v>
      </c>
      <c r="B8" s="119" t="s">
        <v>9</v>
      </c>
      <c r="C8" s="149"/>
      <c r="D8" s="149">
        <f>'01'!D8</f>
        <v>0</v>
      </c>
      <c r="E8" s="134"/>
      <c r="F8" s="110"/>
      <c r="G8" s="110"/>
      <c r="H8" s="146">
        <f>F8+'20'!H8</f>
        <v>0</v>
      </c>
      <c r="I8" s="138"/>
      <c r="J8" s="750"/>
      <c r="K8" s="196">
        <f>J8+'20'!K8</f>
        <v>0</v>
      </c>
      <c r="L8" s="149">
        <f>D8+H8-K8</f>
        <v>0</v>
      </c>
      <c r="M8" s="101"/>
      <c r="N8" s="101"/>
      <c r="O8" s="1133"/>
      <c r="P8" s="1134"/>
      <c r="Q8" s="592"/>
      <c r="R8" s="590"/>
      <c r="S8" s="618"/>
      <c r="T8" s="93"/>
    </row>
    <row r="9" spans="1:20" s="120" customFormat="1" collapsed="1">
      <c r="A9" s="94" t="s">
        <v>65</v>
      </c>
      <c r="B9" s="95" t="s">
        <v>9</v>
      </c>
      <c r="C9" s="96">
        <f>'01'!C9</f>
        <v>160800</v>
      </c>
      <c r="D9" s="96">
        <f>'01'!D9</f>
        <v>127072.29376141207</v>
      </c>
      <c r="E9" s="97">
        <v>0</v>
      </c>
      <c r="F9" s="98">
        <f>F10+F11+F12+F13</f>
        <v>0</v>
      </c>
      <c r="G9" s="98">
        <f>E9+'20'!G9</f>
        <v>100500</v>
      </c>
      <c r="H9" s="98">
        <f>F9+'20'!H9</f>
        <v>10202.455966818135</v>
      </c>
      <c r="I9" s="138">
        <f>IFERROR((H9/G9),0)</f>
        <v>0.1015169747942103</v>
      </c>
      <c r="J9" s="177">
        <f>J10+J11+J12+J13</f>
        <v>0</v>
      </c>
      <c r="K9" s="100">
        <f>J9+'20'!K9</f>
        <v>17027.103675312697</v>
      </c>
      <c r="L9" s="96">
        <f>D9+H9-K9+M9+N9</f>
        <v>120247.64605291751</v>
      </c>
      <c r="M9" s="102"/>
      <c r="N9" s="102">
        <f>N10</f>
        <v>0</v>
      </c>
      <c r="O9" s="1201"/>
      <c r="P9" s="1202"/>
      <c r="Q9" s="592">
        <v>-23266.571785975502</v>
      </c>
      <c r="R9" s="590">
        <f>J9-Q9</f>
        <v>23266.571785975502</v>
      </c>
      <c r="S9" s="618"/>
      <c r="T9" s="161"/>
    </row>
    <row r="10" spans="1:20">
      <c r="A10" s="103" t="s">
        <v>64</v>
      </c>
      <c r="B10" s="119" t="s">
        <v>9</v>
      </c>
      <c r="C10" s="149"/>
      <c r="D10" s="149">
        <f>'01'!D10</f>
        <v>56300.273909357406</v>
      </c>
      <c r="E10" s="134"/>
      <c r="F10" s="110">
        <v>0</v>
      </c>
      <c r="G10" s="98">
        <f>E10+'20'!G10</f>
        <v>0</v>
      </c>
      <c r="H10" s="110">
        <f>F10+'20'!H10</f>
        <v>10202.455966818135</v>
      </c>
      <c r="I10" s="138"/>
      <c r="J10" s="178">
        <v>0</v>
      </c>
      <c r="K10" s="124">
        <f>J10+'20'!K10</f>
        <v>17027.103675312697</v>
      </c>
      <c r="L10" s="149">
        <f>D10+H10-K10+M10+N10</f>
        <v>49475.62620086284</v>
      </c>
      <c r="M10" s="101"/>
      <c r="N10" s="101"/>
      <c r="O10" s="1133"/>
      <c r="P10" s="1134"/>
      <c r="Q10" s="592"/>
      <c r="R10" s="590"/>
    </row>
    <row r="11" spans="1:20">
      <c r="A11" s="103" t="s">
        <v>244</v>
      </c>
      <c r="B11" s="119" t="s">
        <v>9</v>
      </c>
      <c r="C11" s="149"/>
      <c r="D11" s="149">
        <f>'01'!D11</f>
        <v>18224.01726010743</v>
      </c>
      <c r="E11" s="134"/>
      <c r="F11" s="110"/>
      <c r="G11" s="98">
        <f>E11+'20'!G11</f>
        <v>0</v>
      </c>
      <c r="H11" s="110">
        <f>F11+'20'!H11</f>
        <v>0</v>
      </c>
      <c r="I11" s="138"/>
      <c r="J11" s="178">
        <v>0</v>
      </c>
      <c r="K11" s="124">
        <f>J11+'20'!K11</f>
        <v>0</v>
      </c>
      <c r="L11" s="149">
        <f>D11+H11-K11+M11+N11</f>
        <v>18224.01726010743</v>
      </c>
      <c r="M11" s="101"/>
      <c r="N11" s="101"/>
      <c r="O11" s="1133"/>
      <c r="P11" s="1134"/>
      <c r="Q11" s="592"/>
      <c r="R11" s="590"/>
    </row>
    <row r="12" spans="1:20" outlineLevel="1">
      <c r="A12" s="162" t="s">
        <v>154</v>
      </c>
      <c r="B12" s="119" t="s">
        <v>9</v>
      </c>
      <c r="C12" s="311"/>
      <c r="D12" s="149">
        <f>'01'!D12</f>
        <v>52548.002591947239</v>
      </c>
      <c r="E12" s="313">
        <f>C12/31</f>
        <v>0</v>
      </c>
      <c r="F12" s="110"/>
      <c r="G12" s="110">
        <f>E12+'20'!G12</f>
        <v>0</v>
      </c>
      <c r="H12" s="110">
        <f>F12+'20'!H12</f>
        <v>0</v>
      </c>
      <c r="I12" s="757">
        <f>IFERROR((H12/G12),0)</f>
        <v>0</v>
      </c>
      <c r="J12" s="178"/>
      <c r="K12" s="124">
        <f>J12+'20'!K12</f>
        <v>0</v>
      </c>
      <c r="L12" s="149">
        <f>D12+H12-K12</f>
        <v>52548.002591947239</v>
      </c>
      <c r="M12" s="101"/>
      <c r="N12" s="101"/>
      <c r="O12" s="1133"/>
      <c r="P12" s="1134"/>
      <c r="Q12" s="592"/>
      <c r="R12" s="590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98">
        <f>E13+'20'!G13</f>
        <v>0</v>
      </c>
      <c r="H13" s="110">
        <f>F13+'20'!H13</f>
        <v>0</v>
      </c>
      <c r="I13" s="138"/>
      <c r="J13" s="178"/>
      <c r="K13" s="124">
        <f>J13+'20'!K13</f>
        <v>0</v>
      </c>
      <c r="L13" s="149">
        <f>D13+H13-K13+M13-N13</f>
        <v>0</v>
      </c>
      <c r="M13" s="101"/>
      <c r="N13" s="101"/>
      <c r="O13" s="1133"/>
      <c r="P13" s="1134"/>
      <c r="Q13" s="592"/>
      <c r="R13" s="590"/>
    </row>
    <row r="14" spans="1:20">
      <c r="A14" s="85" t="s">
        <v>39</v>
      </c>
      <c r="B14" s="86" t="s">
        <v>9</v>
      </c>
      <c r="C14" s="87">
        <f>SUM(C15:C21)</f>
        <v>195040</v>
      </c>
      <c r="D14" s="87">
        <f>'01'!D14</f>
        <v>25904.61438418684</v>
      </c>
      <c r="E14" s="88">
        <f>SUM(E15:E21)</f>
        <v>6941.0000000000009</v>
      </c>
      <c r="F14" s="89">
        <f>SUM(F15:F21)</f>
        <v>0</v>
      </c>
      <c r="G14" s="89">
        <f>SUM(G15:G21)</f>
        <v>132350</v>
      </c>
      <c r="H14" s="89">
        <f>SUM(H15:H21)</f>
        <v>18857.68830004807</v>
      </c>
      <c r="I14" s="90">
        <f t="shared" ref="I14:I21" si="1">IFERROR((H14/G14),0)</f>
        <v>0.14248347789987209</v>
      </c>
      <c r="J14" s="749">
        <f>SUM(J15:J21)</f>
        <v>0</v>
      </c>
      <c r="K14" s="91">
        <f>SUM(K15:K21)</f>
        <v>18951.049999999992</v>
      </c>
      <c r="L14" s="87">
        <f>SUM(L15:L21)</f>
        <v>25811.252684234911</v>
      </c>
      <c r="M14" s="402"/>
      <c r="N14" s="104"/>
      <c r="O14" s="1115"/>
      <c r="P14" s="1116"/>
      <c r="Q14" s="593"/>
      <c r="R14" s="590"/>
      <c r="S14" s="703" t="s">
        <v>247</v>
      </c>
      <c r="T14" s="1042" t="e">
        <f>J5/F14</f>
        <v>#DIV/0!</v>
      </c>
    </row>
    <row r="15" spans="1:20" hidden="1">
      <c r="A15" s="254" t="s">
        <v>60</v>
      </c>
      <c r="B15" s="119" t="s">
        <v>9</v>
      </c>
      <c r="C15" s="149">
        <f>'01'!C15</f>
        <v>0</v>
      </c>
      <c r="D15" s="149">
        <f>'01'!D15</f>
        <v>0</v>
      </c>
      <c r="E15" s="134">
        <v>0</v>
      </c>
      <c r="F15" s="110">
        <v>0</v>
      </c>
      <c r="G15" s="110">
        <v>0</v>
      </c>
      <c r="H15" s="110">
        <f>F15+'20'!H15</f>
        <v>0</v>
      </c>
      <c r="I15" s="138">
        <f t="shared" si="1"/>
        <v>0</v>
      </c>
      <c r="J15" s="178">
        <v>0</v>
      </c>
      <c r="K15" s="124">
        <f>J15+'20'!K15</f>
        <v>0</v>
      </c>
      <c r="L15" s="149">
        <f t="shared" ref="L15:L37" si="2">D15+H15-K15+M15</f>
        <v>0</v>
      </c>
      <c r="M15" s="101"/>
      <c r="N15" s="423"/>
      <c r="O15" s="1121"/>
      <c r="P15" s="1122"/>
      <c r="Q15" s="590"/>
      <c r="R15" s="590"/>
      <c r="S15" s="703"/>
      <c r="T15" s="703"/>
    </row>
    <row r="16" spans="1:20" outlineLevel="1">
      <c r="A16" s="105" t="s">
        <v>254</v>
      </c>
      <c r="B16" s="119" t="s">
        <v>9</v>
      </c>
      <c r="C16" s="170">
        <f>'01'!C16</f>
        <v>44352</v>
      </c>
      <c r="D16" s="170">
        <f>'01'!D16</f>
        <v>6069.3572595923979</v>
      </c>
      <c r="E16" s="134">
        <v>1578.379983593109</v>
      </c>
      <c r="F16" s="171">
        <v>0</v>
      </c>
      <c r="G16" s="110">
        <f>E16+'20'!G16</f>
        <v>30096.324856439707</v>
      </c>
      <c r="H16" s="110">
        <f>F16+'20'!H16</f>
        <v>3228.5002277343951</v>
      </c>
      <c r="I16" s="758">
        <f t="shared" si="1"/>
        <v>0.1072722414824544</v>
      </c>
      <c r="J16" s="751">
        <f>IFERROR(SUMIF(A101:A114,A16,E101:E114),0)+E111+E112+E113</f>
        <v>0</v>
      </c>
      <c r="K16" s="124">
        <f>J16+'20'!K16</f>
        <v>3320.85</v>
      </c>
      <c r="L16" s="397">
        <f t="shared" si="2"/>
        <v>5977.0074873267931</v>
      </c>
      <c r="M16" s="101"/>
      <c r="N16" s="423"/>
      <c r="O16" s="1121"/>
      <c r="P16" s="1122"/>
      <c r="Q16" s="591"/>
      <c r="R16" s="590"/>
      <c r="S16" s="703"/>
      <c r="T16" s="703"/>
    </row>
    <row r="17" spans="1:20" ht="18" customHeight="1">
      <c r="A17" s="734" t="s">
        <v>262</v>
      </c>
      <c r="B17" s="119" t="s">
        <v>9</v>
      </c>
      <c r="C17" s="170">
        <f>'01'!C17</f>
        <v>0</v>
      </c>
      <c r="D17" s="170">
        <f>'01'!D17</f>
        <v>483.23739591927495</v>
      </c>
      <c r="E17" s="108">
        <v>0</v>
      </c>
      <c r="F17" s="173">
        <v>0</v>
      </c>
      <c r="G17" s="110">
        <f>E17+'20'!G17</f>
        <v>0</v>
      </c>
      <c r="H17" s="110">
        <f>F17+'20'!H17</f>
        <v>0</v>
      </c>
      <c r="I17" s="758">
        <f t="shared" si="1"/>
        <v>0</v>
      </c>
      <c r="J17" s="751">
        <f>IFERROR(SUMIF(A102:A115,A17,E102:E115),0)+E116+E119+E121+E114</f>
        <v>0</v>
      </c>
      <c r="K17" s="124">
        <f>J17+'20'!K17</f>
        <v>0</v>
      </c>
      <c r="L17" s="397">
        <f t="shared" si="2"/>
        <v>483.23739591927495</v>
      </c>
      <c r="M17" s="101"/>
      <c r="N17" s="423"/>
      <c r="O17" s="1121"/>
      <c r="P17" s="1122"/>
      <c r="Q17" s="590"/>
      <c r="R17" s="590"/>
      <c r="S17" s="703" t="s">
        <v>248</v>
      </c>
      <c r="T17" s="628" t="e">
        <f>O51/F5</f>
        <v>#DIV/0!</v>
      </c>
    </row>
    <row r="18" spans="1:20" ht="15" customHeight="1">
      <c r="A18" s="105" t="s">
        <v>85</v>
      </c>
      <c r="B18" s="119" t="s">
        <v>9</v>
      </c>
      <c r="C18" s="170">
        <f>'01'!C18</f>
        <v>1360</v>
      </c>
      <c r="D18" s="170">
        <f>'01'!D18</f>
        <v>3183.2380657083054</v>
      </c>
      <c r="E18" s="134"/>
      <c r="F18" s="171"/>
      <c r="G18" s="110">
        <f>E18+'20'!G18</f>
        <v>0</v>
      </c>
      <c r="H18" s="110">
        <f>F18+'20'!H18</f>
        <v>0</v>
      </c>
      <c r="I18" s="758">
        <f t="shared" si="1"/>
        <v>0</v>
      </c>
      <c r="J18" s="751">
        <f>IFERROR(SUMIF(A102:A115,A18,E102:E115),0)+E118+E120</f>
        <v>0</v>
      </c>
      <c r="K18" s="124">
        <f>J18+'20'!K18</f>
        <v>0</v>
      </c>
      <c r="L18" s="397">
        <f>D18+H18-K18-M18</f>
        <v>3183.2380657083054</v>
      </c>
      <c r="M18" s="101"/>
      <c r="N18" s="423"/>
      <c r="O18" s="1121"/>
      <c r="P18" s="1122"/>
      <c r="Q18" s="590"/>
      <c r="R18" s="590"/>
    </row>
    <row r="19" spans="1:20" s="114" customFormat="1">
      <c r="A19" s="123" t="str">
        <f>'01'!A19</f>
        <v>ЦЕМ I 52.5Н</v>
      </c>
      <c r="B19" s="126" t="s">
        <v>9</v>
      </c>
      <c r="C19" s="149">
        <f>'01'!C19</f>
        <v>145770</v>
      </c>
      <c r="D19" s="149">
        <f>'01'!D19</f>
        <v>12764.733711905967</v>
      </c>
      <c r="E19" s="250">
        <v>5187.6003383921252</v>
      </c>
      <c r="F19" s="131">
        <v>0</v>
      </c>
      <c r="G19" s="110">
        <f>E19+'20'!G19</f>
        <v>98916.424835931088</v>
      </c>
      <c r="H19" s="110">
        <f>F19+'20'!H19</f>
        <v>15629.188072313675</v>
      </c>
      <c r="I19" s="759">
        <f t="shared" si="1"/>
        <v>0.15800397252768905</v>
      </c>
      <c r="J19" s="751">
        <f>IFERROR(SUMIF(A102:A115,A19,E102:E115),0)+E117+E115+E122</f>
        <v>0</v>
      </c>
      <c r="K19" s="124">
        <f>J19+'20'!K19</f>
        <v>14803.599999999995</v>
      </c>
      <c r="L19" s="127">
        <f>D19+H19-K19-M19</f>
        <v>13590.321784219646</v>
      </c>
      <c r="M19" s="403"/>
      <c r="N19" s="424"/>
      <c r="O19" s="1123"/>
      <c r="P19" s="1124"/>
      <c r="Q19" s="590"/>
      <c r="R19" s="590"/>
    </row>
    <row r="20" spans="1:20">
      <c r="A20" s="123" t="s">
        <v>245</v>
      </c>
      <c r="B20" s="119" t="s">
        <v>9</v>
      </c>
      <c r="C20" s="149">
        <f>'01'!C20</f>
        <v>3558</v>
      </c>
      <c r="D20" s="149">
        <f>'01'!D20</f>
        <v>3404.0479510608047</v>
      </c>
      <c r="E20" s="134">
        <v>126.62058039376538</v>
      </c>
      <c r="F20" s="110">
        <v>0</v>
      </c>
      <c r="G20" s="110">
        <f>E20+'20'!G20</f>
        <v>2414.3832034454472</v>
      </c>
      <c r="H20" s="110">
        <f>F20+'20'!H20</f>
        <v>0</v>
      </c>
      <c r="I20" s="138">
        <f t="shared" si="1"/>
        <v>0</v>
      </c>
      <c r="J20" s="751">
        <f>IFERROR(SUMIF(A102:A115,A20,E102:E115),0)</f>
        <v>0</v>
      </c>
      <c r="K20" s="124">
        <f>J20+'20'!K20</f>
        <v>826.59999999999991</v>
      </c>
      <c r="L20" s="127">
        <f>D20+H20-K20+M20</f>
        <v>2577.4479510608048</v>
      </c>
      <c r="M20" s="101"/>
      <c r="N20" s="423"/>
      <c r="O20" s="1121"/>
      <c r="P20" s="1122"/>
      <c r="Q20" s="590"/>
      <c r="R20" s="590"/>
      <c r="S20" s="115"/>
    </row>
    <row r="21" spans="1:20">
      <c r="A21" s="123" t="s">
        <v>50</v>
      </c>
      <c r="B21" s="119" t="s">
        <v>9</v>
      </c>
      <c r="C21" s="149">
        <f>'01'!C21</f>
        <v>0</v>
      </c>
      <c r="D21" s="149">
        <f>'01'!D21</f>
        <v>8.7766238721087575E-11</v>
      </c>
      <c r="E21" s="134">
        <v>48.39909762100082</v>
      </c>
      <c r="F21" s="110">
        <v>0</v>
      </c>
      <c r="G21" s="110">
        <f>E21+'20'!G21</f>
        <v>922.86710418375719</v>
      </c>
      <c r="H21" s="110">
        <f>F21+'20'!H21</f>
        <v>0</v>
      </c>
      <c r="I21" s="138">
        <f t="shared" si="1"/>
        <v>0</v>
      </c>
      <c r="J21" s="751">
        <f>IFERROR(SUMIF(A102:A115,A21,E102:E115),0)</f>
        <v>0</v>
      </c>
      <c r="K21" s="124">
        <f>J21+'20'!K21</f>
        <v>0</v>
      </c>
      <c r="L21" s="127">
        <f t="shared" si="2"/>
        <v>8.7766238721087575E-11</v>
      </c>
      <c r="M21" s="404"/>
      <c r="N21" s="425"/>
      <c r="O21" s="1160"/>
      <c r="P21" s="1130"/>
      <c r="Q21" s="590"/>
      <c r="R21" s="590"/>
    </row>
    <row r="22" spans="1:20">
      <c r="A22" s="734" t="s">
        <v>191</v>
      </c>
      <c r="B22" s="95"/>
      <c r="C22" s="149">
        <f>'01'!C22</f>
        <v>1100</v>
      </c>
      <c r="D22" s="149">
        <f>'01'!D22</f>
        <v>2833.750634882178</v>
      </c>
      <c r="E22" s="134">
        <v>0</v>
      </c>
      <c r="F22" s="110">
        <v>0</v>
      </c>
      <c r="G22" s="110">
        <f>E22+'20'!G22</f>
        <v>1100</v>
      </c>
      <c r="H22" s="110">
        <f>F22+'20'!H22</f>
        <v>2130.1044634377968</v>
      </c>
      <c r="I22" s="99"/>
      <c r="J22" s="751">
        <f>IFERROR(SUMIF(A103:A123,A22,E103:E123),0)+E109</f>
        <v>0</v>
      </c>
      <c r="K22" s="124">
        <f>J22+'20'!K22</f>
        <v>757.20000000000016</v>
      </c>
      <c r="L22" s="127">
        <f t="shared" si="2"/>
        <v>4206.655098319975</v>
      </c>
      <c r="M22" s="404"/>
      <c r="N22" s="425"/>
      <c r="O22" s="1129"/>
      <c r="P22" s="1130"/>
      <c r="Q22" s="590"/>
      <c r="R22" s="590"/>
    </row>
    <row r="23" spans="1:20" s="120" customFormat="1">
      <c r="A23" s="251" t="s">
        <v>226</v>
      </c>
      <c r="B23" s="95" t="s">
        <v>9</v>
      </c>
      <c r="C23" s="96">
        <f>'01'!C23</f>
        <v>0</v>
      </c>
      <c r="D23" s="96">
        <f>'01'!D23</f>
        <v>52</v>
      </c>
      <c r="E23" s="97">
        <v>0</v>
      </c>
      <c r="F23" s="98">
        <f>SUM(F24:F29)</f>
        <v>0</v>
      </c>
      <c r="G23" s="98">
        <f>E23+'20'!G23</f>
        <v>0</v>
      </c>
      <c r="H23" s="98">
        <f>SUM(H24:H29)</f>
        <v>0</v>
      </c>
      <c r="I23" s="99">
        <f>IFERROR((H23/G23),0)</f>
        <v>0</v>
      </c>
      <c r="J23" s="177">
        <f>SUM(J24:J29)</f>
        <v>0</v>
      </c>
      <c r="K23" s="100">
        <f>J23+'20'!K23</f>
        <v>20</v>
      </c>
      <c r="L23" s="583">
        <f>D23+H23-K23+M23</f>
        <v>32</v>
      </c>
      <c r="M23" s="421"/>
      <c r="N23" s="438"/>
      <c r="O23" s="1161"/>
      <c r="P23" s="1128"/>
      <c r="Q23" s="594"/>
      <c r="R23" s="594"/>
      <c r="S23" s="620"/>
      <c r="T23" s="151"/>
    </row>
    <row r="24" spans="1:20" s="120" customFormat="1" hidden="1" outlineLevel="1">
      <c r="A24" s="105" t="s">
        <v>153</v>
      </c>
      <c r="B24" s="119" t="s">
        <v>9</v>
      </c>
      <c r="C24" s="96"/>
      <c r="D24" s="170">
        <f>'01'!D24</f>
        <v>0</v>
      </c>
      <c r="E24" s="97"/>
      <c r="F24" s="98">
        <v>0</v>
      </c>
      <c r="G24" s="110">
        <f>E24+'20'!G24</f>
        <v>0</v>
      </c>
      <c r="H24" s="110">
        <f>F24+'20'!H24</f>
        <v>0</v>
      </c>
      <c r="I24" s="99"/>
      <c r="J24" s="752">
        <v>0</v>
      </c>
      <c r="K24" s="124">
        <f>J24+'20'!K24</f>
        <v>0</v>
      </c>
      <c r="L24" s="127">
        <f t="shared" si="2"/>
        <v>0</v>
      </c>
      <c r="M24" s="421"/>
      <c r="N24" s="438"/>
      <c r="O24" s="906"/>
      <c r="P24" s="907"/>
      <c r="Q24" s="594"/>
      <c r="R24" s="594"/>
      <c r="S24" s="620"/>
      <c r="T24" s="151"/>
    </row>
    <row r="25" spans="1:20" s="120" customFormat="1" hidden="1" outlineLevel="1">
      <c r="A25" s="105" t="s">
        <v>85</v>
      </c>
      <c r="B25" s="119" t="s">
        <v>9</v>
      </c>
      <c r="C25" s="96"/>
      <c r="D25" s="170">
        <f>'01'!D25</f>
        <v>16</v>
      </c>
      <c r="E25" s="97"/>
      <c r="F25" s="98">
        <v>0</v>
      </c>
      <c r="G25" s="110">
        <f>E25+'20'!G25</f>
        <v>0</v>
      </c>
      <c r="H25" s="110">
        <f>F25+'20'!H25</f>
        <v>0</v>
      </c>
      <c r="I25" s="99"/>
      <c r="J25" s="752">
        <v>0</v>
      </c>
      <c r="K25" s="124">
        <f>J25+'20'!K25</f>
        <v>20</v>
      </c>
      <c r="L25" s="127">
        <f t="shared" si="2"/>
        <v>-4</v>
      </c>
      <c r="M25" s="421"/>
      <c r="N25" s="438"/>
      <c r="O25" s="906"/>
      <c r="P25" s="907"/>
      <c r="Q25" s="594"/>
      <c r="R25" s="594"/>
      <c r="S25" s="620"/>
      <c r="T25" s="151"/>
    </row>
    <row r="26" spans="1:20" s="120" customFormat="1" hidden="1" outlineLevel="1">
      <c r="A26" s="123" t="str">
        <f>'01'!A26</f>
        <v xml:space="preserve">ЦEМ I 52,5H Портландцемент (МКР) </v>
      </c>
      <c r="B26" s="119" t="s">
        <v>9</v>
      </c>
      <c r="C26" s="96"/>
      <c r="D26" s="170">
        <f>'01'!D26</f>
        <v>36</v>
      </c>
      <c r="E26" s="97"/>
      <c r="F26" s="98">
        <v>0</v>
      </c>
      <c r="G26" s="110">
        <f>E26+'20'!G26</f>
        <v>0</v>
      </c>
      <c r="H26" s="110">
        <f>F26+'20'!H26</f>
        <v>0</v>
      </c>
      <c r="I26" s="99"/>
      <c r="J26" s="752">
        <v>0</v>
      </c>
      <c r="K26" s="124">
        <f>J26+'20'!K26</f>
        <v>0</v>
      </c>
      <c r="L26" s="127">
        <f t="shared" si="2"/>
        <v>36</v>
      </c>
      <c r="M26" s="421"/>
      <c r="N26" s="438"/>
      <c r="O26" s="906"/>
      <c r="P26" s="907"/>
      <c r="Q26" s="594"/>
      <c r="R26" s="594"/>
      <c r="S26" s="620"/>
      <c r="T26" s="151"/>
    </row>
    <row r="27" spans="1:20" s="120" customFormat="1" hidden="1" outlineLevel="1">
      <c r="A27" s="123" t="s">
        <v>50</v>
      </c>
      <c r="B27" s="119" t="s">
        <v>9</v>
      </c>
      <c r="C27" s="96"/>
      <c r="D27" s="170">
        <f>'01'!D27</f>
        <v>0</v>
      </c>
      <c r="E27" s="97"/>
      <c r="F27" s="98">
        <v>0</v>
      </c>
      <c r="G27" s="110">
        <f>E27+'20'!G27</f>
        <v>0</v>
      </c>
      <c r="H27" s="110">
        <f>F27+'20'!H27</f>
        <v>0</v>
      </c>
      <c r="I27" s="99"/>
      <c r="J27" s="752"/>
      <c r="K27" s="124">
        <f>J27+'20'!K27</f>
        <v>0</v>
      </c>
      <c r="L27" s="127">
        <f t="shared" si="2"/>
        <v>0</v>
      </c>
      <c r="M27" s="421"/>
      <c r="N27" s="438"/>
      <c r="O27" s="906"/>
      <c r="P27" s="907"/>
      <c r="Q27" s="594"/>
      <c r="R27" s="594"/>
      <c r="S27" s="620"/>
      <c r="T27" s="151"/>
    </row>
    <row r="28" spans="1:20" s="120" customFormat="1" hidden="1" outlineLevel="1">
      <c r="A28" s="251"/>
      <c r="B28" s="119" t="s">
        <v>9</v>
      </c>
      <c r="C28" s="96"/>
      <c r="D28" s="96"/>
      <c r="E28" s="97"/>
      <c r="F28" s="98">
        <f>J28</f>
        <v>0</v>
      </c>
      <c r="G28" s="110">
        <f>E28+'20'!G28</f>
        <v>0</v>
      </c>
      <c r="H28" s="110">
        <f>F28+'20'!H28</f>
        <v>0</v>
      </c>
      <c r="I28" s="99"/>
      <c r="J28" s="752"/>
      <c r="K28" s="124">
        <f>J28+'20'!K28</f>
        <v>0</v>
      </c>
      <c r="L28" s="127">
        <f t="shared" si="2"/>
        <v>0</v>
      </c>
      <c r="M28" s="421"/>
      <c r="N28" s="438"/>
      <c r="O28" s="906"/>
      <c r="P28" s="907"/>
      <c r="Q28" s="594"/>
      <c r="R28" s="594"/>
      <c r="S28" s="620"/>
      <c r="T28" s="151"/>
    </row>
    <row r="29" spans="1:20" s="120" customFormat="1" hidden="1" outlineLevel="1">
      <c r="A29" s="251"/>
      <c r="B29" s="119" t="s">
        <v>9</v>
      </c>
      <c r="C29" s="96"/>
      <c r="D29" s="96"/>
      <c r="E29" s="97"/>
      <c r="F29" s="98">
        <f>J29</f>
        <v>0</v>
      </c>
      <c r="G29" s="110">
        <f>E29+'20'!G29</f>
        <v>0</v>
      </c>
      <c r="H29" s="110">
        <f>F29+'20'!H29</f>
        <v>0</v>
      </c>
      <c r="I29" s="99"/>
      <c r="J29" s="752"/>
      <c r="K29" s="124">
        <f>J29+'20'!K29</f>
        <v>0</v>
      </c>
      <c r="L29" s="127">
        <f t="shared" si="2"/>
        <v>0</v>
      </c>
      <c r="M29" s="421"/>
      <c r="N29" s="438"/>
      <c r="O29" s="906"/>
      <c r="P29" s="907"/>
      <c r="Q29" s="594"/>
      <c r="R29" s="594"/>
      <c r="S29" s="620"/>
      <c r="T29" s="151"/>
    </row>
    <row r="30" spans="1:20" s="120" customFormat="1" collapsed="1">
      <c r="A30" s="251" t="s">
        <v>227</v>
      </c>
      <c r="B30" s="675" t="s">
        <v>9</v>
      </c>
      <c r="C30" s="96"/>
      <c r="D30" s="311">
        <f>'01'!D30</f>
        <v>1513.6</v>
      </c>
      <c r="E30" s="97"/>
      <c r="F30" s="98">
        <f>SUM(F31:F37)</f>
        <v>0</v>
      </c>
      <c r="G30" s="98">
        <f>E30+'20'!G30</f>
        <v>0</v>
      </c>
      <c r="H30" s="98">
        <f>F30+'20'!H30</f>
        <v>554.40000000000009</v>
      </c>
      <c r="I30" s="99">
        <f>IFERROR((H30/G30),0)</f>
        <v>0</v>
      </c>
      <c r="J30" s="177">
        <f>SUM(J31:J37)</f>
        <v>0</v>
      </c>
      <c r="K30" s="100">
        <f>J30+'20'!K30</f>
        <v>994.39999999999986</v>
      </c>
      <c r="L30" s="583">
        <f t="shared" si="2"/>
        <v>1073.6000000000001</v>
      </c>
      <c r="M30" s="421"/>
      <c r="N30" s="438"/>
      <c r="O30" s="1127"/>
      <c r="P30" s="1128"/>
      <c r="Q30" s="594"/>
      <c r="R30" s="594"/>
      <c r="S30" s="620"/>
      <c r="T30" s="151"/>
    </row>
    <row r="31" spans="1:20" s="120" customFormat="1" hidden="1" outlineLevel="1">
      <c r="A31" s="105" t="s">
        <v>153</v>
      </c>
      <c r="B31" s="119" t="s">
        <v>9</v>
      </c>
      <c r="C31" s="96"/>
      <c r="D31" s="149">
        <f>'01'!D31</f>
        <v>0</v>
      </c>
      <c r="E31" s="97"/>
      <c r="F31" s="864">
        <v>0</v>
      </c>
      <c r="G31" s="110">
        <f>E31+'20'!G31</f>
        <v>0</v>
      </c>
      <c r="H31" s="110">
        <f>F31+'20'!H31</f>
        <v>0</v>
      </c>
      <c r="I31" s="99"/>
      <c r="J31" s="865">
        <v>0</v>
      </c>
      <c r="K31" s="124">
        <f>J31+'20'!K31</f>
        <v>0</v>
      </c>
      <c r="L31" s="127">
        <f t="shared" si="2"/>
        <v>0</v>
      </c>
      <c r="M31" s="421"/>
      <c r="N31" s="438"/>
      <c r="O31" s="906"/>
      <c r="P31" s="907"/>
      <c r="Q31" s="594"/>
      <c r="R31" s="594"/>
      <c r="S31" s="620"/>
      <c r="T31" s="151"/>
    </row>
    <row r="32" spans="1:20" s="120" customFormat="1" hidden="1" outlineLevel="1">
      <c r="A32" s="105" t="s">
        <v>254</v>
      </c>
      <c r="B32" s="119" t="s">
        <v>9</v>
      </c>
      <c r="C32" s="96"/>
      <c r="D32" s="149">
        <f>'01'!D32</f>
        <v>1508.32</v>
      </c>
      <c r="E32" s="97"/>
      <c r="F32" s="864">
        <v>0</v>
      </c>
      <c r="G32" s="110">
        <f>E32+'20'!G32</f>
        <v>0</v>
      </c>
      <c r="H32" s="110">
        <f>F32+'20'!H32</f>
        <v>554.40000000000009</v>
      </c>
      <c r="I32" s="99"/>
      <c r="J32" s="865">
        <v>0</v>
      </c>
      <c r="K32" s="124">
        <f>J32+'20'!K32</f>
        <v>994.39999999999986</v>
      </c>
      <c r="L32" s="127">
        <f t="shared" si="2"/>
        <v>1068.3200000000004</v>
      </c>
      <c r="M32" s="421"/>
      <c r="N32" s="438"/>
      <c r="O32" s="906"/>
      <c r="P32" s="907"/>
      <c r="Q32" s="594"/>
      <c r="R32" s="594"/>
      <c r="S32" s="620"/>
      <c r="T32" s="151"/>
    </row>
    <row r="33" spans="1:21" s="120" customFormat="1" hidden="1" outlineLevel="1">
      <c r="A33" s="123" t="str">
        <f>'01'!A33</f>
        <v>ЦЕМ I 52.5Н</v>
      </c>
      <c r="B33" s="119" t="s">
        <v>9</v>
      </c>
      <c r="C33" s="96"/>
      <c r="D33" s="149">
        <f>'01'!D33</f>
        <v>5.28</v>
      </c>
      <c r="E33" s="97"/>
      <c r="F33" s="864">
        <v>0</v>
      </c>
      <c r="G33" s="110">
        <f>E33+'20'!G33</f>
        <v>0</v>
      </c>
      <c r="H33" s="110">
        <f>F33+'20'!H33</f>
        <v>0</v>
      </c>
      <c r="I33" s="99"/>
      <c r="J33" s="865">
        <v>0</v>
      </c>
      <c r="K33" s="124">
        <f>J33+'20'!K33</f>
        <v>0</v>
      </c>
      <c r="L33" s="127">
        <f t="shared" si="2"/>
        <v>5.28</v>
      </c>
      <c r="M33" s="421"/>
      <c r="N33" s="438"/>
      <c r="O33" s="906"/>
      <c r="P33" s="907"/>
      <c r="Q33" s="594"/>
      <c r="R33" s="594"/>
      <c r="S33" s="620"/>
      <c r="T33" s="151"/>
    </row>
    <row r="34" spans="1:21" s="120" customFormat="1" hidden="1" outlineLevel="1">
      <c r="A34" s="123" t="s">
        <v>50</v>
      </c>
      <c r="B34" s="119" t="s">
        <v>9</v>
      </c>
      <c r="C34" s="96"/>
      <c r="D34" s="149">
        <f>'01'!D34</f>
        <v>0</v>
      </c>
      <c r="E34" s="97"/>
      <c r="F34" s="864">
        <v>0</v>
      </c>
      <c r="G34" s="110">
        <f>E34+'20'!G34</f>
        <v>0</v>
      </c>
      <c r="H34" s="110">
        <f>F34+'20'!H34</f>
        <v>0</v>
      </c>
      <c r="I34" s="99"/>
      <c r="J34" s="865"/>
      <c r="K34" s="124">
        <f>J34+'20'!K34</f>
        <v>0</v>
      </c>
      <c r="L34" s="127">
        <f t="shared" si="2"/>
        <v>0</v>
      </c>
      <c r="M34" s="421"/>
      <c r="N34" s="438"/>
      <c r="O34" s="906"/>
      <c r="P34" s="907"/>
      <c r="Q34" s="594"/>
      <c r="R34" s="594"/>
      <c r="S34" s="620"/>
      <c r="T34" s="151"/>
    </row>
    <row r="35" spans="1:21" s="120" customFormat="1" hidden="1" outlineLevel="1">
      <c r="A35" s="251"/>
      <c r="B35" s="119" t="s">
        <v>9</v>
      </c>
      <c r="C35" s="96"/>
      <c r="D35" s="96"/>
      <c r="E35" s="97"/>
      <c r="F35" s="864">
        <f>J35</f>
        <v>0</v>
      </c>
      <c r="G35" s="110">
        <f>E35+'20'!G35</f>
        <v>0</v>
      </c>
      <c r="H35" s="110">
        <f>F35+'20'!H35</f>
        <v>0</v>
      </c>
      <c r="I35" s="99"/>
      <c r="J35" s="865"/>
      <c r="K35" s="124">
        <f>J35+'20'!K35</f>
        <v>0</v>
      </c>
      <c r="L35" s="127">
        <f t="shared" si="2"/>
        <v>0</v>
      </c>
      <c r="M35" s="421"/>
      <c r="N35" s="438"/>
      <c r="O35" s="906"/>
      <c r="P35" s="907"/>
      <c r="Q35" s="594"/>
      <c r="R35" s="594"/>
      <c r="S35" s="620"/>
      <c r="T35" s="151"/>
    </row>
    <row r="36" spans="1:21" s="120" customFormat="1" hidden="1" outlineLevel="1">
      <c r="A36" s="734" t="s">
        <v>234</v>
      </c>
      <c r="B36" s="119" t="s">
        <v>9</v>
      </c>
      <c r="C36" s="170">
        <f>'01'!C36</f>
        <v>3500</v>
      </c>
      <c r="D36" s="170">
        <f>'01'!D36</f>
        <v>1673.24</v>
      </c>
      <c r="E36" s="97"/>
      <c r="F36" s="864">
        <f>J36</f>
        <v>0</v>
      </c>
      <c r="G36" s="110">
        <f>E36+'20'!G36</f>
        <v>0</v>
      </c>
      <c r="H36" s="110">
        <f>F36+'20'!H36</f>
        <v>0</v>
      </c>
      <c r="I36" s="99"/>
      <c r="J36" s="110">
        <v>0</v>
      </c>
      <c r="K36" s="124">
        <f>J36+'20'!K36</f>
        <v>0</v>
      </c>
      <c r="L36" s="127">
        <f t="shared" si="2"/>
        <v>1673.24</v>
      </c>
      <c r="M36" s="421"/>
      <c r="N36" s="438"/>
      <c r="O36" s="906"/>
      <c r="P36" s="907"/>
      <c r="Q36" s="594"/>
      <c r="R36" s="594"/>
      <c r="S36" s="620"/>
      <c r="T36" s="151"/>
      <c r="U36" s="999"/>
    </row>
    <row r="37" spans="1:21" s="120" customFormat="1" hidden="1" outlineLevel="1">
      <c r="A37" s="734" t="s">
        <v>235</v>
      </c>
      <c r="B37" s="119" t="s">
        <v>9</v>
      </c>
      <c r="C37" s="170">
        <f>'01'!C37</f>
        <v>0</v>
      </c>
      <c r="D37" s="170">
        <f>'01'!D37</f>
        <v>294.63999999999987</v>
      </c>
      <c r="E37" s="97"/>
      <c r="F37" s="864">
        <f>J37</f>
        <v>0</v>
      </c>
      <c r="G37" s="110">
        <f>E37+'20'!G37</f>
        <v>0</v>
      </c>
      <c r="H37" s="110">
        <f>F37+'20'!H37</f>
        <v>0</v>
      </c>
      <c r="I37" s="99"/>
      <c r="J37" s="110">
        <v>0</v>
      </c>
      <c r="K37" s="124">
        <f>J37+'20'!K37</f>
        <v>0</v>
      </c>
      <c r="L37" s="127">
        <f t="shared" si="2"/>
        <v>294.63999999999987</v>
      </c>
      <c r="M37" s="421"/>
      <c r="N37" s="438"/>
      <c r="O37" s="906"/>
      <c r="P37" s="907"/>
      <c r="Q37" s="594"/>
      <c r="R37" s="594"/>
      <c r="S37" s="620"/>
      <c r="T37" s="151"/>
    </row>
    <row r="38" spans="1:21" collapsed="1">
      <c r="A38" s="674" t="s">
        <v>66</v>
      </c>
      <c r="B38" s="675" t="s">
        <v>9</v>
      </c>
      <c r="C38" s="311">
        <f>'01'!C38</f>
        <v>153958.10705780028</v>
      </c>
      <c r="D38" s="311">
        <f>'01'!D38</f>
        <v>1756.9829593932955</v>
      </c>
      <c r="E38" s="97">
        <f>C38/31</f>
        <v>4966.3905502516218</v>
      </c>
      <c r="F38" s="671">
        <f>SUM(F39:F42)</f>
        <v>0</v>
      </c>
      <c r="G38" s="676">
        <f>E38+'20'!G38</f>
        <v>104294.2015552841</v>
      </c>
      <c r="H38" s="676">
        <f>F38+'20'!H38</f>
        <v>9132.5707721894778</v>
      </c>
      <c r="I38" s="760">
        <f>IFERROR((H38/G38),0)</f>
        <v>8.756546994943433E-2</v>
      </c>
      <c r="J38" s="954">
        <f>SUM(J39:J40)</f>
        <v>0</v>
      </c>
      <c r="K38" s="677">
        <f>J38+'20'!K38</f>
        <v>9083.5707721894778</v>
      </c>
      <c r="L38" s="311">
        <f>D38+H38-K38</f>
        <v>1805.9829593932955</v>
      </c>
      <c r="M38" s="198"/>
      <c r="N38" s="117"/>
      <c r="O38" s="1125"/>
      <c r="P38" s="1126"/>
      <c r="Q38" s="595"/>
      <c r="R38" s="590"/>
      <c r="S38" s="618"/>
      <c r="T38" s="118"/>
    </row>
    <row r="39" spans="1:21" ht="15.75" customHeight="1">
      <c r="A39" s="103" t="s">
        <v>91</v>
      </c>
      <c r="B39" s="119" t="s">
        <v>9</v>
      </c>
      <c r="C39" s="149"/>
      <c r="D39" s="149"/>
      <c r="E39" s="134"/>
      <c r="F39" s="110">
        <v>0</v>
      </c>
      <c r="G39" s="110"/>
      <c r="H39" s="110">
        <f>F39+'20'!H39</f>
        <v>6840.5707721894778</v>
      </c>
      <c r="I39" s="138"/>
      <c r="J39" s="750">
        <f>F39</f>
        <v>0</v>
      </c>
      <c r="K39" s="124">
        <f>J39+'20'!K39</f>
        <v>6840.5707721894778</v>
      </c>
      <c r="L39" s="149"/>
      <c r="M39" s="198"/>
      <c r="N39" s="117"/>
      <c r="O39" s="1125"/>
      <c r="P39" s="1126"/>
      <c r="Q39" s="595"/>
      <c r="R39" s="590"/>
      <c r="S39" s="618"/>
      <c r="T39" s="118"/>
    </row>
    <row r="40" spans="1:21" ht="15.75" customHeight="1">
      <c r="A40" s="103" t="s">
        <v>109</v>
      </c>
      <c r="B40" s="119" t="s">
        <v>9</v>
      </c>
      <c r="C40" s="149"/>
      <c r="D40" s="149"/>
      <c r="E40" s="134"/>
      <c r="F40" s="110">
        <v>0</v>
      </c>
      <c r="G40" s="110"/>
      <c r="H40" s="110">
        <f>F40+'20'!H40</f>
        <v>2292</v>
      </c>
      <c r="I40" s="138"/>
      <c r="J40" s="178">
        <v>0</v>
      </c>
      <c r="K40" s="124">
        <f>J40+'20'!K40</f>
        <v>2243</v>
      </c>
      <c r="L40" s="149"/>
      <c r="M40" s="198"/>
      <c r="N40" s="117"/>
      <c r="O40" s="1125"/>
      <c r="P40" s="1126"/>
      <c r="Q40" s="595"/>
      <c r="R40" s="590"/>
      <c r="S40" s="618"/>
      <c r="T40" s="118"/>
    </row>
    <row r="41" spans="1:21" ht="15.75" hidden="1" customHeight="1" outlineLevel="1">
      <c r="A41" s="103" t="s">
        <v>67</v>
      </c>
      <c r="B41" s="119" t="s">
        <v>9</v>
      </c>
      <c r="C41" s="149"/>
      <c r="D41" s="149"/>
      <c r="E41" s="134"/>
      <c r="F41" s="110"/>
      <c r="G41" s="110"/>
      <c r="H41" s="110">
        <f>F41+'20'!H41</f>
        <v>0</v>
      </c>
      <c r="I41" s="138"/>
      <c r="J41" s="178"/>
      <c r="K41" s="124">
        <f>J41+'20'!K41</f>
        <v>0</v>
      </c>
      <c r="L41" s="149"/>
      <c r="M41" s="198"/>
      <c r="N41" s="117"/>
      <c r="O41" s="1125"/>
      <c r="P41" s="1126"/>
      <c r="Q41" s="595"/>
      <c r="R41" s="590"/>
      <c r="S41" s="618"/>
      <c r="T41" s="118"/>
    </row>
    <row r="42" spans="1:21" ht="15.75" hidden="1" customHeight="1" outlineLevel="1">
      <c r="A42" s="103" t="s">
        <v>68</v>
      </c>
      <c r="B42" s="119" t="s">
        <v>9</v>
      </c>
      <c r="C42" s="149"/>
      <c r="D42" s="149"/>
      <c r="E42" s="134"/>
      <c r="F42" s="110"/>
      <c r="G42" s="110"/>
      <c r="H42" s="110">
        <f>F42+'20'!H42</f>
        <v>0</v>
      </c>
      <c r="I42" s="138"/>
      <c r="J42" s="178"/>
      <c r="K42" s="124">
        <f>J42+'20'!K42</f>
        <v>0</v>
      </c>
      <c r="L42" s="149"/>
      <c r="M42" s="198"/>
      <c r="N42" s="117"/>
      <c r="O42" s="1125"/>
      <c r="P42" s="1126"/>
      <c r="Q42" s="595"/>
      <c r="R42" s="590"/>
      <c r="S42" s="618"/>
      <c r="T42" s="118"/>
    </row>
    <row r="43" spans="1:21" ht="15.75" customHeight="1" collapsed="1">
      <c r="A43" s="74" t="s">
        <v>63</v>
      </c>
      <c r="B43" s="9" t="s">
        <v>9</v>
      </c>
      <c r="C43" s="149">
        <f>'01'!C43</f>
        <v>96601.878796744204</v>
      </c>
      <c r="D43" s="149"/>
      <c r="E43" s="313">
        <f>C43/30</f>
        <v>3220.06262655814</v>
      </c>
      <c r="F43" s="110">
        <v>0</v>
      </c>
      <c r="G43" s="110">
        <f>E43+'20'!G43</f>
        <v>67621.315157720921</v>
      </c>
      <c r="H43" s="110">
        <f>F43+'20'!H43</f>
        <v>8403.7999999999993</v>
      </c>
      <c r="I43" s="138">
        <f>IFERROR((H43/G43),0)</f>
        <v>0.12427738177524138</v>
      </c>
      <c r="J43" s="178">
        <f>F43</f>
        <v>0</v>
      </c>
      <c r="K43" s="124">
        <f>J43+'20'!K43</f>
        <v>8403.7999999999993</v>
      </c>
      <c r="L43" s="149">
        <f>D43+H43-K43</f>
        <v>0</v>
      </c>
      <c r="M43" s="198"/>
      <c r="N43" s="117"/>
      <c r="O43" s="1125"/>
      <c r="P43" s="1126"/>
      <c r="Q43" s="595"/>
      <c r="R43" s="590"/>
      <c r="S43" s="618"/>
      <c r="T43" s="118"/>
    </row>
    <row r="44" spans="1:21" s="120" customFormat="1">
      <c r="A44" s="103" t="s">
        <v>69</v>
      </c>
      <c r="B44" s="119" t="s">
        <v>9</v>
      </c>
      <c r="C44" s="149">
        <f>'01'!C44</f>
        <v>40846.933088751408</v>
      </c>
      <c r="D44" s="149">
        <f>'01'!D44</f>
        <v>3759.4565289122183</v>
      </c>
      <c r="E44" s="706">
        <f>C44/30</f>
        <v>1361.5644362917135</v>
      </c>
      <c r="F44" s="110">
        <v>0</v>
      </c>
      <c r="G44" s="110">
        <f>E44+'20'!G44</f>
        <v>28592.853162125972</v>
      </c>
      <c r="H44" s="110">
        <f>F44+'20'!H44</f>
        <v>7255</v>
      </c>
      <c r="I44" s="138">
        <f>IFERROR((H44/G44),0)</f>
        <v>0.25373473430101606</v>
      </c>
      <c r="J44" s="178">
        <v>0</v>
      </c>
      <c r="K44" s="124">
        <f>J44+'20'!K44</f>
        <v>4780.2485953962823</v>
      </c>
      <c r="L44" s="149">
        <f>D44+H44-K44</f>
        <v>6234.207933515936</v>
      </c>
      <c r="M44" s="198"/>
      <c r="N44" s="117"/>
      <c r="O44" s="1125"/>
      <c r="P44" s="1126"/>
      <c r="Q44" s="595"/>
      <c r="R44" s="594"/>
      <c r="S44" s="618"/>
      <c r="T44" s="93"/>
    </row>
    <row r="45" spans="1:21" s="120" customFormat="1" hidden="1" outlineLevel="1">
      <c r="A45" s="103" t="s">
        <v>70</v>
      </c>
      <c r="B45" s="119"/>
      <c r="C45" s="149"/>
      <c r="D45" s="149"/>
      <c r="E45" s="706"/>
      <c r="F45" s="110">
        <v>0</v>
      </c>
      <c r="G45" s="110"/>
      <c r="H45" s="110">
        <f>F45+'20'!H45</f>
        <v>0</v>
      </c>
      <c r="I45" s="138"/>
      <c r="J45" s="178"/>
      <c r="K45" s="124">
        <f>J45+'20'!K45</f>
        <v>0</v>
      </c>
      <c r="L45" s="149"/>
      <c r="M45" s="198"/>
      <c r="N45" s="117"/>
      <c r="O45" s="1125"/>
      <c r="P45" s="1126"/>
      <c r="Q45" s="595"/>
      <c r="R45" s="594"/>
      <c r="S45" s="618"/>
      <c r="T45" s="93"/>
    </row>
    <row r="46" spans="1:21" s="120" customFormat="1" hidden="1" outlineLevel="1">
      <c r="A46" s="103" t="s">
        <v>71</v>
      </c>
      <c r="B46" s="119"/>
      <c r="C46" s="149"/>
      <c r="D46" s="149"/>
      <c r="E46" s="706"/>
      <c r="F46" s="110"/>
      <c r="G46" s="110"/>
      <c r="H46" s="110">
        <f>F46+'20'!H46</f>
        <v>0</v>
      </c>
      <c r="I46" s="138"/>
      <c r="J46" s="178"/>
      <c r="K46" s="124">
        <f>J46+'20'!K46</f>
        <v>0</v>
      </c>
      <c r="L46" s="149"/>
      <c r="M46" s="198"/>
      <c r="N46" s="117"/>
      <c r="O46" s="1125"/>
      <c r="P46" s="1126"/>
      <c r="Q46" s="595"/>
      <c r="R46" s="594"/>
      <c r="S46" s="618"/>
      <c r="T46" s="93"/>
    </row>
    <row r="47" spans="1:21" s="120" customFormat="1" hidden="1" outlineLevel="1">
      <c r="A47" s="103" t="s">
        <v>72</v>
      </c>
      <c r="B47" s="119"/>
      <c r="C47" s="149"/>
      <c r="D47" s="149"/>
      <c r="E47" s="706"/>
      <c r="F47" s="110"/>
      <c r="G47" s="110"/>
      <c r="H47" s="110">
        <f>F47+'20'!H47</f>
        <v>0</v>
      </c>
      <c r="I47" s="138"/>
      <c r="J47" s="178"/>
      <c r="K47" s="124">
        <f>J47+'20'!K47</f>
        <v>0</v>
      </c>
      <c r="L47" s="149"/>
      <c r="M47" s="198"/>
      <c r="N47" s="117"/>
      <c r="O47" s="1125"/>
      <c r="P47" s="1126"/>
      <c r="Q47" s="595"/>
      <c r="R47" s="594"/>
      <c r="S47" s="618"/>
      <c r="T47" s="93"/>
    </row>
    <row r="48" spans="1:21" s="120" customFormat="1" collapsed="1">
      <c r="A48" s="103" t="s">
        <v>106</v>
      </c>
      <c r="B48" s="119" t="s">
        <v>9</v>
      </c>
      <c r="C48" s="149">
        <f>'01'!C48</f>
        <v>238663.46526254449</v>
      </c>
      <c r="D48" s="149">
        <f>'01'!D48</f>
        <v>14554.971764167974</v>
      </c>
      <c r="E48" s="706">
        <f>C48/30</f>
        <v>7955.4488420848165</v>
      </c>
      <c r="F48" s="110">
        <v>0</v>
      </c>
      <c r="G48" s="110">
        <f>E48+'20'!G48</f>
        <v>167064.42568378118</v>
      </c>
      <c r="H48" s="110">
        <f>F48+'20'!H48</f>
        <v>15244.370772189477</v>
      </c>
      <c r="I48" s="138">
        <f>IFERROR((H48/G48),0)</f>
        <v>9.1248455257877309E-2</v>
      </c>
      <c r="J48" s="750">
        <v>0</v>
      </c>
      <c r="K48" s="124">
        <f>J48+'20'!K48</f>
        <v>27730.381517661059</v>
      </c>
      <c r="L48" s="149">
        <f>D48+H48-K48</f>
        <v>2068.961018696391</v>
      </c>
      <c r="M48" s="198"/>
      <c r="N48" s="117"/>
      <c r="O48" s="1125"/>
      <c r="P48" s="1126"/>
      <c r="Q48" s="595"/>
      <c r="R48" s="594"/>
      <c r="S48" s="618"/>
      <c r="T48" s="93"/>
    </row>
    <row r="49" spans="1:26" s="120" customFormat="1">
      <c r="A49" s="103" t="s">
        <v>107</v>
      </c>
      <c r="B49" s="119" t="s">
        <v>9</v>
      </c>
      <c r="C49" s="149">
        <f>C50+C51</f>
        <v>256898.95024371953</v>
      </c>
      <c r="D49" s="149">
        <f>D50+D51</f>
        <v>6890.3919969842718</v>
      </c>
      <c r="E49" s="134">
        <f>SUM(E50:E51)</f>
        <v>0</v>
      </c>
      <c r="F49" s="110">
        <f>SUM(F50:F51)</f>
        <v>0</v>
      </c>
      <c r="G49" s="110">
        <f>SUM(G50:G51)</f>
        <v>162898.95024371953</v>
      </c>
      <c r="H49" s="110">
        <f>SUM(H50:H51)</f>
        <v>32176.186994748638</v>
      </c>
      <c r="I49" s="138">
        <f>IFERROR((H49/G49),0)</f>
        <v>0.19752237167034273</v>
      </c>
      <c r="J49" s="178">
        <f>SUM(J50:J51)</f>
        <v>0</v>
      </c>
      <c r="K49" s="124">
        <f>SUM(K50:K51)</f>
        <v>26069.180673341318</v>
      </c>
      <c r="L49" s="149">
        <f>D49+H49-K49+M49</f>
        <v>12997.398318391592</v>
      </c>
      <c r="M49" s="405"/>
      <c r="N49" s="121"/>
      <c r="O49" s="1169"/>
      <c r="P49" s="1170"/>
      <c r="Q49" s="596"/>
      <c r="R49" s="594"/>
      <c r="S49" s="590"/>
      <c r="T49" s="93"/>
    </row>
    <row r="50" spans="1:26">
      <c r="A50" s="123" t="s">
        <v>61</v>
      </c>
      <c r="B50" s="119" t="s">
        <v>9</v>
      </c>
      <c r="C50" s="149">
        <f>'01'!C50</f>
        <v>0</v>
      </c>
      <c r="D50" s="149">
        <f>'01'!D50</f>
        <v>2323.23</v>
      </c>
      <c r="E50" s="134">
        <v>0</v>
      </c>
      <c r="F50" s="110"/>
      <c r="G50" s="110">
        <f>E50+'20'!G50</f>
        <v>0</v>
      </c>
      <c r="H50" s="110">
        <f>F50+'20'!H50</f>
        <v>0</v>
      </c>
      <c r="I50" s="138">
        <f>IFERROR((H50/G50),0)</f>
        <v>0</v>
      </c>
      <c r="J50" s="178"/>
      <c r="K50" s="124">
        <f>J50+'20'!K50</f>
        <v>0</v>
      </c>
      <c r="L50" s="149">
        <f>D50+H50-K50+M50</f>
        <v>2323.23</v>
      </c>
      <c r="M50" s="405"/>
      <c r="N50" s="121"/>
      <c r="O50" s="1169"/>
      <c r="P50" s="1170"/>
      <c r="Q50" s="596"/>
      <c r="R50" s="590"/>
      <c r="S50" s="618"/>
      <c r="T50" s="93"/>
    </row>
    <row r="51" spans="1:26">
      <c r="A51" s="123" t="s">
        <v>62</v>
      </c>
      <c r="B51" s="119" t="s">
        <v>9</v>
      </c>
      <c r="C51" s="149">
        <f>'01'!C51</f>
        <v>256898.95024371953</v>
      </c>
      <c r="D51" s="149">
        <f>'01'!D51</f>
        <v>4567.1619969842723</v>
      </c>
      <c r="E51" s="134">
        <v>0</v>
      </c>
      <c r="F51" s="110">
        <v>0</v>
      </c>
      <c r="G51" s="110">
        <f>E51+'20'!G51</f>
        <v>162898.95024371953</v>
      </c>
      <c r="H51" s="110">
        <f>F51+'20'!H51</f>
        <v>32176.186994748638</v>
      </c>
      <c r="I51" s="138">
        <f>IFERROR((H51/G51),0)</f>
        <v>0.19752237167034273</v>
      </c>
      <c r="J51" s="178">
        <f>O51-P51</f>
        <v>0</v>
      </c>
      <c r="K51" s="124">
        <f>J51+'20'!K51</f>
        <v>26069.180673341318</v>
      </c>
      <c r="L51" s="149">
        <f>D51+H51-K51+M51</f>
        <v>10674.168318391596</v>
      </c>
      <c r="M51" s="405"/>
      <c r="N51" s="121"/>
      <c r="O51" s="178">
        <v>0</v>
      </c>
      <c r="P51" s="668">
        <f>O51*0.055</f>
        <v>0</v>
      </c>
      <c r="Q51" s="596"/>
      <c r="R51" s="590"/>
      <c r="S51" s="618"/>
      <c r="T51" s="846"/>
      <c r="Y51" s="1069" t="s">
        <v>110</v>
      </c>
      <c r="Z51" s="704">
        <f>L54</f>
        <v>12209.579158431603</v>
      </c>
    </row>
    <row r="52" spans="1:26" s="120" customFormat="1">
      <c r="A52" s="94" t="s">
        <v>41</v>
      </c>
      <c r="B52" s="95" t="s">
        <v>9</v>
      </c>
      <c r="C52" s="149">
        <f>'01'!C52</f>
        <v>0</v>
      </c>
      <c r="D52" s="149">
        <f>'01'!D52</f>
        <v>0</v>
      </c>
      <c r="E52" s="97"/>
      <c r="F52" s="98"/>
      <c r="G52" s="110"/>
      <c r="H52" s="110"/>
      <c r="I52" s="99"/>
      <c r="J52" s="177"/>
      <c r="K52" s="124"/>
      <c r="L52" s="96"/>
      <c r="M52" s="198"/>
      <c r="N52" s="117"/>
      <c r="O52" s="1125"/>
      <c r="P52" s="1126"/>
      <c r="Q52" s="595"/>
      <c r="R52" s="594"/>
      <c r="S52" s="590"/>
      <c r="T52" s="93"/>
      <c r="Y52" s="1077" t="s">
        <v>258</v>
      </c>
      <c r="Z52" s="1082">
        <f>L55</f>
        <v>2640.6039748618332</v>
      </c>
    </row>
    <row r="53" spans="1:26" s="114" customFormat="1" hidden="1">
      <c r="A53" s="125" t="s">
        <v>43</v>
      </c>
      <c r="B53" s="126" t="s">
        <v>9</v>
      </c>
      <c r="C53" s="149">
        <f>'01'!C53</f>
        <v>0</v>
      </c>
      <c r="D53" s="149">
        <f>'01'!D53</f>
        <v>0</v>
      </c>
      <c r="E53" s="250">
        <f t="shared" ref="E53:E58" si="3">C53/$Q$2</f>
        <v>0</v>
      </c>
      <c r="F53" s="131">
        <v>0</v>
      </c>
      <c r="G53" s="98">
        <f>E53+'20'!G53</f>
        <v>0</v>
      </c>
      <c r="H53" s="110">
        <f>F53+'20'!H53</f>
        <v>0</v>
      </c>
      <c r="I53" s="759">
        <f t="shared" ref="I53:I58" si="4">IFERROR((H53/G53),0)</f>
        <v>0</v>
      </c>
      <c r="J53" s="754"/>
      <c r="K53" s="124">
        <f>J53+'20'!K53</f>
        <v>0</v>
      </c>
      <c r="L53" s="127">
        <f t="shared" ref="L53:L63" si="5">D53+H53-K53</f>
        <v>0</v>
      </c>
      <c r="M53" s="185"/>
      <c r="N53" s="128"/>
      <c r="O53" s="1113"/>
      <c r="P53" s="1114"/>
      <c r="Q53" s="597"/>
      <c r="R53" s="154"/>
      <c r="S53" s="619"/>
      <c r="T53" s="93"/>
      <c r="Y53" s="1070"/>
      <c r="Z53" s="1071"/>
    </row>
    <row r="54" spans="1:26" s="114" customFormat="1">
      <c r="A54" s="125" t="s">
        <v>42</v>
      </c>
      <c r="B54" s="126" t="s">
        <v>9</v>
      </c>
      <c r="C54" s="149">
        <f>'01'!C54</f>
        <v>10000</v>
      </c>
      <c r="D54" s="149">
        <f>'01'!D54</f>
        <v>13684.915881223626</v>
      </c>
      <c r="E54" s="250">
        <f t="shared" si="3"/>
        <v>322.58064516129031</v>
      </c>
      <c r="F54" s="131">
        <v>0</v>
      </c>
      <c r="G54" s="110">
        <f>E54+'20'!G54</f>
        <v>6774.1935483870993</v>
      </c>
      <c r="H54" s="110">
        <f>F54+'20'!H54</f>
        <v>0</v>
      </c>
      <c r="I54" s="759">
        <f t="shared" si="4"/>
        <v>0</v>
      </c>
      <c r="J54" s="754">
        <v>0</v>
      </c>
      <c r="K54" s="124">
        <f>J54+'20'!K54</f>
        <v>1475.3367227920221</v>
      </c>
      <c r="L54" s="127">
        <f t="shared" si="5"/>
        <v>12209.579158431603</v>
      </c>
      <c r="M54" s="185"/>
      <c r="N54" s="128"/>
      <c r="O54" s="1113"/>
      <c r="P54" s="1114"/>
      <c r="Q54" s="597"/>
      <c r="R54" s="154"/>
      <c r="S54" s="619"/>
      <c r="T54" s="93"/>
      <c r="Y54" s="1070" t="s">
        <v>259</v>
      </c>
      <c r="Z54" s="305">
        <f>L63</f>
        <v>5722.792418496927</v>
      </c>
    </row>
    <row r="55" spans="1:26" s="114" customFormat="1">
      <c r="A55" s="125" t="s">
        <v>149</v>
      </c>
      <c r="B55" s="126" t="s">
        <v>9</v>
      </c>
      <c r="C55" s="149">
        <f>'01'!C55</f>
        <v>17000</v>
      </c>
      <c r="D55" s="149">
        <f>'01'!D55</f>
        <v>3999.5665967852347</v>
      </c>
      <c r="E55" s="250">
        <f t="shared" si="3"/>
        <v>548.38709677419354</v>
      </c>
      <c r="F55" s="131">
        <v>0</v>
      </c>
      <c r="G55" s="110">
        <f>E55+'20'!G55</f>
        <v>11516.129032258061</v>
      </c>
      <c r="H55" s="110">
        <f>F55+'20'!H55</f>
        <v>0</v>
      </c>
      <c r="I55" s="759">
        <f t="shared" si="4"/>
        <v>0</v>
      </c>
      <c r="J55" s="754">
        <v>0</v>
      </c>
      <c r="K55" s="124">
        <f>J55+'20'!K55</f>
        <v>1358.9626219234012</v>
      </c>
      <c r="L55" s="127">
        <f t="shared" si="5"/>
        <v>2640.6039748618332</v>
      </c>
      <c r="M55" s="185"/>
      <c r="N55" s="128"/>
      <c r="O55" s="1113"/>
      <c r="P55" s="1114"/>
      <c r="Q55" s="597"/>
      <c r="R55" s="598">
        <f>D55+H55-K55</f>
        <v>2640.6039748618332</v>
      </c>
      <c r="S55" s="619"/>
      <c r="T55" s="93"/>
      <c r="Y55" s="1070" t="s">
        <v>58</v>
      </c>
      <c r="Z55" s="305">
        <f>L58</f>
        <v>3480.6937513418743</v>
      </c>
    </row>
    <row r="56" spans="1:26" s="114" customFormat="1" hidden="1">
      <c r="A56" s="125" t="s">
        <v>194</v>
      </c>
      <c r="B56" s="126" t="s">
        <v>9</v>
      </c>
      <c r="C56" s="149">
        <f>'01'!C56</f>
        <v>0</v>
      </c>
      <c r="D56" s="149">
        <f>'01'!D56</f>
        <v>0</v>
      </c>
      <c r="E56" s="250">
        <f t="shared" si="3"/>
        <v>0</v>
      </c>
      <c r="F56" s="131">
        <v>0</v>
      </c>
      <c r="G56" s="110">
        <f>E56+'20'!G56</f>
        <v>0</v>
      </c>
      <c r="H56" s="110">
        <f>F56+'20'!H56</f>
        <v>0</v>
      </c>
      <c r="I56" s="759">
        <f t="shared" si="4"/>
        <v>0</v>
      </c>
      <c r="J56" s="754"/>
      <c r="K56" s="124">
        <f>J56+'20'!K56</f>
        <v>0</v>
      </c>
      <c r="L56" s="127">
        <f t="shared" si="5"/>
        <v>0</v>
      </c>
      <c r="M56" s="185"/>
      <c r="N56" s="128"/>
      <c r="O56" s="1113"/>
      <c r="P56" s="1114"/>
      <c r="Q56" s="597"/>
      <c r="R56" s="154"/>
      <c r="S56" s="619"/>
      <c r="T56" s="93"/>
      <c r="Y56" s="1070"/>
      <c r="Z56" s="1071"/>
    </row>
    <row r="57" spans="1:26" s="114" customFormat="1">
      <c r="A57" s="125" t="s">
        <v>52</v>
      </c>
      <c r="B57" s="126" t="s">
        <v>9</v>
      </c>
      <c r="C57" s="149">
        <f>'01'!C57</f>
        <v>0</v>
      </c>
      <c r="D57" s="149">
        <f>'01'!D57</f>
        <v>178.07499999999999</v>
      </c>
      <c r="E57" s="250">
        <f t="shared" si="3"/>
        <v>0</v>
      </c>
      <c r="F57" s="131">
        <v>0</v>
      </c>
      <c r="G57" s="110">
        <f>E57+'20'!G57</f>
        <v>0</v>
      </c>
      <c r="H57" s="110">
        <f>F57+'20'!H57</f>
        <v>0</v>
      </c>
      <c r="I57" s="759">
        <f t="shared" si="4"/>
        <v>0</v>
      </c>
      <c r="J57" s="754"/>
      <c r="K57" s="124">
        <f>J57+'20'!K57</f>
        <v>0</v>
      </c>
      <c r="L57" s="127">
        <f t="shared" si="5"/>
        <v>178.07499999999999</v>
      </c>
      <c r="M57" s="185"/>
      <c r="N57" s="128"/>
      <c r="O57" s="1113"/>
      <c r="P57" s="1114"/>
      <c r="Q57" s="597"/>
      <c r="R57" s="154"/>
      <c r="S57" s="619"/>
      <c r="T57" s="93"/>
      <c r="Y57" s="1070" t="s">
        <v>260</v>
      </c>
      <c r="Z57" s="305">
        <f>L59</f>
        <v>4269.0880030013104</v>
      </c>
    </row>
    <row r="58" spans="1:26" s="114" customFormat="1">
      <c r="A58" s="125" t="s">
        <v>59</v>
      </c>
      <c r="B58" s="126" t="s">
        <v>9</v>
      </c>
      <c r="C58" s="149">
        <f>'01'!C58</f>
        <v>0</v>
      </c>
      <c r="D58" s="149">
        <f>'01'!D58</f>
        <v>3480.6937513418743</v>
      </c>
      <c r="E58" s="250">
        <f t="shared" si="3"/>
        <v>0</v>
      </c>
      <c r="F58" s="131">
        <v>0</v>
      </c>
      <c r="G58" s="110">
        <f>E58+'20'!G58</f>
        <v>0</v>
      </c>
      <c r="H58" s="110">
        <f>F58+'20'!H58</f>
        <v>0</v>
      </c>
      <c r="I58" s="759">
        <f t="shared" si="4"/>
        <v>0</v>
      </c>
      <c r="J58" s="754">
        <v>0</v>
      </c>
      <c r="K58" s="124">
        <f>J58+'20'!K58</f>
        <v>0</v>
      </c>
      <c r="L58" s="127">
        <f t="shared" si="5"/>
        <v>3480.6937513418743</v>
      </c>
      <c r="M58" s="185"/>
      <c r="N58" s="128"/>
      <c r="O58" s="1113"/>
      <c r="P58" s="1114"/>
      <c r="Q58" s="597"/>
      <c r="R58" s="154"/>
      <c r="S58" s="619"/>
      <c r="T58" s="93"/>
      <c r="Y58" s="1070" t="s">
        <v>261</v>
      </c>
      <c r="Z58" s="305">
        <f>L62</f>
        <v>1531.7249999999999</v>
      </c>
    </row>
    <row r="59" spans="1:26" s="114" customFormat="1">
      <c r="A59" s="125" t="s">
        <v>243</v>
      </c>
      <c r="B59" s="126" t="s">
        <v>9</v>
      </c>
      <c r="C59" s="149"/>
      <c r="D59" s="149">
        <f>'01'!D59</f>
        <v>4269.0880030013104</v>
      </c>
      <c r="E59" s="250"/>
      <c r="F59" s="131">
        <v>0</v>
      </c>
      <c r="G59" s="98"/>
      <c r="H59" s="110">
        <f>F59+'20'!H59</f>
        <v>0</v>
      </c>
      <c r="I59" s="759"/>
      <c r="J59" s="754"/>
      <c r="K59" s="124">
        <f>J59+'20'!K59</f>
        <v>0</v>
      </c>
      <c r="L59" s="127">
        <f t="shared" si="5"/>
        <v>4269.0880030013104</v>
      </c>
      <c r="M59" s="185"/>
      <c r="N59" s="128"/>
      <c r="O59" s="1178"/>
      <c r="P59" s="1179"/>
      <c r="Q59" s="597"/>
      <c r="R59" s="154"/>
      <c r="S59" s="619"/>
      <c r="T59" s="93"/>
    </row>
    <row r="60" spans="1:26" s="114" customFormat="1" hidden="1">
      <c r="A60" s="125" t="s">
        <v>114</v>
      </c>
      <c r="B60" s="126" t="s">
        <v>9</v>
      </c>
      <c r="C60" s="149"/>
      <c r="D60" s="149">
        <f>'01'!D60</f>
        <v>0</v>
      </c>
      <c r="E60" s="250"/>
      <c r="F60" s="131"/>
      <c r="G60" s="98"/>
      <c r="H60" s="110">
        <f>F60+'20'!H60</f>
        <v>0</v>
      </c>
      <c r="I60" s="759"/>
      <c r="J60" s="754"/>
      <c r="K60" s="124">
        <f>J60+'20'!K60</f>
        <v>0</v>
      </c>
      <c r="L60" s="127">
        <f t="shared" si="5"/>
        <v>0</v>
      </c>
      <c r="M60" s="185"/>
      <c r="N60" s="128"/>
      <c r="O60" s="1113"/>
      <c r="P60" s="1114"/>
      <c r="Q60" s="597"/>
      <c r="R60" s="154"/>
      <c r="S60" s="619"/>
      <c r="T60" s="93"/>
    </row>
    <row r="61" spans="1:26" s="114" customFormat="1">
      <c r="A61" s="125" t="s">
        <v>83</v>
      </c>
      <c r="B61" s="126" t="s">
        <v>9</v>
      </c>
      <c r="C61" s="149"/>
      <c r="D61" s="149">
        <f>'01'!D61</f>
        <v>1063.653</v>
      </c>
      <c r="E61" s="250"/>
      <c r="F61" s="131"/>
      <c r="G61" s="98"/>
      <c r="H61" s="110">
        <f>F61+'20'!H61</f>
        <v>0</v>
      </c>
      <c r="I61" s="759"/>
      <c r="J61" s="754">
        <f>D139+D141</f>
        <v>0</v>
      </c>
      <c r="K61" s="124">
        <f>J61+'20'!K61</f>
        <v>0</v>
      </c>
      <c r="L61" s="127">
        <f t="shared" si="5"/>
        <v>1063.653</v>
      </c>
      <c r="M61" s="185"/>
      <c r="N61" s="128"/>
      <c r="O61" s="1178"/>
      <c r="P61" s="1179"/>
      <c r="Q61" s="597"/>
      <c r="R61" s="154"/>
      <c r="S61" s="619"/>
      <c r="T61" s="93"/>
    </row>
    <row r="62" spans="1:26" s="114" customFormat="1">
      <c r="A62" s="125" t="s">
        <v>250</v>
      </c>
      <c r="B62" s="126" t="s">
        <v>9</v>
      </c>
      <c r="C62" s="545"/>
      <c r="D62" s="149">
        <f>'01'!D62</f>
        <v>1531.7249999999999</v>
      </c>
      <c r="E62" s="519"/>
      <c r="F62" s="520">
        <v>0</v>
      </c>
      <c r="G62" s="542"/>
      <c r="H62" s="110">
        <f>F62+'20'!H62</f>
        <v>0</v>
      </c>
      <c r="I62" s="522"/>
      <c r="J62" s="754">
        <v>0</v>
      </c>
      <c r="K62" s="124">
        <f>J62+'20'!K62</f>
        <v>0</v>
      </c>
      <c r="L62" s="127">
        <f t="shared" si="5"/>
        <v>1531.7249999999999</v>
      </c>
      <c r="M62" s="524"/>
      <c r="N62" s="525"/>
      <c r="O62" s="1113"/>
      <c r="P62" s="1114"/>
      <c r="Q62" s="597"/>
      <c r="R62" s="154"/>
      <c r="S62" s="619"/>
      <c r="T62" s="93"/>
    </row>
    <row r="63" spans="1:26" s="114" customFormat="1">
      <c r="A63" s="1061" t="s">
        <v>255</v>
      </c>
      <c r="B63" s="126" t="s">
        <v>9</v>
      </c>
      <c r="C63" s="170">
        <f>'01'!C63</f>
        <v>30000</v>
      </c>
      <c r="D63" s="149">
        <f>SUM(D64:D71)</f>
        <v>4405.6171920305842</v>
      </c>
      <c r="E63" s="1058"/>
      <c r="F63" s="1067">
        <v>0</v>
      </c>
      <c r="G63" s="110"/>
      <c r="H63" s="110">
        <f>F63+'20'!H63</f>
        <v>3329.1499999999996</v>
      </c>
      <c r="I63" s="1059"/>
      <c r="J63" s="1065">
        <v>0</v>
      </c>
      <c r="K63" s="668">
        <f>J63+'20'!K63</f>
        <v>2011.9747735336571</v>
      </c>
      <c r="L63" s="149">
        <f t="shared" si="5"/>
        <v>5722.792418496927</v>
      </c>
      <c r="M63" s="524"/>
      <c r="N63" s="525"/>
      <c r="O63" s="1113"/>
      <c r="P63" s="1114"/>
      <c r="Q63" s="597"/>
      <c r="R63" s="154"/>
      <c r="S63" s="619"/>
      <c r="T63" s="93"/>
    </row>
    <row r="64" spans="1:26" s="114" customFormat="1" hidden="1">
      <c r="A64" s="889" t="s">
        <v>224</v>
      </c>
      <c r="B64" s="126" t="s">
        <v>9</v>
      </c>
      <c r="C64" s="545"/>
      <c r="D64" s="149">
        <f>'01'!D64</f>
        <v>452.58776173652768</v>
      </c>
      <c r="E64" s="519"/>
      <c r="F64" s="520"/>
      <c r="G64" s="542"/>
      <c r="H64" s="110">
        <f>F64+'20'!H64</f>
        <v>0</v>
      </c>
      <c r="I64" s="522"/>
      <c r="J64" s="755"/>
      <c r="K64" s="124">
        <f>J64+'20'!K64</f>
        <v>0</v>
      </c>
      <c r="L64" s="127">
        <f>D64+H64-K64</f>
        <v>452.58776173652768</v>
      </c>
      <c r="M64" s="185"/>
      <c r="N64" s="128"/>
      <c r="O64" s="1113"/>
      <c r="P64" s="1114"/>
      <c r="Q64" s="597"/>
      <c r="R64" s="154"/>
      <c r="S64" s="619"/>
      <c r="T64" s="93"/>
    </row>
    <row r="65" spans="1:20" s="114" customFormat="1" hidden="1">
      <c r="A65" s="890" t="s">
        <v>217</v>
      </c>
      <c r="B65" s="126" t="s">
        <v>9</v>
      </c>
      <c r="C65" s="149"/>
      <c r="D65" s="149">
        <f>'01'!D65</f>
        <v>0</v>
      </c>
      <c r="E65" s="250"/>
      <c r="F65" s="131"/>
      <c r="G65" s="98"/>
      <c r="H65" s="110">
        <f>F65+'20'!H65</f>
        <v>0</v>
      </c>
      <c r="I65" s="759"/>
      <c r="J65" s="755"/>
      <c r="K65" s="124">
        <f>J65+'20'!K65</f>
        <v>0</v>
      </c>
      <c r="L65" s="127">
        <f>D65+H65-K65</f>
        <v>0</v>
      </c>
      <c r="M65" s="185"/>
      <c r="N65" s="128"/>
      <c r="O65" s="1113"/>
      <c r="P65" s="1114"/>
      <c r="Q65" s="597"/>
      <c r="R65" s="154"/>
      <c r="S65" s="619"/>
      <c r="T65" s="93"/>
    </row>
    <row r="66" spans="1:20" s="114" customFormat="1" ht="16.5" hidden="1" thickBot="1">
      <c r="A66" s="890" t="s">
        <v>207</v>
      </c>
      <c r="B66" s="126" t="s">
        <v>9</v>
      </c>
      <c r="C66" s="149"/>
      <c r="D66" s="149">
        <f>'01'!D66</f>
        <v>0</v>
      </c>
      <c r="E66" s="250"/>
      <c r="F66" s="131"/>
      <c r="G66" s="98"/>
      <c r="H66" s="110">
        <f>F66+'20'!H66</f>
        <v>0</v>
      </c>
      <c r="I66" s="759"/>
      <c r="J66" s="755"/>
      <c r="K66" s="124">
        <f>J66+'20'!K66</f>
        <v>0</v>
      </c>
      <c r="L66" s="127">
        <f>D66+H66-K66</f>
        <v>0</v>
      </c>
      <c r="M66" s="185"/>
      <c r="N66" s="128"/>
      <c r="O66" s="1113"/>
      <c r="P66" s="1114"/>
      <c r="Q66" s="599"/>
      <c r="R66" s="600"/>
      <c r="S66" s="619"/>
      <c r="T66" s="93"/>
    </row>
    <row r="67" spans="1:20" s="114" customFormat="1" hidden="1">
      <c r="A67" s="890" t="s">
        <v>208</v>
      </c>
      <c r="B67" s="126" t="s">
        <v>9</v>
      </c>
      <c r="C67" s="149"/>
      <c r="D67" s="149">
        <f>'01'!D67</f>
        <v>243.8</v>
      </c>
      <c r="E67" s="250"/>
      <c r="F67" s="131"/>
      <c r="G67" s="98"/>
      <c r="H67" s="110">
        <f>F67+'20'!H67</f>
        <v>0</v>
      </c>
      <c r="I67" s="759"/>
      <c r="J67" s="755"/>
      <c r="K67" s="124">
        <f>J67+'20'!K67</f>
        <v>0</v>
      </c>
      <c r="L67" s="127">
        <f t="shared" ref="L67:L73" si="6">D67+H67-K67</f>
        <v>243.8</v>
      </c>
      <c r="M67" s="577"/>
      <c r="N67" s="578"/>
      <c r="O67" s="1113"/>
      <c r="P67" s="1114"/>
      <c r="Q67" s="129"/>
      <c r="S67" s="113"/>
      <c r="T67" s="93"/>
    </row>
    <row r="68" spans="1:20" s="114" customFormat="1" hidden="1">
      <c r="A68" s="890" t="s">
        <v>220</v>
      </c>
      <c r="B68" s="126" t="s">
        <v>9</v>
      </c>
      <c r="C68" s="149"/>
      <c r="D68" s="149">
        <f>'01'!D68</f>
        <v>0</v>
      </c>
      <c r="E68" s="250"/>
      <c r="F68" s="131"/>
      <c r="G68" s="98"/>
      <c r="H68" s="110">
        <f>F68+'20'!H68</f>
        <v>0</v>
      </c>
      <c r="I68" s="759"/>
      <c r="J68" s="755"/>
      <c r="K68" s="124">
        <f>J68+'20'!K68</f>
        <v>0</v>
      </c>
      <c r="L68" s="127">
        <f t="shared" si="6"/>
        <v>0</v>
      </c>
      <c r="M68" s="577"/>
      <c r="N68" s="578"/>
      <c r="O68" s="1113"/>
      <c r="P68" s="1114"/>
      <c r="Q68" s="129"/>
      <c r="S68" s="113"/>
      <c r="T68" s="93"/>
    </row>
    <row r="69" spans="1:20" s="114" customFormat="1" ht="15.75" hidden="1" customHeight="1">
      <c r="A69" s="890" t="s">
        <v>242</v>
      </c>
      <c r="B69" s="126" t="s">
        <v>9</v>
      </c>
      <c r="C69" s="149"/>
      <c r="D69" s="149">
        <f>'01'!D69</f>
        <v>-14212.944176010715</v>
      </c>
      <c r="E69" s="250"/>
      <c r="F69" s="131">
        <v>0</v>
      </c>
      <c r="G69" s="98"/>
      <c r="H69" s="110">
        <f>F69+'20'!H69</f>
        <v>0</v>
      </c>
      <c r="I69" s="759"/>
      <c r="J69" s="755">
        <v>0</v>
      </c>
      <c r="K69" s="124">
        <f>J69+'20'!K69</f>
        <v>2011.9747735336571</v>
      </c>
      <c r="L69" s="127">
        <f t="shared" si="6"/>
        <v>-16224.918949544372</v>
      </c>
      <c r="M69" s="577"/>
      <c r="N69" s="578"/>
      <c r="O69" s="1181"/>
      <c r="P69" s="1114"/>
      <c r="Q69" s="129"/>
      <c r="S69" s="113"/>
      <c r="T69" s="93"/>
    </row>
    <row r="70" spans="1:20" s="114" customFormat="1" hidden="1">
      <c r="A70" s="890" t="s">
        <v>205</v>
      </c>
      <c r="B70" s="126" t="s">
        <v>9</v>
      </c>
      <c r="C70" s="149"/>
      <c r="D70" s="149">
        <f>'01'!D70</f>
        <v>17922.173606304772</v>
      </c>
      <c r="E70" s="250"/>
      <c r="F70" s="131"/>
      <c r="G70" s="98"/>
      <c r="H70" s="110">
        <f>F70+'20'!H70</f>
        <v>3329.1499999999996</v>
      </c>
      <c r="I70" s="759"/>
      <c r="J70" s="755"/>
      <c r="K70" s="124">
        <f>J70+'20'!K70</f>
        <v>0</v>
      </c>
      <c r="L70" s="127">
        <f t="shared" si="6"/>
        <v>21251.323606304773</v>
      </c>
      <c r="M70" s="577"/>
      <c r="N70" s="578"/>
      <c r="O70" s="1181"/>
      <c r="P70" s="1114"/>
      <c r="Q70" s="129"/>
      <c r="S70" s="113"/>
      <c r="T70" s="93"/>
    </row>
    <row r="71" spans="1:20" s="114" customFormat="1" hidden="1">
      <c r="A71" s="890" t="s">
        <v>228</v>
      </c>
      <c r="B71" s="126" t="s">
        <v>9</v>
      </c>
      <c r="C71" s="149"/>
      <c r="D71" s="149">
        <f>'01'!D71</f>
        <v>0</v>
      </c>
      <c r="E71" s="250"/>
      <c r="F71" s="131"/>
      <c r="G71" s="98"/>
      <c r="H71" s="110">
        <f>F71+'20'!H71</f>
        <v>0</v>
      </c>
      <c r="I71" s="759"/>
      <c r="J71" s="754"/>
      <c r="K71" s="124">
        <f>J71+'20'!K71</f>
        <v>0</v>
      </c>
      <c r="L71" s="127">
        <f t="shared" si="6"/>
        <v>0</v>
      </c>
      <c r="M71" s="577"/>
      <c r="N71" s="578"/>
      <c r="O71" s="1181"/>
      <c r="P71" s="1114"/>
      <c r="Q71" s="129"/>
      <c r="S71" s="113"/>
      <c r="T71" s="93"/>
    </row>
    <row r="72" spans="1:20" s="114" customFormat="1" ht="16.5" thickBot="1">
      <c r="A72" s="383" t="s">
        <v>170</v>
      </c>
      <c r="B72" s="575" t="s">
        <v>9</v>
      </c>
      <c r="C72" s="384"/>
      <c r="D72" s="384">
        <f>'01'!D72</f>
        <v>145.84215184813729</v>
      </c>
      <c r="E72" s="385"/>
      <c r="F72" s="386">
        <f>N82</f>
        <v>0</v>
      </c>
      <c r="G72" s="394"/>
      <c r="H72" s="387">
        <f>F72+'20'!H72</f>
        <v>1911.376034856974</v>
      </c>
      <c r="I72" s="388"/>
      <c r="J72" s="756">
        <f>K131</f>
        <v>0</v>
      </c>
      <c r="K72" s="395">
        <f>J72+'20'!K72</f>
        <v>1866.56160653087</v>
      </c>
      <c r="L72" s="552">
        <f t="shared" si="6"/>
        <v>190.6565801742413</v>
      </c>
      <c r="M72" s="406"/>
      <c r="N72" s="426"/>
      <c r="O72" s="1165"/>
      <c r="P72" s="1166"/>
      <c r="Q72" s="129"/>
      <c r="S72" s="113"/>
      <c r="T72" s="93"/>
    </row>
    <row r="73" spans="1:20" s="114" customFormat="1" ht="16.5" hidden="1" thickBot="1">
      <c r="A73" s="811" t="s">
        <v>171</v>
      </c>
      <c r="B73" s="929"/>
      <c r="C73" s="942"/>
      <c r="D73" s="942">
        <f>'01'!D73</f>
        <v>0</v>
      </c>
      <c r="E73" s="931"/>
      <c r="F73" s="932"/>
      <c r="G73" s="943"/>
      <c r="H73" s="933">
        <f>F73+'20'!H73</f>
        <v>0</v>
      </c>
      <c r="I73" s="934"/>
      <c r="J73" s="931"/>
      <c r="K73" s="935">
        <f>J73+'20'!K73</f>
        <v>0</v>
      </c>
      <c r="L73" s="936">
        <f t="shared" si="6"/>
        <v>0</v>
      </c>
      <c r="M73" s="937"/>
      <c r="N73" s="938"/>
      <c r="O73" s="1167"/>
      <c r="P73" s="1168"/>
      <c r="Q73" s="129"/>
      <c r="S73" s="113"/>
      <c r="T73" s="93"/>
    </row>
    <row r="74" spans="1:20" s="114" customFormat="1" hidden="1">
      <c r="A74" s="638"/>
      <c r="B74" s="639"/>
      <c r="C74" s="299"/>
      <c r="D74" s="299"/>
      <c r="E74" s="641"/>
      <c r="F74" s="642"/>
      <c r="G74" s="667"/>
      <c r="H74" s="191"/>
      <c r="I74" s="643"/>
      <c r="J74" s="641"/>
      <c r="K74" s="644"/>
      <c r="L74" s="645"/>
      <c r="M74" s="646"/>
      <c r="N74" s="647"/>
      <c r="O74" s="648"/>
      <c r="P74" s="649"/>
      <c r="Q74" s="129"/>
      <c r="S74" s="113"/>
      <c r="T74" s="93"/>
    </row>
    <row r="75" spans="1:20" s="114" customFormat="1" hidden="1">
      <c r="A75" s="518"/>
      <c r="B75" s="634"/>
      <c r="C75" s="545"/>
      <c r="D75" s="545"/>
      <c r="E75" s="519"/>
      <c r="F75" s="520"/>
      <c r="G75" s="542"/>
      <c r="H75" s="521"/>
      <c r="I75" s="522"/>
      <c r="J75" s="519"/>
      <c r="K75" s="523"/>
      <c r="L75" s="635"/>
      <c r="M75" s="524"/>
      <c r="N75" s="525"/>
      <c r="O75" s="526"/>
      <c r="P75" s="527"/>
      <c r="Q75" s="129"/>
      <c r="S75" s="113"/>
      <c r="T75" s="93"/>
    </row>
    <row r="76" spans="1:20" s="114" customFormat="1" ht="16.5" hidden="1" thickBot="1">
      <c r="A76" s="383"/>
      <c r="B76" s="575"/>
      <c r="C76" s="384"/>
      <c r="D76" s="384"/>
      <c r="E76" s="385"/>
      <c r="F76" s="386"/>
      <c r="G76" s="394"/>
      <c r="H76" s="387"/>
      <c r="I76" s="388"/>
      <c r="J76" s="385"/>
      <c r="K76" s="395"/>
      <c r="L76" s="552"/>
      <c r="M76" s="406"/>
      <c r="N76" s="426"/>
      <c r="O76" s="512"/>
      <c r="P76" s="513"/>
      <c r="Q76" s="129"/>
      <c r="S76" s="113"/>
      <c r="T76" s="93"/>
    </row>
    <row r="77" spans="1:20" ht="16.5" thickBot="1">
      <c r="A77" s="1099" t="s">
        <v>30</v>
      </c>
      <c r="B77" s="1100"/>
      <c r="C77" s="1100"/>
      <c r="D77" s="1100"/>
      <c r="E77" s="1100"/>
      <c r="F77" s="1100"/>
      <c r="G77" s="1100"/>
      <c r="H77" s="1100"/>
      <c r="I77" s="1100"/>
      <c r="J77" s="1100"/>
      <c r="K77" s="1100"/>
      <c r="L77" s="1100"/>
      <c r="M77" s="1100"/>
      <c r="N77" s="1100"/>
      <c r="O77" s="1100"/>
      <c r="P77" s="1101"/>
      <c r="Q77" s="122"/>
      <c r="T77" s="93"/>
    </row>
    <row r="78" spans="1:20" ht="15.75" customHeight="1" thickBot="1">
      <c r="A78" s="1106" t="s">
        <v>15</v>
      </c>
      <c r="B78" s="1138" t="s">
        <v>6</v>
      </c>
      <c r="C78" s="1140" t="s">
        <v>29</v>
      </c>
      <c r="D78" s="1142" t="s">
        <v>28</v>
      </c>
      <c r="E78" s="1143"/>
      <c r="F78" s="1143"/>
      <c r="G78" s="1143"/>
      <c r="H78" s="1144"/>
      <c r="I78" s="1142" t="s">
        <v>27</v>
      </c>
      <c r="J78" s="1143"/>
      <c r="K78" s="1143"/>
      <c r="L78" s="1143"/>
      <c r="M78" s="1145"/>
      <c r="N78" s="1176" t="s">
        <v>88</v>
      </c>
      <c r="O78" s="1177"/>
      <c r="P78" s="1102" t="s">
        <v>26</v>
      </c>
      <c r="Q78" s="122"/>
      <c r="T78" s="93"/>
    </row>
    <row r="79" spans="1:20" ht="65.25" customHeight="1">
      <c r="A79" s="1107"/>
      <c r="B79" s="1139"/>
      <c r="C79" s="1141"/>
      <c r="D79" s="908" t="s">
        <v>25</v>
      </c>
      <c r="E79" s="911" t="s">
        <v>23</v>
      </c>
      <c r="F79" s="908" t="s">
        <v>22</v>
      </c>
      <c r="G79" s="915" t="s">
        <v>21</v>
      </c>
      <c r="H79" s="911" t="s">
        <v>20</v>
      </c>
      <c r="I79" s="908" t="s">
        <v>24</v>
      </c>
      <c r="J79" s="911" t="s">
        <v>23</v>
      </c>
      <c r="K79" s="908" t="s">
        <v>22</v>
      </c>
      <c r="L79" s="915" t="s">
        <v>21</v>
      </c>
      <c r="M79" s="910" t="s">
        <v>20</v>
      </c>
      <c r="N79" s="963" t="s">
        <v>28</v>
      </c>
      <c r="O79" s="718" t="s">
        <v>27</v>
      </c>
      <c r="P79" s="1103"/>
      <c r="Q79" s="81" t="s">
        <v>19</v>
      </c>
      <c r="R79" s="81" t="s">
        <v>18</v>
      </c>
      <c r="T79" s="93"/>
    </row>
    <row r="80" spans="1:20" hidden="1" outlineLevel="1">
      <c r="A80" s="132" t="s">
        <v>45</v>
      </c>
      <c r="B80" s="106" t="s">
        <v>17</v>
      </c>
      <c r="C80" s="133">
        <f>'01'!C80</f>
        <v>0</v>
      </c>
      <c r="D80" s="134" t="e">
        <v>#DIV/0!</v>
      </c>
      <c r="E80" s="138">
        <f t="shared" ref="E80:E94" si="7">IFERROR(D80/C80,0)</f>
        <v>0</v>
      </c>
      <c r="F80" s="136">
        <v>0</v>
      </c>
      <c r="G80" s="137">
        <f t="shared" ref="G80:G94" si="8">24-F80</f>
        <v>24</v>
      </c>
      <c r="H80" s="138">
        <f t="shared" ref="H80:H94" si="9">F80/24</f>
        <v>0</v>
      </c>
      <c r="I80" s="134" t="e">
        <v>#DIV/0!</v>
      </c>
      <c r="J80" s="138">
        <f t="shared" ref="J80:J94" si="10">IFERROR(I80/C80,0)</f>
        <v>0</v>
      </c>
      <c r="K80" s="136">
        <v>0</v>
      </c>
      <c r="L80" s="137">
        <f>24*21-K80</f>
        <v>504</v>
      </c>
      <c r="M80" s="139">
        <f>K80/(24*21)</f>
        <v>0</v>
      </c>
      <c r="N80" s="965"/>
      <c r="O80" s="302">
        <f>N80+'20'!O80</f>
        <v>0</v>
      </c>
      <c r="P80" s="719"/>
      <c r="Q80" s="140">
        <v>125</v>
      </c>
      <c r="R80" s="140">
        <v>125</v>
      </c>
      <c r="T80" s="93"/>
    </row>
    <row r="81" spans="1:20" hidden="1" outlineLevel="1">
      <c r="A81" s="132" t="s">
        <v>46</v>
      </c>
      <c r="B81" s="106" t="s">
        <v>17</v>
      </c>
      <c r="C81" s="133">
        <f>'01'!C81</f>
        <v>0</v>
      </c>
      <c r="D81" s="134" t="e">
        <v>#DIV/0!</v>
      </c>
      <c r="E81" s="138">
        <f t="shared" si="7"/>
        <v>0</v>
      </c>
      <c r="F81" s="136">
        <v>0</v>
      </c>
      <c r="G81" s="137">
        <f t="shared" si="8"/>
        <v>24</v>
      </c>
      <c r="H81" s="138">
        <f t="shared" si="9"/>
        <v>0</v>
      </c>
      <c r="I81" s="134" t="e">
        <v>#DIV/0!</v>
      </c>
      <c r="J81" s="138">
        <f t="shared" si="10"/>
        <v>0</v>
      </c>
      <c r="K81" s="136">
        <v>0</v>
      </c>
      <c r="L81" s="137">
        <f>24*21-K81</f>
        <v>504</v>
      </c>
      <c r="M81" s="139">
        <f>K81/(24*21)</f>
        <v>0</v>
      </c>
      <c r="N81" s="965"/>
      <c r="O81" s="302">
        <f>N81+'20'!O81</f>
        <v>0</v>
      </c>
      <c r="P81" s="719"/>
      <c r="Q81" s="140">
        <v>127.08333333333333</v>
      </c>
      <c r="R81" s="140">
        <v>127.08333333333333</v>
      </c>
      <c r="T81" s="93"/>
    </row>
    <row r="82" spans="1:20" outlineLevel="1">
      <c r="A82" s="132" t="s">
        <v>169</v>
      </c>
      <c r="B82" s="106" t="s">
        <v>17</v>
      </c>
      <c r="C82" s="127">
        <f>'01'!C82</f>
        <v>45</v>
      </c>
      <c r="D82" s="134">
        <f t="shared" ref="D82:D94" si="11">IFERROR(N82/F82,0)</f>
        <v>0</v>
      </c>
      <c r="E82" s="138">
        <f t="shared" si="7"/>
        <v>0</v>
      </c>
      <c r="F82" s="134">
        <v>0</v>
      </c>
      <c r="G82" s="110">
        <f t="shared" si="8"/>
        <v>24</v>
      </c>
      <c r="H82" s="138">
        <f t="shared" si="9"/>
        <v>0</v>
      </c>
      <c r="I82" s="134">
        <f t="shared" ref="I82:I95" si="12">IFERROR(O82/K82,0)</f>
        <v>43.535460826585258</v>
      </c>
      <c r="J82" s="138">
        <f t="shared" si="10"/>
        <v>0.96745468503522791</v>
      </c>
      <c r="K82" s="134">
        <f>F82+'20'!K82</f>
        <v>43.903888888888886</v>
      </c>
      <c r="L82" s="110">
        <f>24*21-K82</f>
        <v>460.0961111111111</v>
      </c>
      <c r="M82" s="139">
        <f>K82/(24*21)</f>
        <v>8.711089065255731E-2</v>
      </c>
      <c r="N82" s="716">
        <v>0</v>
      </c>
      <c r="O82" s="303">
        <f>N82+'20'!O82</f>
        <v>1911.376034856974</v>
      </c>
      <c r="P82" s="719"/>
      <c r="Q82" s="140">
        <v>127.08333333333333</v>
      </c>
      <c r="R82" s="140">
        <v>127.08333333333333</v>
      </c>
      <c r="T82" s="93"/>
    </row>
    <row r="83" spans="1:20">
      <c r="A83" s="132" t="s">
        <v>173</v>
      </c>
      <c r="B83" s="106" t="s">
        <v>17</v>
      </c>
      <c r="C83" s="127">
        <f>'01'!C83</f>
        <v>500</v>
      </c>
      <c r="D83" s="134">
        <f t="shared" si="11"/>
        <v>0</v>
      </c>
      <c r="E83" s="138">
        <f t="shared" si="7"/>
        <v>0</v>
      </c>
      <c r="F83" s="134">
        <v>0</v>
      </c>
      <c r="G83" s="110">
        <f t="shared" si="8"/>
        <v>24</v>
      </c>
      <c r="H83" s="138">
        <f t="shared" si="9"/>
        <v>0</v>
      </c>
      <c r="I83" s="134">
        <f t="shared" si="12"/>
        <v>498.27193460328596</v>
      </c>
      <c r="J83" s="138">
        <f t="shared" si="10"/>
        <v>0.9965438692065719</v>
      </c>
      <c r="K83" s="134">
        <f>F83+'20'!K83</f>
        <v>64.575555555555553</v>
      </c>
      <c r="L83" s="134">
        <f>G83+'20'!L83</f>
        <v>439.42444444444448</v>
      </c>
      <c r="M83" s="139">
        <f>K83/(24*21)</f>
        <v>0.12812610229276897</v>
      </c>
      <c r="N83" s="716">
        <v>0</v>
      </c>
      <c r="O83" s="303">
        <f>N83+'20'!O83</f>
        <v>32176.186994748638</v>
      </c>
      <c r="P83" s="719"/>
      <c r="Q83" s="140">
        <v>127.08333333333333</v>
      </c>
      <c r="R83" s="140">
        <v>127.08333333333333</v>
      </c>
      <c r="T83" s="93"/>
    </row>
    <row r="84" spans="1:20">
      <c r="A84" s="132" t="s">
        <v>174</v>
      </c>
      <c r="B84" s="106" t="s">
        <v>17</v>
      </c>
      <c r="C84" s="127">
        <f>'01'!C84</f>
        <v>0</v>
      </c>
      <c r="D84" s="134">
        <f t="shared" si="11"/>
        <v>0</v>
      </c>
      <c r="E84" s="138">
        <f t="shared" si="7"/>
        <v>0</v>
      </c>
      <c r="F84" s="134">
        <v>0</v>
      </c>
      <c r="G84" s="110">
        <f t="shared" si="8"/>
        <v>24</v>
      </c>
      <c r="H84" s="138">
        <f t="shared" si="9"/>
        <v>0</v>
      </c>
      <c r="I84" s="134">
        <f t="shared" si="12"/>
        <v>259.69099144791005</v>
      </c>
      <c r="J84" s="138">
        <f t="shared" si="10"/>
        <v>0</v>
      </c>
      <c r="K84" s="134">
        <f>F84+'20'!K84</f>
        <v>64.977499999999992</v>
      </c>
      <c r="L84" s="134">
        <f>G84+'20'!L84</f>
        <v>439.02250000000004</v>
      </c>
      <c r="M84" s="139">
        <f>K84/(24*21)</f>
        <v>0.12892361111111109</v>
      </c>
      <c r="N84" s="716">
        <v>0</v>
      </c>
      <c r="O84" s="303">
        <f>N84+'20'!O84</f>
        <v>16874.071396806572</v>
      </c>
      <c r="P84" s="719"/>
      <c r="Q84" s="140">
        <v>127.08333333333333</v>
      </c>
      <c r="R84" s="140">
        <v>127.08333333333333</v>
      </c>
      <c r="T84" s="93"/>
    </row>
    <row r="85" spans="1:20" hidden="1" outlineLevel="1">
      <c r="A85" s="132" t="s">
        <v>55</v>
      </c>
      <c r="B85" s="106" t="s">
        <v>17</v>
      </c>
      <c r="C85" s="133">
        <f>'01'!C85</f>
        <v>0</v>
      </c>
      <c r="D85" s="134">
        <f t="shared" si="11"/>
        <v>0</v>
      </c>
      <c r="E85" s="138">
        <f t="shared" si="7"/>
        <v>0</v>
      </c>
      <c r="F85" s="134">
        <v>0</v>
      </c>
      <c r="G85" s="137">
        <f t="shared" si="8"/>
        <v>24</v>
      </c>
      <c r="H85" s="138">
        <f t="shared" si="9"/>
        <v>0</v>
      </c>
      <c r="I85" s="134">
        <f t="shared" si="12"/>
        <v>0</v>
      </c>
      <c r="J85" s="138">
        <f t="shared" si="10"/>
        <v>0</v>
      </c>
      <c r="K85" s="134">
        <f>F85+'20'!K85</f>
        <v>0</v>
      </c>
      <c r="L85" s="134">
        <f>G85+'20'!L85</f>
        <v>504</v>
      </c>
      <c r="M85" s="139">
        <f>K85/(24*12)</f>
        <v>0</v>
      </c>
      <c r="N85" s="965">
        <v>0</v>
      </c>
      <c r="O85" s="302">
        <f>N85+'20'!O85</f>
        <v>0</v>
      </c>
      <c r="P85" s="719"/>
      <c r="Q85" s="140"/>
      <c r="R85" s="140"/>
      <c r="T85" s="93"/>
    </row>
    <row r="86" spans="1:20" hidden="1" outlineLevel="1">
      <c r="A86" s="132" t="s">
        <v>57</v>
      </c>
      <c r="B86" s="106" t="s">
        <v>17</v>
      </c>
      <c r="C86" s="133">
        <f>'01'!C86</f>
        <v>0</v>
      </c>
      <c r="D86" s="134">
        <f t="shared" si="11"/>
        <v>0</v>
      </c>
      <c r="E86" s="138">
        <f t="shared" si="7"/>
        <v>0</v>
      </c>
      <c r="F86" s="134">
        <v>0</v>
      </c>
      <c r="G86" s="137">
        <f t="shared" si="8"/>
        <v>24</v>
      </c>
      <c r="H86" s="138">
        <f t="shared" si="9"/>
        <v>0</v>
      </c>
      <c r="I86" s="134">
        <f t="shared" si="12"/>
        <v>0</v>
      </c>
      <c r="J86" s="138">
        <f t="shared" si="10"/>
        <v>0</v>
      </c>
      <c r="K86" s="134">
        <f>F86+'20'!K86</f>
        <v>0</v>
      </c>
      <c r="L86" s="134">
        <f>G86+'20'!L86</f>
        <v>480</v>
      </c>
      <c r="M86" s="139">
        <f>K86/(24*12)</f>
        <v>0</v>
      </c>
      <c r="N86" s="965">
        <v>0</v>
      </c>
      <c r="O86" s="303">
        <f>N86+'20'!O86</f>
        <v>0</v>
      </c>
      <c r="P86" s="719"/>
      <c r="Q86" s="140"/>
      <c r="R86" s="140"/>
      <c r="T86" s="93"/>
    </row>
    <row r="87" spans="1:20" hidden="1" outlineLevel="1">
      <c r="A87" s="132" t="s">
        <v>53</v>
      </c>
      <c r="B87" s="106" t="s">
        <v>17</v>
      </c>
      <c r="C87" s="133">
        <f>'01'!C87</f>
        <v>0</v>
      </c>
      <c r="D87" s="134">
        <f t="shared" si="11"/>
        <v>0</v>
      </c>
      <c r="E87" s="138">
        <f t="shared" si="7"/>
        <v>0</v>
      </c>
      <c r="F87" s="134">
        <v>0</v>
      </c>
      <c r="G87" s="137">
        <f t="shared" si="8"/>
        <v>24</v>
      </c>
      <c r="H87" s="138">
        <f t="shared" si="9"/>
        <v>0</v>
      </c>
      <c r="I87" s="134">
        <f t="shared" si="12"/>
        <v>0</v>
      </c>
      <c r="J87" s="138">
        <f t="shared" si="10"/>
        <v>0</v>
      </c>
      <c r="K87" s="134">
        <f>F87+'20'!K87</f>
        <v>0</v>
      </c>
      <c r="L87" s="134">
        <f>G87+'20'!L87</f>
        <v>480</v>
      </c>
      <c r="M87" s="139">
        <f>K87/(24*12)</f>
        <v>0</v>
      </c>
      <c r="N87" s="965">
        <v>0</v>
      </c>
      <c r="O87" s="302">
        <f>N87+'20'!O87</f>
        <v>0</v>
      </c>
      <c r="P87" s="719"/>
      <c r="Q87" s="140"/>
      <c r="R87" s="140"/>
      <c r="T87" s="93"/>
    </row>
    <row r="88" spans="1:20" hidden="1" collapsed="1">
      <c r="A88" s="132" t="s">
        <v>54</v>
      </c>
      <c r="B88" s="106" t="s">
        <v>17</v>
      </c>
      <c r="C88" s="133">
        <f>'01'!C88</f>
        <v>0</v>
      </c>
      <c r="D88" s="134">
        <f t="shared" si="11"/>
        <v>0</v>
      </c>
      <c r="E88" s="138">
        <f t="shared" si="7"/>
        <v>0</v>
      </c>
      <c r="F88" s="134">
        <v>0</v>
      </c>
      <c r="G88" s="110">
        <f t="shared" si="8"/>
        <v>24</v>
      </c>
      <c r="H88" s="138">
        <f t="shared" si="9"/>
        <v>0</v>
      </c>
      <c r="I88" s="134">
        <f t="shared" si="12"/>
        <v>0</v>
      </c>
      <c r="J88" s="138">
        <f t="shared" si="10"/>
        <v>0</v>
      </c>
      <c r="K88" s="134">
        <f>F88+'20'!K88</f>
        <v>0</v>
      </c>
      <c r="L88" s="134">
        <f>G88+'20'!L88</f>
        <v>480</v>
      </c>
      <c r="M88" s="139">
        <f>K88/(24*12)</f>
        <v>0</v>
      </c>
      <c r="N88" s="716">
        <v>0</v>
      </c>
      <c r="O88" s="303">
        <f>N88+'20'!O88</f>
        <v>0</v>
      </c>
      <c r="P88" s="719"/>
      <c r="Q88" s="140"/>
      <c r="R88" s="140"/>
      <c r="T88" s="93"/>
    </row>
    <row r="89" spans="1:20" outlineLevel="1">
      <c r="A89" s="132" t="s">
        <v>229</v>
      </c>
      <c r="B89" s="106" t="s">
        <v>17</v>
      </c>
      <c r="C89" s="127">
        <f>'01'!C89</f>
        <v>47</v>
      </c>
      <c r="D89" s="134">
        <f t="shared" si="11"/>
        <v>0</v>
      </c>
      <c r="E89" s="138">
        <f t="shared" si="7"/>
        <v>0</v>
      </c>
      <c r="F89" s="134">
        <v>0</v>
      </c>
      <c r="G89" s="110">
        <f t="shared" si="8"/>
        <v>24</v>
      </c>
      <c r="H89" s="138">
        <f t="shared" si="9"/>
        <v>0</v>
      </c>
      <c r="I89" s="134">
        <f t="shared" si="12"/>
        <v>41.420860547642825</v>
      </c>
      <c r="J89" s="138">
        <f t="shared" si="10"/>
        <v>0.88129490526899623</v>
      </c>
      <c r="K89" s="134">
        <f>F89+'20'!K89</f>
        <v>1.6950000000000001</v>
      </c>
      <c r="L89" s="134">
        <f>G89+'20'!L89</f>
        <v>502.30500000000001</v>
      </c>
      <c r="M89" s="139">
        <f t="shared" ref="M89:M94" si="13">K89/(24*21)</f>
        <v>3.3630952380952384E-3</v>
      </c>
      <c r="N89" s="1001">
        <v>0</v>
      </c>
      <c r="O89" s="303">
        <f>N89+'20'!O89</f>
        <v>70.208358628254587</v>
      </c>
      <c r="P89" s="1002"/>
      <c r="Q89" s="140">
        <v>0</v>
      </c>
      <c r="R89" s="140">
        <v>0</v>
      </c>
      <c r="T89" s="93"/>
    </row>
    <row r="90" spans="1:20" outlineLevel="1">
      <c r="A90" s="132" t="s">
        <v>195</v>
      </c>
      <c r="B90" s="106" t="s">
        <v>17</v>
      </c>
      <c r="C90" s="127">
        <f>'01'!C90</f>
        <v>47</v>
      </c>
      <c r="D90" s="134">
        <f t="shared" si="11"/>
        <v>0</v>
      </c>
      <c r="E90" s="138">
        <f t="shared" si="7"/>
        <v>0</v>
      </c>
      <c r="F90" s="134">
        <v>0</v>
      </c>
      <c r="G90" s="110">
        <f t="shared" si="8"/>
        <v>24</v>
      </c>
      <c r="H90" s="138">
        <f t="shared" si="9"/>
        <v>0</v>
      </c>
      <c r="I90" s="134">
        <f t="shared" si="12"/>
        <v>48.591763261195744</v>
      </c>
      <c r="J90" s="138">
        <f t="shared" si="10"/>
        <v>1.0338673034296968</v>
      </c>
      <c r="K90" s="134">
        <f>F90+'20'!K90</f>
        <v>32.664166666666674</v>
      </c>
      <c r="L90" s="134">
        <f>G90+'20'!L90</f>
        <v>471.33583333333331</v>
      </c>
      <c r="M90" s="139">
        <f t="shared" si="13"/>
        <v>6.4809854497354505E-2</v>
      </c>
      <c r="N90" s="1001">
        <v>0</v>
      </c>
      <c r="O90" s="303">
        <f>N90+'20'!O90</f>
        <v>1587.2094537909084</v>
      </c>
      <c r="P90" s="1002"/>
      <c r="Q90" s="140">
        <v>0</v>
      </c>
      <c r="R90" s="140">
        <v>0</v>
      </c>
      <c r="T90" s="93"/>
    </row>
    <row r="91" spans="1:20" hidden="1">
      <c r="A91" s="132" t="s">
        <v>47</v>
      </c>
      <c r="B91" s="106" t="s">
        <v>17</v>
      </c>
      <c r="C91" s="133">
        <f>'01'!C91</f>
        <v>0</v>
      </c>
      <c r="D91" s="134">
        <f t="shared" si="11"/>
        <v>0</v>
      </c>
      <c r="E91" s="138">
        <f t="shared" si="7"/>
        <v>0</v>
      </c>
      <c r="F91" s="134">
        <v>0</v>
      </c>
      <c r="G91" s="110">
        <f t="shared" si="8"/>
        <v>24</v>
      </c>
      <c r="H91" s="138">
        <f t="shared" si="9"/>
        <v>0</v>
      </c>
      <c r="I91" s="134">
        <f t="shared" si="12"/>
        <v>0</v>
      </c>
      <c r="J91" s="138">
        <f t="shared" si="10"/>
        <v>0</v>
      </c>
      <c r="K91" s="134">
        <f>F91+'20'!K91</f>
        <v>0</v>
      </c>
      <c r="L91" s="134">
        <f>G91+'20'!L91</f>
        <v>504</v>
      </c>
      <c r="M91" s="139">
        <f t="shared" si="13"/>
        <v>0</v>
      </c>
      <c r="N91" s="716">
        <v>0</v>
      </c>
      <c r="O91" s="303">
        <f>N91+'20'!O91</f>
        <v>0</v>
      </c>
      <c r="P91" s="719"/>
      <c r="Q91" s="140">
        <v>0</v>
      </c>
      <c r="R91" s="140">
        <v>0</v>
      </c>
      <c r="T91" s="93"/>
    </row>
    <row r="92" spans="1:20">
      <c r="A92" s="132" t="s">
        <v>175</v>
      </c>
      <c r="B92" s="106" t="s">
        <v>17</v>
      </c>
      <c r="C92" s="127">
        <f>'01'!C92</f>
        <v>156.40496545876454</v>
      </c>
      <c r="D92" s="134">
        <f t="shared" si="11"/>
        <v>0</v>
      </c>
      <c r="E92" s="138">
        <f t="shared" si="7"/>
        <v>0</v>
      </c>
      <c r="F92" s="134">
        <v>0</v>
      </c>
      <c r="G92" s="110">
        <f t="shared" si="8"/>
        <v>24</v>
      </c>
      <c r="H92" s="138">
        <f t="shared" si="9"/>
        <v>0</v>
      </c>
      <c r="I92" s="134">
        <f t="shared" si="12"/>
        <v>140.11316982515353</v>
      </c>
      <c r="J92" s="138">
        <f t="shared" si="10"/>
        <v>0.89583581578868565</v>
      </c>
      <c r="K92" s="134">
        <f>F92+'20'!K92</f>
        <v>71.521666666666675</v>
      </c>
      <c r="L92" s="134">
        <f>G92+'20'!L92</f>
        <v>432.47833333333335</v>
      </c>
      <c r="M92" s="139">
        <f t="shared" si="13"/>
        <v>0.1419080687830688</v>
      </c>
      <c r="N92" s="716">
        <v>0</v>
      </c>
      <c r="O92" s="303">
        <f>N92+'20'!O92</f>
        <v>10021.127427844691</v>
      </c>
      <c r="P92" s="719"/>
      <c r="Q92" s="140">
        <v>0</v>
      </c>
      <c r="R92" s="140">
        <v>0</v>
      </c>
      <c r="T92" s="93"/>
    </row>
    <row r="93" spans="1:20">
      <c r="A93" s="132" t="s">
        <v>176</v>
      </c>
      <c r="B93" s="106" t="s">
        <v>17</v>
      </c>
      <c r="C93" s="127">
        <f>'01'!C93</f>
        <v>153.20426211760955</v>
      </c>
      <c r="D93" s="134">
        <f t="shared" si="11"/>
        <v>0</v>
      </c>
      <c r="E93" s="138">
        <f t="shared" si="7"/>
        <v>0</v>
      </c>
      <c r="F93" s="134">
        <v>0</v>
      </c>
      <c r="G93" s="110">
        <f t="shared" si="8"/>
        <v>24</v>
      </c>
      <c r="H93" s="138">
        <f t="shared" si="9"/>
        <v>0</v>
      </c>
      <c r="I93" s="134">
        <f t="shared" si="12"/>
        <v>144.80399190974401</v>
      </c>
      <c r="J93" s="138">
        <f t="shared" si="10"/>
        <v>0.94516947445354405</v>
      </c>
      <c r="K93" s="134">
        <f>F93+'20'!K93</f>
        <v>64.288611111111109</v>
      </c>
      <c r="L93" s="134">
        <f>G93+'20'!L93</f>
        <v>439.71138888888891</v>
      </c>
      <c r="M93" s="139">
        <f t="shared" si="13"/>
        <v>0.12755676807760141</v>
      </c>
      <c r="N93" s="716">
        <v>0</v>
      </c>
      <c r="O93" s="303">
        <f>N93+'20'!O93</f>
        <v>9309.2475232220113</v>
      </c>
      <c r="P93" s="719"/>
      <c r="Q93" s="140">
        <v>0</v>
      </c>
      <c r="R93" s="140">
        <v>0</v>
      </c>
      <c r="T93" s="93"/>
    </row>
    <row r="94" spans="1:20">
      <c r="A94" s="879" t="s">
        <v>203</v>
      </c>
      <c r="B94" s="159" t="s">
        <v>17</v>
      </c>
      <c r="C94" s="635">
        <f>'01'!C94</f>
        <v>60</v>
      </c>
      <c r="D94" s="765">
        <f t="shared" si="11"/>
        <v>0</v>
      </c>
      <c r="E94" s="746">
        <f t="shared" si="7"/>
        <v>0</v>
      </c>
      <c r="F94" s="765"/>
      <c r="G94" s="521">
        <f t="shared" si="8"/>
        <v>24</v>
      </c>
      <c r="H94" s="746">
        <f t="shared" si="9"/>
        <v>0</v>
      </c>
      <c r="I94" s="765">
        <f t="shared" si="12"/>
        <v>89.046875</v>
      </c>
      <c r="J94" s="746">
        <f t="shared" si="10"/>
        <v>1.4841145833333333</v>
      </c>
      <c r="K94" s="765">
        <f>F94+'20'!K94</f>
        <v>32</v>
      </c>
      <c r="L94" s="765">
        <f>G94+'20'!L94</f>
        <v>472</v>
      </c>
      <c r="M94" s="880">
        <f t="shared" si="13"/>
        <v>6.3492063492063489E-2</v>
      </c>
      <c r="N94" s="966">
        <f>E111+E120+E121+E122</f>
        <v>0</v>
      </c>
      <c r="O94" s="871">
        <f>N94+'20'!O94</f>
        <v>2849.5</v>
      </c>
      <c r="P94" s="881"/>
      <c r="Q94" s="140">
        <v>56</v>
      </c>
      <c r="R94" s="140">
        <v>56</v>
      </c>
      <c r="T94" s="93"/>
    </row>
    <row r="95" spans="1:20" ht="16.5" thickBot="1">
      <c r="A95" s="722" t="s">
        <v>204</v>
      </c>
      <c r="B95" s="705" t="s">
        <v>17</v>
      </c>
      <c r="C95" s="386"/>
      <c r="D95" s="443">
        <f>IFERROR(N95/F95,0)</f>
        <v>0</v>
      </c>
      <c r="E95" s="444">
        <f>IFERROR(D95/C95,0)</f>
        <v>0</v>
      </c>
      <c r="F95" s="443"/>
      <c r="G95" s="387">
        <f>24-F95</f>
        <v>24</v>
      </c>
      <c r="H95" s="444">
        <f>F95/24</f>
        <v>0</v>
      </c>
      <c r="I95" s="443">
        <f t="shared" si="12"/>
        <v>142.05714285714285</v>
      </c>
      <c r="J95" s="444">
        <f>IFERROR(I95/C95,0)</f>
        <v>0</v>
      </c>
      <c r="K95" s="443">
        <f>F95+'20'!K95</f>
        <v>7</v>
      </c>
      <c r="L95" s="443">
        <f>G95+'20'!L95</f>
        <v>497</v>
      </c>
      <c r="M95" s="723">
        <f>K95/(24*21)</f>
        <v>1.3888888888888888E-2</v>
      </c>
      <c r="N95" s="967">
        <f>E112+E114+E115+E118+E119</f>
        <v>0</v>
      </c>
      <c r="O95" s="713">
        <f>N95+'20'!O95</f>
        <v>994.39999999999986</v>
      </c>
      <c r="P95" s="720"/>
      <c r="Q95" s="140"/>
      <c r="R95" s="140"/>
      <c r="T95" s="93"/>
    </row>
    <row r="96" spans="1:20" ht="16.5" thickBot="1">
      <c r="A96" s="1104" t="s">
        <v>16</v>
      </c>
      <c r="B96" s="1105"/>
      <c r="C96" s="1105"/>
      <c r="D96" s="1105"/>
      <c r="E96" s="1105"/>
      <c r="F96" s="1105"/>
      <c r="G96" s="1105"/>
      <c r="H96" s="1105"/>
      <c r="I96" s="1105"/>
      <c r="J96" s="1100"/>
      <c r="K96" s="1100"/>
      <c r="L96" s="142"/>
      <c r="M96" s="142"/>
      <c r="N96" s="142"/>
      <c r="O96" s="142"/>
      <c r="P96" s="142"/>
      <c r="Q96" s="140"/>
      <c r="R96" s="140"/>
      <c r="T96" s="93"/>
    </row>
    <row r="97" spans="1:20" ht="15.75" customHeight="1">
      <c r="A97" s="1106" t="s">
        <v>15</v>
      </c>
      <c r="B97" s="1108" t="s">
        <v>6</v>
      </c>
      <c r="C97" s="1110" t="s">
        <v>14</v>
      </c>
      <c r="D97" s="1154" t="s">
        <v>5</v>
      </c>
      <c r="E97" s="1155"/>
      <c r="F97" s="1156"/>
      <c r="G97" s="1154" t="s">
        <v>4</v>
      </c>
      <c r="H97" s="1155"/>
      <c r="I97" s="1156"/>
      <c r="J97" s="1154"/>
      <c r="K97" s="1156"/>
      <c r="M97" s="199"/>
      <c r="N97" s="241"/>
      <c r="O97" s="241"/>
      <c r="P97" s="241"/>
      <c r="Q97" s="118"/>
      <c r="R97" s="118"/>
      <c r="T97" s="93"/>
    </row>
    <row r="98" spans="1:20">
      <c r="A98" s="1107"/>
      <c r="B98" s="1109"/>
      <c r="C98" s="1111"/>
      <c r="D98" s="1157"/>
      <c r="E98" s="1158"/>
      <c r="F98" s="1159"/>
      <c r="G98" s="1157"/>
      <c r="H98" s="1158"/>
      <c r="I98" s="1159"/>
      <c r="J98" s="1157"/>
      <c r="K98" s="1159"/>
      <c r="M98" s="207"/>
      <c r="N98" s="241"/>
      <c r="O98" s="241"/>
      <c r="P98" s="241"/>
      <c r="T98" s="93"/>
    </row>
    <row r="99" spans="1:20">
      <c r="A99" s="1107"/>
      <c r="B99" s="1109"/>
      <c r="C99" s="1112"/>
      <c r="D99" s="794" t="s">
        <v>3</v>
      </c>
      <c r="E99" s="802" t="s">
        <v>2</v>
      </c>
      <c r="F99" s="801" t="s">
        <v>1</v>
      </c>
      <c r="G99" s="794" t="s">
        <v>3</v>
      </c>
      <c r="H99" s="802" t="s">
        <v>2</v>
      </c>
      <c r="I99" s="801" t="s">
        <v>1</v>
      </c>
      <c r="J99" s="794" t="s">
        <v>3</v>
      </c>
      <c r="K99" s="904" t="s">
        <v>12</v>
      </c>
      <c r="L99" s="1153" t="s">
        <v>4</v>
      </c>
      <c r="M99" s="1153"/>
      <c r="N99" s="1153" t="s">
        <v>93</v>
      </c>
      <c r="O99" s="1153"/>
      <c r="P99" s="242"/>
      <c r="T99" s="93"/>
    </row>
    <row r="100" spans="1:20" s="120" customFormat="1">
      <c r="A100" s="257" t="s">
        <v>11</v>
      </c>
      <c r="B100" s="86" t="s">
        <v>9</v>
      </c>
      <c r="C100" s="87">
        <f>C101+C110</f>
        <v>196140</v>
      </c>
      <c r="D100" s="88">
        <f>D101+D111</f>
        <v>5248</v>
      </c>
      <c r="E100" s="89">
        <f>E101+E110</f>
        <v>0</v>
      </c>
      <c r="F100" s="90">
        <f t="shared" ref="F100:F122" si="14">IFERROR((E100/D100),0)</f>
        <v>0</v>
      </c>
      <c r="G100" s="88">
        <f>G101+G110</f>
        <v>133175</v>
      </c>
      <c r="H100" s="89">
        <f>H101+H110</f>
        <v>19708.249999999993</v>
      </c>
      <c r="I100" s="90">
        <f t="shared" ref="I100:I122" si="15">IFERROR((H100/G100),0)</f>
        <v>0.14798761028721602</v>
      </c>
      <c r="J100" s="546"/>
      <c r="K100" s="970"/>
      <c r="L100" s="197"/>
      <c r="M100" s="914" t="s">
        <v>13</v>
      </c>
      <c r="N100" s="197"/>
      <c r="O100" s="914" t="s">
        <v>13</v>
      </c>
      <c r="P100" s="244"/>
      <c r="Q100" s="144"/>
      <c r="R100" s="144"/>
      <c r="S100" s="82"/>
      <c r="T100" s="93"/>
    </row>
    <row r="101" spans="1:20" s="120" customFormat="1">
      <c r="A101" s="251" t="s">
        <v>10</v>
      </c>
      <c r="B101" s="95" t="s">
        <v>9</v>
      </c>
      <c r="C101" s="96">
        <f>SUM(C102:C109)</f>
        <v>143308</v>
      </c>
      <c r="D101" s="97">
        <f>SUM(D102:D109)</f>
        <v>5248</v>
      </c>
      <c r="E101" s="98">
        <f>SUM(E102:E109)</f>
        <v>0</v>
      </c>
      <c r="F101" s="99">
        <f t="shared" si="14"/>
        <v>0</v>
      </c>
      <c r="G101" s="169">
        <f>SUM(G102:G109)</f>
        <v>96304</v>
      </c>
      <c r="H101" s="98">
        <f>SUM(H102:H109)</f>
        <v>15844.349999999995</v>
      </c>
      <c r="I101" s="99">
        <f t="shared" si="15"/>
        <v>0.16452431882372481</v>
      </c>
      <c r="J101" s="1146"/>
      <c r="K101" s="1220"/>
      <c r="L101" s="197" t="s">
        <v>82</v>
      </c>
      <c r="M101" s="255"/>
      <c r="N101" s="197" t="s">
        <v>82</v>
      </c>
      <c r="O101" s="255"/>
      <c r="P101" s="244"/>
      <c r="Q101" s="144"/>
      <c r="R101" s="144"/>
      <c r="S101" s="82"/>
      <c r="T101" s="93"/>
    </row>
    <row r="102" spans="1:20">
      <c r="A102" s="254" t="s">
        <v>85</v>
      </c>
      <c r="B102" s="119" t="s">
        <v>9</v>
      </c>
      <c r="C102" s="149">
        <f>'01'!C102</f>
        <v>0</v>
      </c>
      <c r="D102" s="134">
        <v>0</v>
      </c>
      <c r="E102" s="110">
        <v>0</v>
      </c>
      <c r="F102" s="138">
        <f t="shared" si="14"/>
        <v>0</v>
      </c>
      <c r="G102" s="134">
        <f>D102+'20'!G102</f>
        <v>0</v>
      </c>
      <c r="H102" s="178">
        <f>E102+'20'!H102</f>
        <v>0</v>
      </c>
      <c r="I102" s="138">
        <f t="shared" si="15"/>
        <v>0</v>
      </c>
      <c r="J102" s="1146"/>
      <c r="K102" s="1147"/>
      <c r="N102" s="244"/>
      <c r="O102" s="244"/>
      <c r="P102" s="244"/>
      <c r="T102" s="93"/>
    </row>
    <row r="103" spans="1:20" outlineLevel="1">
      <c r="A103" s="254" t="s">
        <v>262</v>
      </c>
      <c r="B103" s="119" t="s">
        <v>9</v>
      </c>
      <c r="C103" s="149">
        <f>'01'!C103</f>
        <v>11500</v>
      </c>
      <c r="D103" s="134">
        <v>665</v>
      </c>
      <c r="E103" s="166">
        <v>0</v>
      </c>
      <c r="F103" s="138">
        <f t="shared" si="14"/>
        <v>0</v>
      </c>
      <c r="G103" s="445">
        <f>D103+'20'!G103</f>
        <v>8005</v>
      </c>
      <c r="H103" s="150">
        <f>E103+'20'!H103</f>
        <v>0</v>
      </c>
      <c r="I103" s="138">
        <f t="shared" si="15"/>
        <v>0</v>
      </c>
      <c r="J103" s="1146"/>
      <c r="K103" s="1147"/>
      <c r="L103" s="253"/>
      <c r="M103" s="253"/>
      <c r="N103" s="148"/>
      <c r="O103" s="148"/>
      <c r="P103" s="143"/>
      <c r="T103" s="93"/>
    </row>
    <row r="104" spans="1:20">
      <c r="A104" s="254" t="s">
        <v>159</v>
      </c>
      <c r="B104" s="119" t="s">
        <v>9</v>
      </c>
      <c r="C104" s="149">
        <f>'01'!C104</f>
        <v>127150</v>
      </c>
      <c r="D104" s="134">
        <v>4346</v>
      </c>
      <c r="E104" s="110">
        <v>0</v>
      </c>
      <c r="F104" s="138">
        <f t="shared" si="14"/>
        <v>0</v>
      </c>
      <c r="G104" s="134">
        <f>D104+'20'!G104</f>
        <v>85036</v>
      </c>
      <c r="H104" s="178">
        <f>E104+'20'!H104</f>
        <v>12980.249999999995</v>
      </c>
      <c r="I104" s="138">
        <f t="shared" si="15"/>
        <v>0.15264417423208987</v>
      </c>
      <c r="J104" s="1146"/>
      <c r="K104" s="1147"/>
      <c r="L104" s="253"/>
      <c r="M104" s="253"/>
      <c r="N104" s="253"/>
      <c r="O104" s="253"/>
      <c r="P104" s="143"/>
      <c r="T104" s="93"/>
    </row>
    <row r="105" spans="1:20" outlineLevel="1">
      <c r="A105" s="254" t="s">
        <v>191</v>
      </c>
      <c r="B105" s="119" t="s">
        <v>9</v>
      </c>
      <c r="C105" s="149">
        <f>'01'!C105</f>
        <v>0</v>
      </c>
      <c r="D105" s="134">
        <v>0</v>
      </c>
      <c r="E105" s="110">
        <v>0</v>
      </c>
      <c r="F105" s="138">
        <f t="shared" si="14"/>
        <v>0</v>
      </c>
      <c r="G105" s="134">
        <f>D105+'20'!G105</f>
        <v>0</v>
      </c>
      <c r="H105" s="178">
        <f>E105+'20'!H105</f>
        <v>475.6</v>
      </c>
      <c r="I105" s="138">
        <f t="shared" si="15"/>
        <v>0</v>
      </c>
      <c r="J105" s="1146"/>
      <c r="K105" s="1147"/>
      <c r="L105" s="143"/>
      <c r="M105" s="143"/>
      <c r="N105" s="253"/>
      <c r="O105" s="253"/>
      <c r="P105" s="143"/>
      <c r="Q105" s="83"/>
      <c r="T105" s="93"/>
    </row>
    <row r="106" spans="1:20" outlineLevel="1">
      <c r="A106" s="105" t="s">
        <v>254</v>
      </c>
      <c r="B106" s="119" t="s">
        <v>9</v>
      </c>
      <c r="C106" s="149">
        <f>'01'!C106</f>
        <v>0</v>
      </c>
      <c r="D106" s="134">
        <v>0</v>
      </c>
      <c r="E106" s="110">
        <v>0</v>
      </c>
      <c r="F106" s="138">
        <f t="shared" si="14"/>
        <v>0</v>
      </c>
      <c r="G106" s="134">
        <f>D106+'20'!G106</f>
        <v>0</v>
      </c>
      <c r="H106" s="178">
        <f>E106+'20'!H106</f>
        <v>1280.3</v>
      </c>
      <c r="I106" s="138">
        <f t="shared" si="15"/>
        <v>0</v>
      </c>
      <c r="J106" s="1146"/>
      <c r="K106" s="1147"/>
      <c r="L106" s="253"/>
      <c r="M106" s="253"/>
      <c r="N106" s="253"/>
      <c r="O106" s="253"/>
      <c r="P106" s="143"/>
      <c r="T106" s="93"/>
    </row>
    <row r="107" spans="1:20">
      <c r="A107" s="254" t="s">
        <v>50</v>
      </c>
      <c r="B107" s="119" t="s">
        <v>9</v>
      </c>
      <c r="C107" s="149">
        <f>'01'!C107</f>
        <v>0</v>
      </c>
      <c r="D107" s="134">
        <v>0</v>
      </c>
      <c r="E107" s="110">
        <v>0</v>
      </c>
      <c r="F107" s="138">
        <f t="shared" si="14"/>
        <v>0</v>
      </c>
      <c r="G107" s="134">
        <f>D107+'20'!G107</f>
        <v>0</v>
      </c>
      <c r="H107" s="178">
        <f>E107+'20'!H107</f>
        <v>0</v>
      </c>
      <c r="I107" s="138">
        <f t="shared" si="15"/>
        <v>0</v>
      </c>
      <c r="J107" s="1146"/>
      <c r="K107" s="1147"/>
      <c r="L107" s="253"/>
      <c r="M107" s="253"/>
      <c r="N107" s="253"/>
      <c r="O107" s="253"/>
      <c r="P107" s="143"/>
      <c r="T107" s="93"/>
    </row>
    <row r="108" spans="1:20">
      <c r="A108" s="123" t="s">
        <v>245</v>
      </c>
      <c r="B108" s="119" t="s">
        <v>9</v>
      </c>
      <c r="C108" s="149">
        <f>'01'!C108</f>
        <v>3558</v>
      </c>
      <c r="D108" s="134">
        <v>187</v>
      </c>
      <c r="E108" s="110">
        <v>0</v>
      </c>
      <c r="F108" s="138">
        <f t="shared" si="14"/>
        <v>0</v>
      </c>
      <c r="G108" s="134">
        <f>D108+'20'!G108</f>
        <v>2438</v>
      </c>
      <c r="H108" s="178">
        <f>E108+'20'!H108</f>
        <v>826.59999999999991</v>
      </c>
      <c r="I108" s="138">
        <f t="shared" si="15"/>
        <v>0.33904840032813777</v>
      </c>
      <c r="J108" s="795"/>
      <c r="K108" s="796"/>
      <c r="L108" s="253"/>
      <c r="M108" s="253"/>
      <c r="N108" s="253"/>
      <c r="O108" s="253"/>
      <c r="P108" s="143"/>
      <c r="T108" s="93"/>
    </row>
    <row r="109" spans="1:20">
      <c r="A109" s="254" t="s">
        <v>198</v>
      </c>
      <c r="B109" s="119" t="s">
        <v>9</v>
      </c>
      <c r="C109" s="149">
        <f>'01'!C109</f>
        <v>1100</v>
      </c>
      <c r="D109" s="134">
        <v>50</v>
      </c>
      <c r="E109" s="110">
        <v>0</v>
      </c>
      <c r="F109" s="138">
        <f t="shared" si="14"/>
        <v>0</v>
      </c>
      <c r="G109" s="134">
        <f>D109+'20'!G109</f>
        <v>825</v>
      </c>
      <c r="H109" s="178">
        <f>E109+'20'!H109</f>
        <v>281.59999999999997</v>
      </c>
      <c r="I109" s="138">
        <f t="shared" si="15"/>
        <v>0.34133333333333327</v>
      </c>
      <c r="J109" s="795"/>
      <c r="K109" s="796"/>
      <c r="L109" s="253"/>
      <c r="M109" s="253"/>
      <c r="N109" s="253"/>
      <c r="O109" s="143"/>
      <c r="S109" s="93"/>
    </row>
    <row r="110" spans="1:20">
      <c r="A110" s="251" t="s">
        <v>202</v>
      </c>
      <c r="B110" s="95" t="s">
        <v>9</v>
      </c>
      <c r="C110" s="96">
        <f>SUM(C111:C122)</f>
        <v>52832</v>
      </c>
      <c r="D110" s="1051">
        <f>SUM(D111:D122)</f>
        <v>1743</v>
      </c>
      <c r="E110" s="98">
        <f>SUM(E111:E122)</f>
        <v>0</v>
      </c>
      <c r="F110" s="1053">
        <f>IFERROR((E110/D110),0)</f>
        <v>0</v>
      </c>
      <c r="G110" s="1051">
        <f>SUM(G111:G122)</f>
        <v>36871</v>
      </c>
      <c r="H110" s="98">
        <f>SUM(H111:H122)</f>
        <v>3863.8999999999996</v>
      </c>
      <c r="I110" s="1053">
        <f>IFERROR((H110/G110),0)</f>
        <v>0.10479509641723847</v>
      </c>
      <c r="J110" s="795"/>
      <c r="K110" s="796"/>
      <c r="L110" s="253"/>
      <c r="M110" s="253"/>
      <c r="N110" s="253"/>
      <c r="O110" s="253"/>
      <c r="P110" s="143"/>
      <c r="T110" s="93"/>
    </row>
    <row r="111" spans="1:20" s="120" customFormat="1">
      <c r="A111" s="254" t="s">
        <v>251</v>
      </c>
      <c r="B111" s="119" t="s">
        <v>9</v>
      </c>
      <c r="C111" s="149">
        <f>'01'!C111</f>
        <v>0</v>
      </c>
      <c r="D111" s="134">
        <v>0</v>
      </c>
      <c r="E111" s="110">
        <v>0</v>
      </c>
      <c r="F111" s="138">
        <f>IFERROR((E111/D111),0)</f>
        <v>0</v>
      </c>
      <c r="G111" s="134">
        <f>D111+'20'!G111</f>
        <v>0</v>
      </c>
      <c r="H111" s="110">
        <f>E111+'20'!H111</f>
        <v>1026.1499999999999</v>
      </c>
      <c r="I111" s="138">
        <f>IFERROR((H111/G111),0)</f>
        <v>0</v>
      </c>
      <c r="J111" s="1146"/>
      <c r="K111" s="1147"/>
      <c r="L111" s="143"/>
      <c r="M111" s="152"/>
      <c r="N111" s="143"/>
      <c r="O111" s="143"/>
      <c r="P111" s="143"/>
      <c r="Q111" s="151"/>
      <c r="S111" s="82"/>
      <c r="T111" s="93"/>
    </row>
    <row r="112" spans="1:20">
      <c r="A112" s="254" t="s">
        <v>252</v>
      </c>
      <c r="B112" s="119" t="s">
        <v>9</v>
      </c>
      <c r="C112" s="164">
        <f>'01'!C112</f>
        <v>0</v>
      </c>
      <c r="D112" s="134">
        <v>0</v>
      </c>
      <c r="E112" s="110">
        <v>0</v>
      </c>
      <c r="F112" s="138">
        <f>IFERROR((E112/D112),0)</f>
        <v>0</v>
      </c>
      <c r="G112" s="134">
        <f>D112+'20'!G112</f>
        <v>0</v>
      </c>
      <c r="H112" s="110">
        <f>E112+'20'!H112</f>
        <v>994.39999999999986</v>
      </c>
      <c r="I112" s="138">
        <f>IFERROR((H112/G112),0)</f>
        <v>0</v>
      </c>
      <c r="J112" s="1148"/>
      <c r="K112" s="1150"/>
      <c r="L112" s="143"/>
      <c r="M112" s="152"/>
      <c r="N112" s="253"/>
      <c r="O112" s="253"/>
      <c r="P112" s="143"/>
      <c r="T112" s="93"/>
    </row>
    <row r="113" spans="1:20">
      <c r="A113" s="254" t="s">
        <v>253</v>
      </c>
      <c r="B113" s="119" t="s">
        <v>9</v>
      </c>
      <c r="C113" s="164">
        <f>'01'!C113</f>
        <v>0</v>
      </c>
      <c r="D113" s="134">
        <v>0</v>
      </c>
      <c r="E113" s="110">
        <v>0</v>
      </c>
      <c r="F113" s="138">
        <f t="shared" si="14"/>
        <v>0</v>
      </c>
      <c r="G113" s="134">
        <f>D113+'20'!G113</f>
        <v>0</v>
      </c>
      <c r="H113" s="110">
        <f>E113+'20'!H113</f>
        <v>20</v>
      </c>
      <c r="I113" s="138">
        <f t="shared" si="15"/>
        <v>0</v>
      </c>
      <c r="J113" s="797"/>
      <c r="K113" s="798"/>
      <c r="L113" s="154"/>
      <c r="M113" s="154"/>
      <c r="N113" s="253"/>
      <c r="O113" s="253"/>
      <c r="P113" s="143"/>
      <c r="T113" s="93"/>
    </row>
    <row r="114" spans="1:20" s="120" customFormat="1">
      <c r="A114" s="254" t="s">
        <v>225</v>
      </c>
      <c r="B114" s="825" t="s">
        <v>9</v>
      </c>
      <c r="C114" s="164">
        <f>'01'!C114</f>
        <v>500</v>
      </c>
      <c r="D114" s="134">
        <v>16</v>
      </c>
      <c r="E114" s="301">
        <v>0</v>
      </c>
      <c r="F114" s="167">
        <f t="shared" si="14"/>
        <v>0</v>
      </c>
      <c r="G114" s="134">
        <f>D114+'20'!G114</f>
        <v>336</v>
      </c>
      <c r="H114" s="110">
        <f>E114+'20'!H114</f>
        <v>0</v>
      </c>
      <c r="I114" s="167">
        <f t="shared" si="15"/>
        <v>0</v>
      </c>
      <c r="J114" s="1151"/>
      <c r="K114" s="1152"/>
      <c r="L114" s="154"/>
      <c r="M114" s="154"/>
      <c r="N114" s="152"/>
      <c r="O114" s="152"/>
      <c r="P114" s="152"/>
      <c r="S114" s="82"/>
      <c r="T114" s="93"/>
    </row>
    <row r="115" spans="1:20" s="120" customFormat="1">
      <c r="A115" s="254" t="s">
        <v>221</v>
      </c>
      <c r="B115" s="119" t="s">
        <v>9</v>
      </c>
      <c r="C115" s="149">
        <f>'01'!C115</f>
        <v>0</v>
      </c>
      <c r="D115" s="134">
        <v>0</v>
      </c>
      <c r="E115" s="864">
        <v>0</v>
      </c>
      <c r="F115" s="138">
        <f t="shared" si="14"/>
        <v>0</v>
      </c>
      <c r="G115" s="134">
        <f>D115+'20'!G115</f>
        <v>0</v>
      </c>
      <c r="H115" s="110">
        <f>E115+'20'!H115</f>
        <v>0</v>
      </c>
      <c r="I115" s="138">
        <f t="shared" si="15"/>
        <v>0</v>
      </c>
      <c r="J115" s="1146"/>
      <c r="K115" s="1147"/>
      <c r="L115" s="154"/>
      <c r="M115" s="154"/>
      <c r="N115" s="152"/>
      <c r="O115" s="152"/>
      <c r="P115" s="152"/>
      <c r="S115" s="82"/>
      <c r="T115" s="93"/>
    </row>
    <row r="116" spans="1:20" s="120" customFormat="1">
      <c r="A116" s="254" t="s">
        <v>196</v>
      </c>
      <c r="B116" s="119" t="s">
        <v>9</v>
      </c>
      <c r="C116" s="149">
        <f>'01'!C116</f>
        <v>0</v>
      </c>
      <c r="D116" s="134">
        <v>0</v>
      </c>
      <c r="E116" s="110">
        <v>0</v>
      </c>
      <c r="F116" s="138">
        <f t="shared" si="14"/>
        <v>0</v>
      </c>
      <c r="G116" s="134">
        <f>D116+'20'!G116</f>
        <v>0</v>
      </c>
      <c r="H116" s="110">
        <f>E116+'20'!H116</f>
        <v>0</v>
      </c>
      <c r="I116" s="138">
        <f t="shared" si="15"/>
        <v>0</v>
      </c>
      <c r="J116" s="797"/>
      <c r="K116" s="798"/>
      <c r="L116" s="154"/>
      <c r="M116" s="154"/>
      <c r="N116" s="152"/>
      <c r="O116" s="152"/>
      <c r="P116" s="152"/>
      <c r="S116" s="82"/>
      <c r="T116" s="93"/>
    </row>
    <row r="117" spans="1:20" s="120" customFormat="1">
      <c r="A117" s="254" t="s">
        <v>197</v>
      </c>
      <c r="B117" s="119" t="s">
        <v>9</v>
      </c>
      <c r="C117" s="149">
        <f>'01'!C117</f>
        <v>0</v>
      </c>
      <c r="D117" s="134">
        <v>0</v>
      </c>
      <c r="E117" s="110">
        <v>0</v>
      </c>
      <c r="F117" s="138">
        <f t="shared" si="14"/>
        <v>0</v>
      </c>
      <c r="G117" s="134">
        <f>D117+'20'!G117</f>
        <v>0</v>
      </c>
      <c r="H117" s="110">
        <f>E117+'20'!H117</f>
        <v>0</v>
      </c>
      <c r="I117" s="138">
        <f t="shared" si="15"/>
        <v>0</v>
      </c>
      <c r="J117" s="797"/>
      <c r="K117" s="798"/>
      <c r="L117" s="154"/>
      <c r="M117" s="154"/>
      <c r="N117" s="152"/>
      <c r="O117" s="152"/>
      <c r="P117" s="152"/>
      <c r="S117" s="82"/>
      <c r="T117" s="93"/>
    </row>
    <row r="118" spans="1:20" s="120" customFormat="1">
      <c r="A118" s="254" t="s">
        <v>222</v>
      </c>
      <c r="B118" s="119" t="s">
        <v>9</v>
      </c>
      <c r="C118" s="149">
        <f>'01'!C118</f>
        <v>10700</v>
      </c>
      <c r="D118" s="134">
        <v>345</v>
      </c>
      <c r="E118" s="110">
        <v>0</v>
      </c>
      <c r="F118" s="138">
        <f t="shared" si="14"/>
        <v>0</v>
      </c>
      <c r="G118" s="134">
        <f>D118+'20'!G118</f>
        <v>7305</v>
      </c>
      <c r="H118" s="110">
        <f>E118+'20'!H118</f>
        <v>0</v>
      </c>
      <c r="I118" s="138">
        <f t="shared" si="15"/>
        <v>0</v>
      </c>
      <c r="J118" s="797"/>
      <c r="K118" s="798"/>
      <c r="L118" s="154"/>
      <c r="M118" s="154"/>
      <c r="N118" s="152"/>
      <c r="O118" s="152"/>
      <c r="P118" s="152"/>
      <c r="S118" s="82"/>
      <c r="T118" s="93"/>
    </row>
    <row r="119" spans="1:20" s="120" customFormat="1">
      <c r="A119" s="858" t="s">
        <v>223</v>
      </c>
      <c r="B119" s="119" t="s">
        <v>9</v>
      </c>
      <c r="C119" s="149">
        <f>'01'!C119</f>
        <v>0</v>
      </c>
      <c r="D119" s="134">
        <v>0</v>
      </c>
      <c r="E119" s="110">
        <v>0</v>
      </c>
      <c r="F119" s="138">
        <f t="shared" si="14"/>
        <v>0</v>
      </c>
      <c r="G119" s="134">
        <f>D119+'20'!G119</f>
        <v>0</v>
      </c>
      <c r="H119" s="110">
        <f>E119+'20'!H119</f>
        <v>0</v>
      </c>
      <c r="I119" s="138">
        <f t="shared" si="15"/>
        <v>0</v>
      </c>
      <c r="J119" s="856"/>
      <c r="K119" s="857"/>
      <c r="L119" s="154"/>
      <c r="M119" s="154"/>
      <c r="N119" s="152"/>
      <c r="O119" s="152"/>
      <c r="P119" s="152"/>
      <c r="S119" s="82"/>
      <c r="T119" s="93"/>
    </row>
    <row r="120" spans="1:20" s="120" customFormat="1">
      <c r="A120" s="254" t="s">
        <v>256</v>
      </c>
      <c r="B120" s="119" t="s">
        <v>9</v>
      </c>
      <c r="C120" s="149">
        <f>'01'!C120</f>
        <v>22152</v>
      </c>
      <c r="D120" s="134">
        <v>370</v>
      </c>
      <c r="E120" s="110">
        <v>0</v>
      </c>
      <c r="F120" s="138">
        <f t="shared" si="14"/>
        <v>0</v>
      </c>
      <c r="G120" s="134">
        <f>D120+'20'!G120</f>
        <v>15050</v>
      </c>
      <c r="H120" s="110">
        <f>E120+'20'!H120</f>
        <v>0</v>
      </c>
      <c r="I120" s="138">
        <f t="shared" si="15"/>
        <v>0</v>
      </c>
      <c r="J120" s="856"/>
      <c r="K120" s="857"/>
      <c r="L120" s="154"/>
      <c r="M120" s="154"/>
      <c r="N120" s="152"/>
      <c r="O120" s="152"/>
      <c r="P120" s="152"/>
      <c r="S120" s="82"/>
      <c r="T120" s="93"/>
    </row>
    <row r="121" spans="1:20" s="120" customFormat="1">
      <c r="A121" s="254" t="s">
        <v>199</v>
      </c>
      <c r="B121" s="119" t="s">
        <v>9</v>
      </c>
      <c r="C121" s="149">
        <f>'01'!C121</f>
        <v>1360</v>
      </c>
      <c r="D121" s="134">
        <v>0</v>
      </c>
      <c r="E121" s="110">
        <v>0</v>
      </c>
      <c r="F121" s="138">
        <f t="shared" si="14"/>
        <v>0</v>
      </c>
      <c r="G121" s="134">
        <f>D121+'20'!G121</f>
        <v>816</v>
      </c>
      <c r="H121" s="110">
        <f>E121+'20'!H121</f>
        <v>0</v>
      </c>
      <c r="I121" s="138">
        <f t="shared" si="15"/>
        <v>0</v>
      </c>
      <c r="J121" s="856"/>
      <c r="K121" s="857"/>
      <c r="L121" s="154"/>
      <c r="M121" s="154"/>
      <c r="N121" s="152"/>
      <c r="O121" s="152"/>
      <c r="P121" s="152"/>
      <c r="S121" s="82"/>
      <c r="T121" s="93"/>
    </row>
    <row r="122" spans="1:20" s="120" customFormat="1">
      <c r="A122" s="246" t="s">
        <v>206</v>
      </c>
      <c r="B122" s="119" t="s">
        <v>9</v>
      </c>
      <c r="C122" s="149">
        <f>'01'!C122</f>
        <v>18120</v>
      </c>
      <c r="D122" s="134">
        <v>1012</v>
      </c>
      <c r="E122" s="110">
        <v>0</v>
      </c>
      <c r="F122" s="138">
        <f t="shared" si="14"/>
        <v>0</v>
      </c>
      <c r="G122" s="134">
        <f>D122+'20'!G122</f>
        <v>13364</v>
      </c>
      <c r="H122" s="110">
        <f>E122+'20'!H122</f>
        <v>1823.35</v>
      </c>
      <c r="I122" s="138">
        <f t="shared" si="15"/>
        <v>0.13643744387907811</v>
      </c>
      <c r="J122" s="856"/>
      <c r="K122" s="857"/>
      <c r="L122" s="154"/>
      <c r="M122" s="154"/>
      <c r="N122" s="152"/>
      <c r="O122" s="152"/>
      <c r="P122" s="152"/>
      <c r="S122" s="82"/>
      <c r="T122" s="93"/>
    </row>
    <row r="123" spans="1:20" ht="16.5" thickBot="1">
      <c r="A123" s="1162" t="s">
        <v>8</v>
      </c>
      <c r="B123" s="1163"/>
      <c r="C123" s="1163"/>
      <c r="D123" s="1163"/>
      <c r="E123" s="1163"/>
      <c r="F123" s="1163"/>
      <c r="G123" s="1163"/>
      <c r="H123" s="1163"/>
      <c r="I123" s="1164"/>
      <c r="J123" s="153"/>
      <c r="K123" s="154"/>
      <c r="L123" s="158"/>
      <c r="M123" s="154"/>
      <c r="N123" s="154"/>
      <c r="O123" s="154"/>
      <c r="P123" s="154"/>
      <c r="T123" s="93"/>
    </row>
    <row r="124" spans="1:20" ht="31.5">
      <c r="A124" s="1106" t="s">
        <v>7</v>
      </c>
      <c r="B124" s="1088" t="s">
        <v>6</v>
      </c>
      <c r="C124" s="1135"/>
      <c r="D124" s="1136" t="s">
        <v>5</v>
      </c>
      <c r="E124" s="1137"/>
      <c r="F124" s="1135"/>
      <c r="G124" s="1137" t="s">
        <v>4</v>
      </c>
      <c r="H124" s="1137"/>
      <c r="I124" s="1135"/>
      <c r="J124" s="787" t="s">
        <v>89</v>
      </c>
      <c r="K124" s="353" t="s">
        <v>90</v>
      </c>
      <c r="L124" s="158"/>
      <c r="M124" s="154"/>
      <c r="N124" s="154"/>
      <c r="O124" s="154"/>
      <c r="P124" s="154"/>
      <c r="T124" s="93"/>
    </row>
    <row r="125" spans="1:20" ht="16.5" thickBot="1">
      <c r="A125" s="1107"/>
      <c r="B125" s="1089"/>
      <c r="C125" s="1118"/>
      <c r="D125" s="909" t="s">
        <v>3</v>
      </c>
      <c r="E125" s="916" t="s">
        <v>2</v>
      </c>
      <c r="F125" s="912" t="s">
        <v>1</v>
      </c>
      <c r="G125" s="788" t="s">
        <v>3</v>
      </c>
      <c r="H125" s="790" t="s">
        <v>2</v>
      </c>
      <c r="I125" s="791" t="s">
        <v>1</v>
      </c>
      <c r="J125" s="380">
        <f>SUM(N85:N91)</f>
        <v>0</v>
      </c>
      <c r="K125" s="328">
        <f>N92+N93</f>
        <v>0</v>
      </c>
      <c r="L125" s="154"/>
      <c r="M125" s="154"/>
      <c r="N125" s="154"/>
      <c r="O125" s="154"/>
      <c r="P125" s="154"/>
      <c r="T125" s="93"/>
    </row>
    <row r="126" spans="1:20">
      <c r="A126" s="327" t="s">
        <v>193</v>
      </c>
      <c r="B126" s="145" t="s">
        <v>182</v>
      </c>
      <c r="C126" s="781" t="s">
        <v>189</v>
      </c>
      <c r="D126" s="352">
        <v>40.5</v>
      </c>
      <c r="E126" s="256">
        <v>40.995613640707333</v>
      </c>
      <c r="F126" s="157">
        <f>IFERROR(E126/D126,0)</f>
        <v>1.0122373738446255</v>
      </c>
      <c r="G126" s="204">
        <v>40.5</v>
      </c>
      <c r="H126" s="200">
        <v>43.000531654617177</v>
      </c>
      <c r="I126" s="157">
        <f>IFERROR(H126/G126,0)</f>
        <v>1.0617415223362265</v>
      </c>
      <c r="J126" s="697"/>
      <c r="K126" s="598"/>
      <c r="L126" s="154"/>
      <c r="M126" s="154"/>
      <c r="N126" s="154"/>
      <c r="O126" s="154"/>
      <c r="P126" s="154"/>
      <c r="T126" s="93"/>
    </row>
    <row r="127" spans="1:20">
      <c r="A127" s="327" t="s">
        <v>177</v>
      </c>
      <c r="B127" s="145" t="s">
        <v>182</v>
      </c>
      <c r="C127" s="781" t="s">
        <v>178</v>
      </c>
      <c r="D127" s="352">
        <v>17</v>
      </c>
      <c r="E127" s="256">
        <v>15.453587111972672</v>
      </c>
      <c r="F127" s="157">
        <f t="shared" ref="F127:F132" si="16">IFERROR(E127/D127,0)</f>
        <v>0.90903453599839246</v>
      </c>
      <c r="G127" s="204">
        <v>17</v>
      </c>
      <c r="H127" s="200">
        <v>17.246526890185589</v>
      </c>
      <c r="I127" s="157">
        <f t="shared" ref="I127:I132" si="17">IFERROR(H127/G127,0)</f>
        <v>1.0145015817756229</v>
      </c>
      <c r="J127" s="154"/>
      <c r="K127" s="154"/>
      <c r="L127" s="154"/>
      <c r="M127" s="154"/>
      <c r="N127" s="154"/>
      <c r="O127" s="154"/>
      <c r="P127" s="154"/>
      <c r="T127" s="93"/>
    </row>
    <row r="128" spans="1:20">
      <c r="A128" s="327" t="s">
        <v>160</v>
      </c>
      <c r="B128" s="145" t="s">
        <v>51</v>
      </c>
      <c r="C128" s="781" t="s">
        <v>0</v>
      </c>
      <c r="D128" s="352">
        <v>3</v>
      </c>
      <c r="E128" s="256">
        <f>P131</f>
        <v>0</v>
      </c>
      <c r="F128" s="157">
        <f t="shared" si="16"/>
        <v>0</v>
      </c>
      <c r="G128" s="267">
        <v>3</v>
      </c>
      <c r="H128" s="256">
        <f>P132</f>
        <v>2.7306506005953359</v>
      </c>
      <c r="I128" s="157">
        <f t="shared" si="17"/>
        <v>0.91021686686511194</v>
      </c>
      <c r="J128" s="154"/>
      <c r="K128" s="154"/>
      <c r="N128" s="154"/>
      <c r="O128" s="154"/>
      <c r="P128" s="154"/>
      <c r="T128" s="93"/>
    </row>
    <row r="129" spans="1:20" ht="15.75" customHeight="1">
      <c r="A129" s="327" t="s">
        <v>181</v>
      </c>
      <c r="B129" s="145" t="s">
        <v>182</v>
      </c>
      <c r="C129" s="781" t="s">
        <v>183</v>
      </c>
      <c r="D129" s="352">
        <v>21</v>
      </c>
      <c r="E129" s="256">
        <v>18.994706962377464</v>
      </c>
      <c r="F129" s="157">
        <f t="shared" si="16"/>
        <v>0.90450985535130779</v>
      </c>
      <c r="G129" s="204">
        <v>21</v>
      </c>
      <c r="H129" s="200">
        <v>20.971032965863039</v>
      </c>
      <c r="I129" s="157">
        <f t="shared" si="17"/>
        <v>0.99862061742204944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93"/>
    </row>
    <row r="130" spans="1:20" ht="31.5">
      <c r="A130" s="327" t="s">
        <v>179</v>
      </c>
      <c r="B130" s="145" t="s">
        <v>182</v>
      </c>
      <c r="C130" s="781" t="s">
        <v>161</v>
      </c>
      <c r="D130" s="352">
        <v>42</v>
      </c>
      <c r="E130" s="256">
        <v>3.7889349700134995</v>
      </c>
      <c r="F130" s="157">
        <f t="shared" si="16"/>
        <v>9.0212737381273805E-2</v>
      </c>
      <c r="G130" s="204">
        <v>42</v>
      </c>
      <c r="H130" s="200">
        <v>11.948997253690584</v>
      </c>
      <c r="I130" s="157">
        <f t="shared" si="17"/>
        <v>0.28449993461168055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93"/>
    </row>
    <row r="131" spans="1:20">
      <c r="A131" s="327" t="s">
        <v>180</v>
      </c>
      <c r="B131" s="145" t="s">
        <v>182</v>
      </c>
      <c r="C131" s="781" t="s">
        <v>162</v>
      </c>
      <c r="D131" s="352">
        <v>35</v>
      </c>
      <c r="E131" s="256">
        <v>32.57665096737319</v>
      </c>
      <c r="F131" s="157">
        <f t="shared" si="16"/>
        <v>0.93076145621066253</v>
      </c>
      <c r="G131" s="204">
        <v>35</v>
      </c>
      <c r="H131" s="200">
        <v>33.235606334788123</v>
      </c>
      <c r="I131" s="157">
        <f t="shared" si="17"/>
        <v>0.94958875242251783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3"/>
      <c r="O131" s="110">
        <f>M131*4.184*K131/1000</f>
        <v>0</v>
      </c>
      <c r="P131" s="628">
        <f>IFERROR(O131/J131,0)</f>
        <v>0</v>
      </c>
    </row>
    <row r="132" spans="1:20" ht="16.5" thickBot="1">
      <c r="A132" s="678" t="s">
        <v>92</v>
      </c>
      <c r="B132" s="691" t="s">
        <v>48</v>
      </c>
      <c r="C132" s="782" t="s">
        <v>184</v>
      </c>
      <c r="D132" s="687">
        <v>100.69</v>
      </c>
      <c r="E132" s="682">
        <v>101.65660293608713</v>
      </c>
      <c r="F132" s="684">
        <f t="shared" si="16"/>
        <v>1.0095997908043215</v>
      </c>
      <c r="G132" s="688">
        <v>100.69</v>
      </c>
      <c r="H132" s="683">
        <v>86.696478618910305</v>
      </c>
      <c r="I132" s="684">
        <f t="shared" si="17"/>
        <v>0.86102372250382664</v>
      </c>
      <c r="N132" s="728" t="s">
        <v>188</v>
      </c>
      <c r="O132" s="704">
        <f>O131+'20'!O132</f>
        <v>46077.193194178442</v>
      </c>
      <c r="P132" s="724">
        <f>IFERROR(O132/H5,0)</f>
        <v>2.7306506005953359</v>
      </c>
    </row>
    <row r="133" spans="1:20" ht="16.5" thickBot="1">
      <c r="C133" s="115"/>
      <c r="D133" s="93"/>
      <c r="E133" s="93"/>
      <c r="F133" s="93"/>
      <c r="K133" s="1173" t="s">
        <v>112</v>
      </c>
      <c r="L133" s="1174"/>
      <c r="M133" s="1174"/>
      <c r="N133" s="1175"/>
    </row>
    <row r="134" spans="1:20" ht="16.5" thickBot="1">
      <c r="C134" s="115"/>
      <c r="D134" s="93"/>
      <c r="E134" s="93"/>
      <c r="F134" s="93"/>
      <c r="K134" s="364" t="s">
        <v>95</v>
      </c>
      <c r="L134" s="364" t="s">
        <v>147</v>
      </c>
      <c r="M134" s="364" t="s">
        <v>104</v>
      </c>
      <c r="N134" s="379">
        <v>118041</v>
      </c>
      <c r="O134" s="115"/>
      <c r="P134" s="115"/>
      <c r="S134" s="82" t="s">
        <v>148</v>
      </c>
    </row>
    <row r="135" spans="1:20" ht="16.5" thickBot="1">
      <c r="C135" s="115"/>
      <c r="D135" s="93"/>
      <c r="E135" s="93"/>
      <c r="F135" s="93"/>
      <c r="K135" s="365"/>
      <c r="L135" s="366">
        <f>SUM(L136:L140)</f>
        <v>0</v>
      </c>
      <c r="M135" s="366">
        <f>SUM(M136:M140)</f>
        <v>0</v>
      </c>
      <c r="N135" s="367"/>
      <c r="O135" s="382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8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19">IFERROR(C139/$B$139,0)</f>
        <v>0</v>
      </c>
      <c r="D140" s="335">
        <f t="shared" si="19"/>
        <v>0</v>
      </c>
      <c r="E140" s="335">
        <f t="shared" si="19"/>
        <v>0</v>
      </c>
      <c r="F140" s="335">
        <f t="shared" si="19"/>
        <v>0</v>
      </c>
      <c r="G140" s="335">
        <f t="shared" si="19"/>
        <v>0</v>
      </c>
      <c r="H140" s="335">
        <f t="shared" si="19"/>
        <v>0</v>
      </c>
      <c r="I140" s="326">
        <f t="shared" si="18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8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0">IFERROR(C141/$B$141,0)</f>
        <v>0</v>
      </c>
      <c r="D142" s="335">
        <f t="shared" si="20"/>
        <v>0</v>
      </c>
      <c r="E142" s="335">
        <f t="shared" si="20"/>
        <v>0</v>
      </c>
      <c r="F142" s="335">
        <f t="shared" si="20"/>
        <v>0</v>
      </c>
      <c r="G142" s="335">
        <f t="shared" si="20"/>
        <v>0</v>
      </c>
      <c r="H142" s="335">
        <f t="shared" si="20"/>
        <v>0</v>
      </c>
      <c r="I142" s="326">
        <f t="shared" si="18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8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132043</v>
      </c>
    </row>
    <row r="144" spans="1:20" ht="16.5" thickBot="1">
      <c r="A144" s="321"/>
      <c r="B144" s="336"/>
      <c r="C144" s="335">
        <f t="shared" ref="C144:H144" si="21">IFERROR(C143/$B$143,0)</f>
        <v>0</v>
      </c>
      <c r="D144" s="335">
        <f t="shared" si="21"/>
        <v>0</v>
      </c>
      <c r="E144" s="335">
        <f t="shared" si="21"/>
        <v>0</v>
      </c>
      <c r="F144" s="335">
        <f t="shared" si="21"/>
        <v>0</v>
      </c>
      <c r="G144" s="335">
        <f t="shared" si="21"/>
        <v>0</v>
      </c>
      <c r="H144" s="335">
        <f t="shared" si="21"/>
        <v>0</v>
      </c>
      <c r="I144" s="326">
        <f t="shared" si="18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82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8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2">IFERROR(C145/$B$145,0)</f>
        <v>0</v>
      </c>
      <c r="D146" s="335">
        <f t="shared" si="22"/>
        <v>0</v>
      </c>
      <c r="E146" s="335">
        <f t="shared" si="22"/>
        <v>0</v>
      </c>
      <c r="F146" s="335">
        <f t="shared" si="22"/>
        <v>0</v>
      </c>
      <c r="G146" s="335">
        <f t="shared" si="22"/>
        <v>0</v>
      </c>
      <c r="H146" s="335">
        <f t="shared" si="22"/>
        <v>0</v>
      </c>
      <c r="I146" s="326">
        <f t="shared" si="18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8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3">IFERROR(C147/$B$147,0)</f>
        <v>0</v>
      </c>
      <c r="D148" s="335">
        <f t="shared" si="23"/>
        <v>0</v>
      </c>
      <c r="E148" s="335">
        <f t="shared" si="23"/>
        <v>0</v>
      </c>
      <c r="F148" s="335">
        <f t="shared" si="23"/>
        <v>0</v>
      </c>
      <c r="G148" s="335">
        <f t="shared" si="23"/>
        <v>0</v>
      </c>
      <c r="H148" s="335">
        <f t="shared" si="23"/>
        <v>0</v>
      </c>
      <c r="I148" s="326">
        <f t="shared" si="18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4">B139+B141+B143+B145+B147</f>
        <v>0</v>
      </c>
      <c r="C149" s="349">
        <f t="shared" si="24"/>
        <v>0</v>
      </c>
      <c r="D149" s="349">
        <f t="shared" si="24"/>
        <v>0</v>
      </c>
      <c r="E149" s="349">
        <f>E139+E141+E143+E145+E147</f>
        <v>0</v>
      </c>
      <c r="F149" s="349">
        <f t="shared" si="24"/>
        <v>0</v>
      </c>
      <c r="G149" s="349">
        <f t="shared" si="24"/>
        <v>0</v>
      </c>
      <c r="H149" s="349">
        <f t="shared" si="24"/>
        <v>0</v>
      </c>
      <c r="I149" s="324">
        <f t="shared" si="24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5">IFERROR(C149/$B$149,0)</f>
        <v>0</v>
      </c>
      <c r="D150" s="346">
        <f t="shared" si="25"/>
        <v>0</v>
      </c>
      <c r="E150" s="346">
        <f t="shared" si="25"/>
        <v>0</v>
      </c>
      <c r="F150" s="346">
        <f t="shared" si="25"/>
        <v>0</v>
      </c>
      <c r="G150" s="346">
        <f t="shared" si="25"/>
        <v>0</v>
      </c>
      <c r="H150" s="346">
        <f t="shared" si="25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15:K115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6" man="1"/>
  </rowBreaks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8.140625" style="1" bestFit="1" customWidth="1"/>
    <col min="22" max="23" width="9.140625" style="1"/>
    <col min="24" max="24" width="10.7109375" style="1" bestFit="1" customWidth="1"/>
    <col min="25" max="25" width="14.140625" style="1" customWidth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22 ",Q1)</f>
        <v>Ежедневный отчет производства и отгрузки за 22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0</v>
      </c>
      <c r="F5" s="30">
        <f t="shared" si="0"/>
        <v>0</v>
      </c>
      <c r="G5" s="30">
        <f t="shared" si="0"/>
        <v>100500</v>
      </c>
      <c r="H5" s="30">
        <f t="shared" si="0"/>
        <v>16874.071396806572</v>
      </c>
      <c r="I5" s="29">
        <f>IFERROR((H5/G5),0)</f>
        <v>0.16790120792842361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0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18"/>
      <c r="G6" s="18">
        <f>E6+'21'!G6</f>
        <v>0</v>
      </c>
      <c r="H6" s="24">
        <f>F6+'21'!H6</f>
        <v>6671.6154299884374</v>
      </c>
      <c r="I6" s="17"/>
      <c r="J6" s="949"/>
      <c r="K6" s="67">
        <f>J6+'21'!K6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9" t="s">
        <v>9</v>
      </c>
      <c r="C7" s="20"/>
      <c r="D7" s="149">
        <f>'01'!D7</f>
        <v>0</v>
      </c>
      <c r="E7" s="19"/>
      <c r="F7" s="18">
        <v>0</v>
      </c>
      <c r="G7" s="18"/>
      <c r="H7" s="24">
        <f>F7+'21'!H7</f>
        <v>0</v>
      </c>
      <c r="I7" s="17"/>
      <c r="J7" s="949"/>
      <c r="K7" s="67">
        <f>J7+'21'!K7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F8+'21'!H8</f>
        <v>0</v>
      </c>
      <c r="I8" s="17"/>
      <c r="J8" s="949"/>
      <c r="K8" s="67">
        <f>J8+'21'!K8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s="4" customFormat="1" collapsed="1">
      <c r="A9" s="41" t="s">
        <v>65</v>
      </c>
      <c r="B9" s="26" t="s">
        <v>9</v>
      </c>
      <c r="C9" s="20">
        <f>'01'!C9</f>
        <v>160800</v>
      </c>
      <c r="D9" s="25">
        <f>'01'!D9</f>
        <v>127072.29376141207</v>
      </c>
      <c r="E9" s="97">
        <v>0</v>
      </c>
      <c r="F9" s="24">
        <f>F10+F11+F12</f>
        <v>0</v>
      </c>
      <c r="G9" s="18">
        <f>E9+'21'!G9</f>
        <v>100500</v>
      </c>
      <c r="H9" s="24">
        <f>F9+'21'!H9</f>
        <v>10202.455966818135</v>
      </c>
      <c r="I9" s="17">
        <f>IFERROR((H9/G9),0)</f>
        <v>0.1015169747942103</v>
      </c>
      <c r="J9" s="946">
        <f>J10+J11+J12+J13</f>
        <v>0</v>
      </c>
      <c r="K9" s="67">
        <f>J9+'21'!K9</f>
        <v>17027.103675312697</v>
      </c>
      <c r="L9" s="25">
        <f>D9+H9-K9+M9+N9</f>
        <v>120247.64605291751</v>
      </c>
      <c r="M9" s="54"/>
      <c r="N9" s="54">
        <f>N10</f>
        <v>0</v>
      </c>
      <c r="O9" s="1262"/>
      <c r="P9" s="1263"/>
      <c r="Q9" s="604"/>
      <c r="R9" s="602"/>
      <c r="S9" s="614"/>
      <c r="T9" s="3"/>
    </row>
    <row r="10" spans="1:20">
      <c r="A10" s="74" t="s">
        <v>64</v>
      </c>
      <c r="B10" s="9" t="s">
        <v>9</v>
      </c>
      <c r="C10" s="20"/>
      <c r="D10" s="20">
        <f>'01'!D10</f>
        <v>56300.273909357406</v>
      </c>
      <c r="E10" s="19"/>
      <c r="F10" s="110">
        <v>0</v>
      </c>
      <c r="G10" s="18">
        <f>E10+'21'!G10</f>
        <v>0</v>
      </c>
      <c r="H10" s="18">
        <f>F10+'21'!H10</f>
        <v>10202.455966818135</v>
      </c>
      <c r="I10" s="17"/>
      <c r="J10" s="178">
        <v>0</v>
      </c>
      <c r="K10" s="67">
        <f>J10+'21'!K10</f>
        <v>17027.103675312697</v>
      </c>
      <c r="L10" s="149">
        <f>D10+H10-K10+M10+N10</f>
        <v>49475.62620086284</v>
      </c>
      <c r="M10" s="53"/>
      <c r="N10" s="101"/>
      <c r="O10" s="1246"/>
      <c r="P10" s="1247"/>
      <c r="Q10" s="604"/>
      <c r="R10" s="602"/>
    </row>
    <row r="11" spans="1:20">
      <c r="A11" s="74" t="s">
        <v>244</v>
      </c>
      <c r="B11" s="9" t="s">
        <v>9</v>
      </c>
      <c r="C11" s="20"/>
      <c r="D11" s="20">
        <f>'01'!D11</f>
        <v>18224.01726010743</v>
      </c>
      <c r="E11" s="19"/>
      <c r="F11" s="18"/>
      <c r="G11" s="18">
        <f>E11+'21'!G11</f>
        <v>0</v>
      </c>
      <c r="H11" s="18">
        <f>F11+'21'!H11</f>
        <v>0</v>
      </c>
      <c r="I11" s="17"/>
      <c r="J11" s="178">
        <v>0</v>
      </c>
      <c r="K11" s="67">
        <f>J11+'21'!K11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</row>
    <row r="12" spans="1:20" outlineLevel="1">
      <c r="A12" s="79" t="s">
        <v>154</v>
      </c>
      <c r="B12" s="9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E12+'21'!G12</f>
        <v>0</v>
      </c>
      <c r="H12" s="18">
        <f>F12+'21'!H12</f>
        <v>0</v>
      </c>
      <c r="I12" s="955">
        <f>IFERROR((H12/G12),0)</f>
        <v>0</v>
      </c>
      <c r="J12" s="949"/>
      <c r="K12" s="67">
        <f>J12+'21'!K12</f>
        <v>0</v>
      </c>
      <c r="L12" s="149">
        <f>D12+H12-K12</f>
        <v>52548.002591947239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98"/>
      <c r="G13" s="18">
        <f>E13+'21'!G13</f>
        <v>0</v>
      </c>
      <c r="H13" s="110">
        <f>F13+'21'!H13</f>
        <v>0</v>
      </c>
      <c r="I13" s="17"/>
      <c r="J13" s="949"/>
      <c r="K13" s="124">
        <f>J13+'21'!K13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6138</v>
      </c>
      <c r="F14" s="30">
        <f>SUM(F15:F21)</f>
        <v>0</v>
      </c>
      <c r="G14" s="30">
        <f>SUM(G15:G21)</f>
        <v>138487.99999999997</v>
      </c>
      <c r="H14" s="30">
        <f>SUM(H15:H21)</f>
        <v>18857.68830004807</v>
      </c>
      <c r="I14" s="29">
        <f t="shared" ref="I14:I21" si="1">IFERROR((H14/G14),0)</f>
        <v>0.1361683922076142</v>
      </c>
      <c r="J14" s="948">
        <f>SUM(J15:J21)</f>
        <v>0</v>
      </c>
      <c r="K14" s="50">
        <f>K15+K16+K17+K18+K19+K20+K21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8">
        <v>0</v>
      </c>
      <c r="G15" s="18">
        <f>E15+'21'!G15</f>
        <v>0</v>
      </c>
      <c r="H15" s="24">
        <f>F15+'21'!H15</f>
        <v>0</v>
      </c>
      <c r="I15" s="17">
        <f t="shared" si="1"/>
        <v>0</v>
      </c>
      <c r="J15" s="192">
        <v>0</v>
      </c>
      <c r="K15" s="67">
        <f>J15+'21'!K15</f>
        <v>0</v>
      </c>
      <c r="L15" s="20">
        <f t="shared" ref="L15:L37" si="2">D15+H15-K15+M15</f>
        <v>0</v>
      </c>
      <c r="M15" s="53"/>
      <c r="N15" s="427"/>
      <c r="O15" s="1250"/>
      <c r="P15" s="1251"/>
      <c r="Q15" s="602"/>
      <c r="R15" s="602"/>
      <c r="S15" s="702"/>
      <c r="T15" s="702"/>
    </row>
    <row r="16" spans="1:20" outlineLevel="1">
      <c r="A16" s="46" t="s">
        <v>254</v>
      </c>
      <c r="B16" s="9" t="s">
        <v>9</v>
      </c>
      <c r="C16" s="20">
        <f>'01'!C16</f>
        <v>44352</v>
      </c>
      <c r="D16" s="20">
        <f>'01'!D16</f>
        <v>6069.3572595923979</v>
      </c>
      <c r="E16" s="134">
        <v>1395.7781788351108</v>
      </c>
      <c r="F16" s="171">
        <v>0</v>
      </c>
      <c r="G16" s="18">
        <f>E16+'21'!G16</f>
        <v>31492.103035274817</v>
      </c>
      <c r="H16" s="18">
        <f>F16+'21'!H16</f>
        <v>3228.5002277343951</v>
      </c>
      <c r="I16" s="956">
        <f t="shared" si="1"/>
        <v>0.10251777164954971</v>
      </c>
      <c r="J16" s="751">
        <f>IFERROR(SUMIF(A101:A114,A16,E101:E114),0)+E111+E112+E113</f>
        <v>0</v>
      </c>
      <c r="K16" s="67">
        <f>J16+'21'!K16</f>
        <v>3320.85</v>
      </c>
      <c r="L16" s="399">
        <f t="shared" si="2"/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0">
      <c r="A17" s="733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E17+'21'!G17</f>
        <v>0</v>
      </c>
      <c r="H17" s="18">
        <f>F17+'21'!H17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J17+'21'!K17</f>
        <v>0</v>
      </c>
      <c r="L17" s="399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0" ht="15" customHeight="1">
      <c r="A18" s="46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E18+'21'!G18</f>
        <v>0</v>
      </c>
      <c r="H18" s="18">
        <f>F18+'21'!H18</f>
        <v>0</v>
      </c>
      <c r="I18" s="956">
        <f t="shared" si="1"/>
        <v>0</v>
      </c>
      <c r="J18" s="751">
        <f>IFERROR(SUMIF(A102:A115,A18,E102:E115),0)+E118+E120</f>
        <v>0</v>
      </c>
      <c r="K18" s="67">
        <f>J18+'21'!K18</f>
        <v>0</v>
      </c>
      <c r="L18" s="398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0" s="56" customFormat="1">
      <c r="A19" s="123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4587.4500615258403</v>
      </c>
      <c r="F19" s="131">
        <v>0</v>
      </c>
      <c r="G19" s="18">
        <f>E19+'21'!G19</f>
        <v>103503.87489745693</v>
      </c>
      <c r="H19" s="18">
        <f>F19+'21'!H19</f>
        <v>15629.188072313675</v>
      </c>
      <c r="I19" s="957">
        <f t="shared" si="1"/>
        <v>0.15100099477239648</v>
      </c>
      <c r="J19" s="751">
        <f>IFERROR(SUMIF(A102:A115,A19,E102:E115),0)+E117+E115+E122</f>
        <v>0</v>
      </c>
      <c r="K19" s="67">
        <f>J19+'21'!K19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0">
      <c r="A20" s="4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111.97192370795734</v>
      </c>
      <c r="F20" s="110">
        <v>0</v>
      </c>
      <c r="G20" s="18">
        <f>E20+'21'!G20</f>
        <v>2526.3551271534047</v>
      </c>
      <c r="H20" s="18">
        <f>F20+'21'!H20</f>
        <v>0</v>
      </c>
      <c r="I20" s="17">
        <f t="shared" si="1"/>
        <v>0</v>
      </c>
      <c r="J20" s="751">
        <f>IFERROR(SUMIF(A102:A115,A20,E102:E115),0)</f>
        <v>0</v>
      </c>
      <c r="K20" s="67">
        <f>J20+'21'!K20</f>
        <v>826.59999999999991</v>
      </c>
      <c r="L20" s="60">
        <f t="shared" si="2"/>
        <v>2577.4479510608048</v>
      </c>
      <c r="M20" s="53"/>
      <c r="N20" s="427"/>
      <c r="O20" s="1250"/>
      <c r="P20" s="1251"/>
      <c r="Q20" s="602"/>
      <c r="R20" s="602"/>
      <c r="S20" s="5"/>
    </row>
    <row r="21" spans="1:20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42.799835931091053</v>
      </c>
      <c r="F21" s="110">
        <v>0</v>
      </c>
      <c r="G21" s="18">
        <f>E21+'21'!G21</f>
        <v>965.66694011484822</v>
      </c>
      <c r="H21" s="18">
        <f>F21+'21'!H21</f>
        <v>0</v>
      </c>
      <c r="I21" s="17">
        <f t="shared" si="1"/>
        <v>0</v>
      </c>
      <c r="J21" s="751">
        <f>IFERROR(SUMIF(A102:A115,A21,E102:E115),0)</f>
        <v>0</v>
      </c>
      <c r="K21" s="67">
        <f>J21+'21'!K21</f>
        <v>0</v>
      </c>
      <c r="L21" s="60">
        <f t="shared" si="2"/>
        <v>8.7766238721087575E-11</v>
      </c>
      <c r="M21" s="409"/>
      <c r="N21" s="429"/>
      <c r="O21" s="1252"/>
      <c r="P21" s="1253"/>
      <c r="Q21" s="602"/>
      <c r="R21" s="602"/>
    </row>
    <row r="22" spans="1:20">
      <c r="A22" s="733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110">
        <v>0</v>
      </c>
      <c r="G22" s="18">
        <f>E22+'21'!G22</f>
        <v>1100</v>
      </c>
      <c r="H22" s="18">
        <f>F22+'21'!H22</f>
        <v>2130.1044634377968</v>
      </c>
      <c r="I22" s="23"/>
      <c r="J22" s="751">
        <f>IFERROR(SUMIF(A103:A123,A22,E103:E123),0)+E109</f>
        <v>0</v>
      </c>
      <c r="K22" s="67">
        <f>J22+'21'!K22</f>
        <v>757.20000000000016</v>
      </c>
      <c r="L22" s="60">
        <f t="shared" si="2"/>
        <v>4206.655098319975</v>
      </c>
      <c r="M22" s="409"/>
      <c r="N22" s="429"/>
      <c r="O22" s="1325"/>
      <c r="P22" s="1253"/>
      <c r="Q22" s="602"/>
      <c r="R22" s="602"/>
    </row>
    <row r="23" spans="1:20" s="4" customFormat="1">
      <c r="A23" s="24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588">
        <f>SUM(F24:F29)</f>
        <v>0</v>
      </c>
      <c r="G23" s="24">
        <f>E23+'21'!G23</f>
        <v>0</v>
      </c>
      <c r="H23" s="24">
        <f>SUM(H24:H29)</f>
        <v>0</v>
      </c>
      <c r="I23" s="23">
        <f>IFERROR((H23/G23),0)</f>
        <v>0</v>
      </c>
      <c r="J23" s="953">
        <f>SUM(J24:J29)</f>
        <v>0</v>
      </c>
      <c r="K23" s="47">
        <f>J23+'21'!K23</f>
        <v>20</v>
      </c>
      <c r="L23" s="584">
        <f t="shared" si="2"/>
        <v>32</v>
      </c>
      <c r="M23" s="416"/>
      <c r="N23" s="432"/>
      <c r="O23" s="1254"/>
      <c r="P23" s="1255"/>
      <c r="Q23" s="606"/>
      <c r="R23" s="606"/>
      <c r="S23" s="616"/>
      <c r="T23" s="28"/>
    </row>
    <row r="24" spans="1:20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E24+'21'!G24</f>
        <v>0</v>
      </c>
      <c r="H24" s="18">
        <f>F24+'21'!H24</f>
        <v>0</v>
      </c>
      <c r="I24" s="23"/>
      <c r="J24" s="752">
        <v>0</v>
      </c>
      <c r="K24" s="67">
        <f>J24+'21'!K24</f>
        <v>0</v>
      </c>
      <c r="L24" s="60">
        <f t="shared" si="2"/>
        <v>0</v>
      </c>
      <c r="M24" s="416"/>
      <c r="N24" s="432"/>
      <c r="O24" s="925"/>
      <c r="P24" s="926"/>
      <c r="Q24" s="606"/>
      <c r="R24" s="606"/>
      <c r="S24" s="616"/>
      <c r="T24" s="28"/>
    </row>
    <row r="25" spans="1:20" s="4" customFormat="1" hidden="1" outlineLevel="1">
      <c r="A25" s="46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E25+'21'!G25</f>
        <v>0</v>
      </c>
      <c r="H25" s="18">
        <f>F25+'21'!H25</f>
        <v>0</v>
      </c>
      <c r="I25" s="23"/>
      <c r="J25" s="752">
        <v>0</v>
      </c>
      <c r="K25" s="67">
        <f>J25+'21'!K25</f>
        <v>20</v>
      </c>
      <c r="L25" s="60">
        <f t="shared" si="2"/>
        <v>-4</v>
      </c>
      <c r="M25" s="416"/>
      <c r="N25" s="432"/>
      <c r="O25" s="925"/>
      <c r="P25" s="926"/>
      <c r="Q25" s="606"/>
      <c r="R25" s="606"/>
      <c r="S25" s="616"/>
      <c r="T25" s="28"/>
    </row>
    <row r="26" spans="1:20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E26+'21'!G26</f>
        <v>0</v>
      </c>
      <c r="H26" s="18">
        <f>F26+'21'!H26</f>
        <v>0</v>
      </c>
      <c r="I26" s="23"/>
      <c r="J26" s="752">
        <v>0</v>
      </c>
      <c r="K26" s="67">
        <f>J26+'21'!K26</f>
        <v>0</v>
      </c>
      <c r="L26" s="60">
        <f t="shared" si="2"/>
        <v>36</v>
      </c>
      <c r="M26" s="416"/>
      <c r="N26" s="432"/>
      <c r="O26" s="925"/>
      <c r="P26" s="926"/>
      <c r="Q26" s="606"/>
      <c r="R26" s="606"/>
      <c r="S26" s="616"/>
      <c r="T26" s="28"/>
    </row>
    <row r="27" spans="1:20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E27+'21'!G27</f>
        <v>0</v>
      </c>
      <c r="H27" s="18">
        <f>F27+'21'!H27</f>
        <v>0</v>
      </c>
      <c r="I27" s="23"/>
      <c r="J27" s="752"/>
      <c r="K27" s="67">
        <f>J27+'21'!K27</f>
        <v>0</v>
      </c>
      <c r="L27" s="60">
        <f t="shared" si="2"/>
        <v>0</v>
      </c>
      <c r="M27" s="416"/>
      <c r="N27" s="432"/>
      <c r="O27" s="925"/>
      <c r="P27" s="926"/>
      <c r="Q27" s="606"/>
      <c r="R27" s="606"/>
      <c r="S27" s="616"/>
      <c r="T27" s="28"/>
    </row>
    <row r="28" spans="1:20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E28+'21'!G28</f>
        <v>0</v>
      </c>
      <c r="H28" s="18">
        <f>F28+'21'!H28</f>
        <v>0</v>
      </c>
      <c r="I28" s="23"/>
      <c r="J28" s="752"/>
      <c r="K28" s="67">
        <f>J28+'21'!K28</f>
        <v>0</v>
      </c>
      <c r="L28" s="60">
        <f t="shared" si="2"/>
        <v>0</v>
      </c>
      <c r="M28" s="416"/>
      <c r="N28" s="432"/>
      <c r="O28" s="925"/>
      <c r="P28" s="926"/>
      <c r="Q28" s="606"/>
      <c r="R28" s="606"/>
      <c r="S28" s="616"/>
      <c r="T28" s="28"/>
    </row>
    <row r="29" spans="1:20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E29+'21'!G29</f>
        <v>0</v>
      </c>
      <c r="H29" s="18">
        <f>F29+'21'!H29</f>
        <v>0</v>
      </c>
      <c r="I29" s="23"/>
      <c r="J29" s="752"/>
      <c r="K29" s="67">
        <f>J29+'21'!K29</f>
        <v>0</v>
      </c>
      <c r="L29" s="60">
        <f t="shared" si="2"/>
        <v>0</v>
      </c>
      <c r="M29" s="416"/>
      <c r="N29" s="432"/>
      <c r="O29" s="925"/>
      <c r="P29" s="926"/>
      <c r="Q29" s="606"/>
      <c r="R29" s="606"/>
      <c r="S29" s="616"/>
      <c r="T29" s="28"/>
    </row>
    <row r="30" spans="1:20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E30+'21'!G30</f>
        <v>0</v>
      </c>
      <c r="H30" s="588">
        <f>SUM(H31:H37)</f>
        <v>554.40000000000009</v>
      </c>
      <c r="I30" s="23">
        <f>IFERROR((H30/G30),0)</f>
        <v>0</v>
      </c>
      <c r="J30" s="953">
        <f>SUM(J31:J37)</f>
        <v>0</v>
      </c>
      <c r="K30" s="47">
        <f>J30+'21'!K30</f>
        <v>994.39999999999986</v>
      </c>
      <c r="L30" s="584">
        <f t="shared" si="2"/>
        <v>1073.6000000000001</v>
      </c>
      <c r="M30" s="416"/>
      <c r="N30" s="432"/>
      <c r="O30" s="1324"/>
      <c r="P30" s="1255"/>
      <c r="Q30" s="606"/>
      <c r="R30" s="606"/>
      <c r="S30" s="616"/>
      <c r="T30" s="28"/>
    </row>
    <row r="31" spans="1:20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E31+'21'!G31</f>
        <v>0</v>
      </c>
      <c r="H31" s="18">
        <f>F31+'21'!H31</f>
        <v>0</v>
      </c>
      <c r="I31" s="23"/>
      <c r="J31" s="751">
        <v>0</v>
      </c>
      <c r="K31" s="67">
        <f>J31+'21'!K31</f>
        <v>0</v>
      </c>
      <c r="L31" s="60">
        <f t="shared" si="2"/>
        <v>0</v>
      </c>
      <c r="M31" s="416"/>
      <c r="N31" s="432"/>
      <c r="O31" s="925"/>
      <c r="P31" s="926"/>
      <c r="Q31" s="606"/>
      <c r="R31" s="606"/>
      <c r="S31" s="616"/>
      <c r="T31" s="28"/>
    </row>
    <row r="32" spans="1:20" s="4" customFormat="1" hidden="1" outlineLevel="1">
      <c r="A32" s="46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E32+'21'!G32</f>
        <v>0</v>
      </c>
      <c r="H32" s="18">
        <f>F32+'21'!H32</f>
        <v>554.40000000000009</v>
      </c>
      <c r="I32" s="23"/>
      <c r="J32" s="751">
        <v>0</v>
      </c>
      <c r="K32" s="67">
        <f>J32+'21'!K32</f>
        <v>994.39999999999986</v>
      </c>
      <c r="L32" s="60">
        <f t="shared" si="2"/>
        <v>1068.3200000000004</v>
      </c>
      <c r="M32" s="416"/>
      <c r="N32" s="432"/>
      <c r="O32" s="925"/>
      <c r="P32" s="926"/>
      <c r="Q32" s="606"/>
      <c r="R32" s="606"/>
      <c r="S32" s="616"/>
      <c r="T32" s="28"/>
    </row>
    <row r="33" spans="1:25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E33+'21'!G33</f>
        <v>0</v>
      </c>
      <c r="H33" s="18">
        <f>F33+'21'!H33</f>
        <v>0</v>
      </c>
      <c r="I33" s="23"/>
      <c r="J33" s="751">
        <v>0</v>
      </c>
      <c r="K33" s="67">
        <f>J33+'21'!K33</f>
        <v>0</v>
      </c>
      <c r="L33" s="60">
        <f t="shared" si="2"/>
        <v>5.28</v>
      </c>
      <c r="M33" s="416"/>
      <c r="N33" s="432"/>
      <c r="O33" s="925"/>
      <c r="P33" s="926"/>
      <c r="Q33" s="606"/>
      <c r="R33" s="606"/>
      <c r="S33" s="616"/>
      <c r="T33" s="28"/>
    </row>
    <row r="34" spans="1:25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E34+'21'!G34</f>
        <v>0</v>
      </c>
      <c r="H34" s="18">
        <f>F34+'21'!H34</f>
        <v>0</v>
      </c>
      <c r="I34" s="23"/>
      <c r="J34" s="751"/>
      <c r="K34" s="67">
        <f>J34+'21'!K34</f>
        <v>0</v>
      </c>
      <c r="L34" s="60">
        <f t="shared" si="2"/>
        <v>0</v>
      </c>
      <c r="M34" s="416"/>
      <c r="N34" s="432"/>
      <c r="O34" s="925"/>
      <c r="P34" s="926"/>
      <c r="Q34" s="606"/>
      <c r="R34" s="606"/>
      <c r="S34" s="616"/>
      <c r="T34" s="28"/>
    </row>
    <row r="35" spans="1:25" s="4" customFormat="1" hidden="1" outlineLevel="1">
      <c r="A35" s="245"/>
      <c r="B35" s="9" t="s">
        <v>9</v>
      </c>
      <c r="C35" s="25"/>
      <c r="D35" s="25"/>
      <c r="E35" s="48"/>
      <c r="F35" s="193">
        <f>J35</f>
        <v>0</v>
      </c>
      <c r="G35" s="18">
        <f>E35+'21'!G35</f>
        <v>0</v>
      </c>
      <c r="H35" s="18">
        <f>F35+'21'!H35</f>
        <v>0</v>
      </c>
      <c r="I35" s="23"/>
      <c r="J35" s="751"/>
      <c r="K35" s="67">
        <f>J35+'21'!K35</f>
        <v>0</v>
      </c>
      <c r="L35" s="60">
        <f t="shared" si="2"/>
        <v>0</v>
      </c>
      <c r="M35" s="416"/>
      <c r="N35" s="432"/>
      <c r="O35" s="925"/>
      <c r="P35" s="926"/>
      <c r="Q35" s="606"/>
      <c r="R35" s="606"/>
      <c r="S35" s="616"/>
      <c r="T35" s="28"/>
    </row>
    <row r="36" spans="1:25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193">
        <f>J36</f>
        <v>0</v>
      </c>
      <c r="G36" s="18">
        <f>E36+'21'!G36</f>
        <v>0</v>
      </c>
      <c r="H36" s="18">
        <f>F36+'21'!H36</f>
        <v>0</v>
      </c>
      <c r="I36" s="23"/>
      <c r="J36" s="110">
        <v>0</v>
      </c>
      <c r="K36" s="67">
        <f>J36+'21'!K36</f>
        <v>0</v>
      </c>
      <c r="L36" s="60">
        <f t="shared" si="2"/>
        <v>1673.24</v>
      </c>
      <c r="M36" s="416"/>
      <c r="N36" s="432"/>
      <c r="O36" s="925"/>
      <c r="P36" s="926"/>
      <c r="Q36" s="606"/>
      <c r="R36" s="606"/>
      <c r="S36" s="616"/>
      <c r="T36" s="28"/>
    </row>
    <row r="37" spans="1:25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193">
        <f>J37</f>
        <v>0</v>
      </c>
      <c r="G37" s="18">
        <f>E37+'21'!G37</f>
        <v>0</v>
      </c>
      <c r="H37" s="18">
        <f>F37+'21'!H37</f>
        <v>0</v>
      </c>
      <c r="I37" s="23"/>
      <c r="J37" s="110">
        <v>0</v>
      </c>
      <c r="K37" s="67">
        <f>J37+'21'!K37</f>
        <v>0</v>
      </c>
      <c r="L37" s="60">
        <f t="shared" si="2"/>
        <v>294.63999999999987</v>
      </c>
      <c r="M37" s="416"/>
      <c r="N37" s="432"/>
      <c r="O37" s="925"/>
      <c r="P37" s="926"/>
      <c r="Q37" s="606"/>
      <c r="R37" s="606"/>
      <c r="S37" s="616"/>
      <c r="T37" s="28"/>
    </row>
    <row r="38" spans="1:25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E38+'21'!G38</f>
        <v>109260.59210553573</v>
      </c>
      <c r="H38" s="671">
        <f>F38+'21'!H38</f>
        <v>9132.5707721894778</v>
      </c>
      <c r="I38" s="958">
        <f>IFERROR((H38/G38),0)</f>
        <v>8.3585221315369135E-2</v>
      </c>
      <c r="J38" s="753">
        <f>SUM(J39:J40)</f>
        <v>0</v>
      </c>
      <c r="K38" s="672">
        <f>J38+'21'!K38</f>
        <v>9083.5707721894778</v>
      </c>
      <c r="L38" s="310">
        <f>D38+H38-K38</f>
        <v>1805.9829593932955</v>
      </c>
      <c r="M38" s="76"/>
      <c r="N38" s="45"/>
      <c r="O38" s="1256"/>
      <c r="P38" s="1257"/>
      <c r="Q38" s="607"/>
      <c r="R38" s="602"/>
      <c r="S38" s="614"/>
      <c r="T38" s="2"/>
    </row>
    <row r="39" spans="1:25" ht="15.75" customHeight="1">
      <c r="A39" s="74" t="s">
        <v>91</v>
      </c>
      <c r="B39" s="9" t="s">
        <v>9</v>
      </c>
      <c r="C39" s="20"/>
      <c r="D39" s="20"/>
      <c r="E39" s="48"/>
      <c r="F39" s="110">
        <v>0</v>
      </c>
      <c r="G39" s="24"/>
      <c r="H39" s="18">
        <f>F39+'21'!H39</f>
        <v>6840.5707721894778</v>
      </c>
      <c r="I39" s="17"/>
      <c r="J39" s="750">
        <f>F39</f>
        <v>0</v>
      </c>
      <c r="K39" s="239">
        <f>J39+'21'!K39</f>
        <v>6840.5707721894778</v>
      </c>
      <c r="L39" s="25"/>
      <c r="M39" s="76"/>
      <c r="N39" s="45"/>
      <c r="O39" s="1256"/>
      <c r="P39" s="1257"/>
      <c r="Q39" s="607"/>
      <c r="R39" s="602"/>
      <c r="S39" s="614"/>
      <c r="T39" s="2"/>
    </row>
    <row r="40" spans="1:25" ht="15.75" customHeight="1">
      <c r="A40" s="74" t="s">
        <v>109</v>
      </c>
      <c r="B40" s="9" t="s">
        <v>9</v>
      </c>
      <c r="C40" s="20"/>
      <c r="D40" s="20"/>
      <c r="E40" s="48"/>
      <c r="F40" s="110">
        <v>0</v>
      </c>
      <c r="G40" s="24"/>
      <c r="H40" s="18">
        <f>F40+'21'!H40</f>
        <v>2292</v>
      </c>
      <c r="I40" s="17"/>
      <c r="J40" s="178">
        <v>0</v>
      </c>
      <c r="K40" s="67">
        <f>J40+'21'!K40</f>
        <v>2243</v>
      </c>
      <c r="L40" s="25"/>
      <c r="M40" s="76"/>
      <c r="N40" s="45"/>
      <c r="O40" s="1256"/>
      <c r="P40" s="1257"/>
      <c r="Q40" s="607"/>
      <c r="R40" s="602"/>
      <c r="S40" s="614"/>
    </row>
    <row r="41" spans="1:25" ht="15.75" hidden="1" customHeight="1" outlineLevel="1">
      <c r="A41" s="74" t="s">
        <v>67</v>
      </c>
      <c r="B41" s="9" t="s">
        <v>9</v>
      </c>
      <c r="C41" s="20"/>
      <c r="D41" s="20"/>
      <c r="E41" s="48"/>
      <c r="F41" s="18"/>
      <c r="G41" s="24"/>
      <c r="H41" s="18">
        <f>F41+'21'!H41</f>
        <v>0</v>
      </c>
      <c r="I41" s="17"/>
      <c r="J41" s="192"/>
      <c r="K41" s="67">
        <f>J41+'21'!K41</f>
        <v>0</v>
      </c>
      <c r="L41" s="25"/>
      <c r="M41" s="76"/>
      <c r="N41" s="45"/>
      <c r="O41" s="1256"/>
      <c r="P41" s="1257"/>
      <c r="Q41" s="607"/>
      <c r="R41" s="602"/>
      <c r="S41" s="614"/>
      <c r="T41" s="2"/>
      <c r="U41" s="1029"/>
    </row>
    <row r="42" spans="1:25" ht="15.75" hidden="1" customHeight="1" outlineLevel="1">
      <c r="A42" s="74" t="s">
        <v>68</v>
      </c>
      <c r="B42" s="9" t="s">
        <v>9</v>
      </c>
      <c r="C42" s="20"/>
      <c r="D42" s="20"/>
      <c r="E42" s="48"/>
      <c r="F42" s="18"/>
      <c r="G42" s="24"/>
      <c r="H42" s="18">
        <f>F42+'21'!H42</f>
        <v>0</v>
      </c>
      <c r="I42" s="23"/>
      <c r="J42" s="192"/>
      <c r="K42" s="67">
        <f>J42+'21'!K42</f>
        <v>0</v>
      </c>
      <c r="L42" s="20"/>
      <c r="M42" s="76"/>
      <c r="N42" s="45"/>
      <c r="O42" s="1256"/>
      <c r="P42" s="1257"/>
      <c r="Q42" s="607"/>
      <c r="R42" s="602"/>
      <c r="S42" s="614"/>
      <c r="T42" s="2"/>
      <c r="U42" s="1029"/>
    </row>
    <row r="43" spans="1:25" ht="15.75" customHeight="1" collapsed="1">
      <c r="A43" s="74" t="s">
        <v>63</v>
      </c>
      <c r="B43" s="9" t="s">
        <v>9</v>
      </c>
      <c r="C43" s="20">
        <f>'01'!C43</f>
        <v>96601.878796744204</v>
      </c>
      <c r="D43" s="20"/>
      <c r="E43" s="312">
        <f>C43/30</f>
        <v>3220.06262655814</v>
      </c>
      <c r="F43" s="110">
        <v>0</v>
      </c>
      <c r="G43" s="18">
        <f>E43+'21'!G43</f>
        <v>70841.377784279059</v>
      </c>
      <c r="H43" s="18">
        <f>F43+'21'!H43</f>
        <v>8403.7999999999993</v>
      </c>
      <c r="I43" s="17">
        <f>IFERROR((H43/G43),0)</f>
        <v>0.11862840987636677</v>
      </c>
      <c r="J43" s="192">
        <f>F43</f>
        <v>0</v>
      </c>
      <c r="K43" s="67">
        <f>J43+'21'!K43</f>
        <v>8403.7999999999993</v>
      </c>
      <c r="L43" s="20">
        <f>D43+H43-K43</f>
        <v>0</v>
      </c>
      <c r="M43" s="76"/>
      <c r="N43" s="45"/>
      <c r="O43" s="1256"/>
      <c r="P43" s="1257"/>
      <c r="Q43" s="607"/>
      <c r="R43" s="602"/>
      <c r="S43" s="614"/>
      <c r="T43" s="2"/>
      <c r="U43" s="1029"/>
    </row>
    <row r="44" spans="1:25" s="4" customFormat="1">
      <c r="A44" s="74" t="s">
        <v>69</v>
      </c>
      <c r="B44" s="26" t="s">
        <v>9</v>
      </c>
      <c r="C44" s="20">
        <f>'01'!C44</f>
        <v>40846.933088751408</v>
      </c>
      <c r="D44" s="20">
        <f>'01'!D44</f>
        <v>3759.4565289122183</v>
      </c>
      <c r="E44" s="707">
        <f>C44/30</f>
        <v>1361.5644362917135</v>
      </c>
      <c r="F44" s="110">
        <v>0</v>
      </c>
      <c r="G44" s="18">
        <f>E44+'21'!G44</f>
        <v>29954.417598417684</v>
      </c>
      <c r="H44" s="18">
        <f>F44+'21'!H44</f>
        <v>7255</v>
      </c>
      <c r="I44" s="17">
        <f>IFERROR((H44/G44),0)</f>
        <v>0.24220133728733351</v>
      </c>
      <c r="J44" s="178">
        <v>0</v>
      </c>
      <c r="K44" s="67">
        <f>J44+'21'!K44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2"/>
      <c r="U44" s="1029"/>
      <c r="Y44" s="75"/>
    </row>
    <row r="45" spans="1:25" s="4" customFormat="1" hidden="1" outlineLevel="1">
      <c r="A45" s="74" t="s">
        <v>70</v>
      </c>
      <c r="B45" s="26" t="s">
        <v>9</v>
      </c>
      <c r="C45" s="20"/>
      <c r="D45" s="20"/>
      <c r="E45" s="735"/>
      <c r="F45" s="18">
        <v>0</v>
      </c>
      <c r="G45" s="18"/>
      <c r="H45" s="18">
        <f>F45+'21'!H45</f>
        <v>0</v>
      </c>
      <c r="I45" s="17"/>
      <c r="J45" s="192"/>
      <c r="K45" s="67">
        <f>J45+'21'!K45</f>
        <v>0</v>
      </c>
      <c r="L45" s="20"/>
      <c r="M45" s="76"/>
      <c r="N45" s="45"/>
      <c r="O45" s="1256"/>
      <c r="P45" s="1257"/>
      <c r="Q45" s="607"/>
      <c r="R45" s="606"/>
      <c r="S45" s="614"/>
      <c r="T45" s="2"/>
      <c r="U45" s="1028"/>
      <c r="Y45" s="75"/>
    </row>
    <row r="46" spans="1:25" s="4" customFormat="1" hidden="1" outlineLevel="1">
      <c r="A46" s="74" t="s">
        <v>71</v>
      </c>
      <c r="B46" s="26" t="s">
        <v>9</v>
      </c>
      <c r="C46" s="20"/>
      <c r="D46" s="20"/>
      <c r="E46" s="735"/>
      <c r="F46" s="18"/>
      <c r="G46" s="18"/>
      <c r="H46" s="18">
        <f>F46+'21'!H46</f>
        <v>0</v>
      </c>
      <c r="I46" s="17"/>
      <c r="J46" s="192"/>
      <c r="K46" s="239">
        <f>J46+'21'!K46</f>
        <v>0</v>
      </c>
      <c r="L46" s="20"/>
      <c r="M46" s="76"/>
      <c r="N46" s="45"/>
      <c r="O46" s="1256"/>
      <c r="P46" s="1257"/>
      <c r="Q46" s="607"/>
      <c r="R46" s="606"/>
      <c r="S46" s="614"/>
      <c r="T46" s="2"/>
      <c r="U46" s="1028"/>
      <c r="Y46" s="75"/>
    </row>
    <row r="47" spans="1:25" s="4" customFormat="1" hidden="1" outlineLevel="1">
      <c r="A47" s="74" t="s">
        <v>72</v>
      </c>
      <c r="B47" s="26" t="s">
        <v>9</v>
      </c>
      <c r="C47" s="20"/>
      <c r="D47" s="20"/>
      <c r="E47" s="735"/>
      <c r="F47" s="18"/>
      <c r="G47" s="18"/>
      <c r="H47" s="18">
        <f>F47+'21'!H47</f>
        <v>0</v>
      </c>
      <c r="I47" s="17"/>
      <c r="J47" s="192"/>
      <c r="K47" s="67">
        <f>J47+'21'!K47</f>
        <v>0</v>
      </c>
      <c r="L47" s="20"/>
      <c r="M47" s="76"/>
      <c r="N47" s="45"/>
      <c r="O47" s="1256"/>
      <c r="P47" s="1257"/>
      <c r="Q47" s="607"/>
      <c r="R47" s="606"/>
      <c r="S47" s="614"/>
      <c r="T47" s="2"/>
      <c r="U47" s="1028"/>
      <c r="Y47" s="75"/>
    </row>
    <row r="48" spans="1:25" s="4" customFormat="1" collapsed="1">
      <c r="A48" s="74" t="s">
        <v>106</v>
      </c>
      <c r="B48" s="9" t="s">
        <v>9</v>
      </c>
      <c r="C48" s="20">
        <f>'01'!C48</f>
        <v>238663.46526254449</v>
      </c>
      <c r="D48" s="20">
        <f>'01'!D48</f>
        <v>14554.971764167974</v>
      </c>
      <c r="E48" s="707">
        <f>C48/30</f>
        <v>7955.4488420848165</v>
      </c>
      <c r="F48" s="110">
        <v>0</v>
      </c>
      <c r="G48" s="18">
        <f>E48+'21'!G48</f>
        <v>175019.87452586601</v>
      </c>
      <c r="H48" s="18">
        <f>F48+'21'!H48</f>
        <v>15244.370772189477</v>
      </c>
      <c r="I48" s="17">
        <f>IFERROR((H48/G48),0)</f>
        <v>8.7100798200701074E-2</v>
      </c>
      <c r="J48" s="750">
        <v>0</v>
      </c>
      <c r="K48" s="67">
        <f>J48+'21'!K48</f>
        <v>27730.381517661059</v>
      </c>
      <c r="L48" s="20">
        <f>D48+H48-K48</f>
        <v>2068.961018696391</v>
      </c>
      <c r="M48" s="76"/>
      <c r="N48" s="45"/>
      <c r="O48" s="1256"/>
      <c r="P48" s="1257"/>
      <c r="Q48" s="607"/>
      <c r="R48" s="606"/>
      <c r="S48" s="614"/>
      <c r="T48" s="2"/>
      <c r="U48" s="1029"/>
      <c r="Y48" s="75"/>
    </row>
    <row r="49" spans="1:26" s="4" customFormat="1">
      <c r="A49" s="74" t="s">
        <v>107</v>
      </c>
      <c r="B49" s="9" t="s">
        <v>9</v>
      </c>
      <c r="C49" s="20">
        <f>'01'!C49</f>
        <v>256898.95024371953</v>
      </c>
      <c r="D49" s="20">
        <f>'01'!D49</f>
        <v>6890.3919969842718</v>
      </c>
      <c r="E49" s="19">
        <f>SUM(E50:E51)</f>
        <v>0</v>
      </c>
      <c r="F49" s="18">
        <f>SUM(F50:F51)</f>
        <v>0</v>
      </c>
      <c r="G49" s="18">
        <f>SUM(G50:G51)</f>
        <v>162898.95024371953</v>
      </c>
      <c r="H49" s="18">
        <f>SUM(H50:H51)</f>
        <v>32176.186994748638</v>
      </c>
      <c r="I49" s="17">
        <f>IFERROR((H49/G49),0)</f>
        <v>0.19752237167034273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43"/>
      <c r="O49" s="1244"/>
      <c r="P49" s="1245"/>
      <c r="Q49" s="608"/>
      <c r="R49" s="606"/>
      <c r="S49" s="602"/>
      <c r="T49" s="2"/>
      <c r="U49" s="1028"/>
    </row>
    <row r="50" spans="1:26">
      <c r="A50" s="123" t="s">
        <v>61</v>
      </c>
      <c r="B50" s="9" t="s">
        <v>9</v>
      </c>
      <c r="C50" s="20">
        <f>'01'!C50</f>
        <v>0</v>
      </c>
      <c r="D50" s="20">
        <f>'01'!D50</f>
        <v>2323.23</v>
      </c>
      <c r="E50" s="19">
        <v>0</v>
      </c>
      <c r="F50" s="18"/>
      <c r="G50" s="18">
        <f>E50+'21'!G50</f>
        <v>0</v>
      </c>
      <c r="H50" s="18">
        <f>F50+'21'!H50</f>
        <v>0</v>
      </c>
      <c r="I50" s="17">
        <f>IFERROR((H50/G50),0)</f>
        <v>0</v>
      </c>
      <c r="J50" s="192"/>
      <c r="K50" s="67">
        <f>J50+'21'!K50</f>
        <v>0</v>
      </c>
      <c r="L50" s="20">
        <f>D50+H50-K50+M50</f>
        <v>2323.23</v>
      </c>
      <c r="M50" s="410"/>
      <c r="N50" s="43"/>
      <c r="O50" s="1244"/>
      <c r="P50" s="1245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'01'!C51</f>
        <v>256898.95024371953</v>
      </c>
      <c r="D51" s="20">
        <f>'01'!D51</f>
        <v>4567.1619969842723</v>
      </c>
      <c r="E51" s="134">
        <v>0</v>
      </c>
      <c r="F51" s="110">
        <v>0</v>
      </c>
      <c r="G51" s="18">
        <f>E51+'21'!G51</f>
        <v>162898.95024371953</v>
      </c>
      <c r="H51" s="18">
        <f>F51+'21'!H51</f>
        <v>32176.186994748638</v>
      </c>
      <c r="I51" s="17">
        <f>IFERROR((H51/G51),0)</f>
        <v>0.19752237167034273</v>
      </c>
      <c r="J51" s="192">
        <f>O51-P51</f>
        <v>0</v>
      </c>
      <c r="K51" s="67">
        <f>J51+'21'!K51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'01'!C52</f>
        <v>0</v>
      </c>
      <c r="D52" s="20">
        <f>'01'!D52</f>
        <v>0</v>
      </c>
      <c r="E52" s="48"/>
      <c r="F52" s="24"/>
      <c r="G52" s="18"/>
      <c r="H52" s="18"/>
      <c r="I52" s="23"/>
      <c r="J52" s="946"/>
      <c r="K52" s="67"/>
      <c r="L52" s="20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'01'!C53</f>
        <v>0</v>
      </c>
      <c r="D53" s="20">
        <f>'01'!D53</f>
        <v>0</v>
      </c>
      <c r="E53" s="240">
        <f t="shared" ref="E53:E58" si="3">C53/$Q$2</f>
        <v>0</v>
      </c>
      <c r="F53" s="73">
        <v>0</v>
      </c>
      <c r="G53" s="18">
        <f>E53+'21'!G53</f>
        <v>0</v>
      </c>
      <c r="H53" s="18">
        <f>F53+'21'!H53</f>
        <v>0</v>
      </c>
      <c r="I53" s="957">
        <f t="shared" ref="I53:I58" si="4">IFERROR((H53/G53),0)</f>
        <v>0</v>
      </c>
      <c r="J53" s="624"/>
      <c r="K53" s="67">
        <f>J53+'21'!K53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'01'!C54</f>
        <v>10000</v>
      </c>
      <c r="D54" s="20">
        <f>'01'!D54</f>
        <v>13684.915881223626</v>
      </c>
      <c r="E54" s="240">
        <f t="shared" si="3"/>
        <v>322.58064516129031</v>
      </c>
      <c r="F54" s="73">
        <v>0</v>
      </c>
      <c r="G54" s="18">
        <f>E54+'21'!G54</f>
        <v>7096.77419354839</v>
      </c>
      <c r="H54" s="18">
        <f>F54+'21'!H54</f>
        <v>0</v>
      </c>
      <c r="I54" s="957">
        <f t="shared" si="4"/>
        <v>0</v>
      </c>
      <c r="J54" s="754">
        <v>0</v>
      </c>
      <c r="K54" s="67">
        <f>J54+'21'!K54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'01'!C55</f>
        <v>17000</v>
      </c>
      <c r="D55" s="20">
        <f>'01'!D55</f>
        <v>3999.5665967852347</v>
      </c>
      <c r="E55" s="240">
        <f t="shared" si="3"/>
        <v>548.38709677419354</v>
      </c>
      <c r="F55" s="73">
        <v>0</v>
      </c>
      <c r="G55" s="18">
        <f>E55+'21'!G55</f>
        <v>12064.516129032254</v>
      </c>
      <c r="H55" s="18">
        <f>F55+'21'!H55</f>
        <v>0</v>
      </c>
      <c r="I55" s="957">
        <f t="shared" si="4"/>
        <v>0</v>
      </c>
      <c r="J55" s="754">
        <v>0</v>
      </c>
      <c r="K55" s="67">
        <f>J55+'21'!K55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'01'!C56</f>
        <v>0</v>
      </c>
      <c r="D56" s="20">
        <f>'01'!D56</f>
        <v>0</v>
      </c>
      <c r="E56" s="240">
        <f t="shared" si="3"/>
        <v>0</v>
      </c>
      <c r="F56" s="73">
        <v>0</v>
      </c>
      <c r="G56" s="18">
        <f>E56+'21'!G56</f>
        <v>0</v>
      </c>
      <c r="H56" s="24">
        <f>F56+'21'!H56</f>
        <v>0</v>
      </c>
      <c r="I56" s="957">
        <f t="shared" si="4"/>
        <v>0</v>
      </c>
      <c r="J56" s="624"/>
      <c r="K56" s="67">
        <f>J56+'21'!K56</f>
        <v>0</v>
      </c>
      <c r="L56" s="60">
        <f>D56+H56-K56</f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'01'!C57</f>
        <v>0</v>
      </c>
      <c r="D57" s="20">
        <f>'01'!D57</f>
        <v>178.07499999999999</v>
      </c>
      <c r="E57" s="240">
        <f t="shared" si="3"/>
        <v>0</v>
      </c>
      <c r="F57" s="73">
        <v>0</v>
      </c>
      <c r="G57" s="18">
        <f>E57+'21'!G57</f>
        <v>0</v>
      </c>
      <c r="H57" s="24">
        <f>F57+'21'!H57</f>
        <v>0</v>
      </c>
      <c r="I57" s="957">
        <f t="shared" si="4"/>
        <v>0</v>
      </c>
      <c r="J57" s="624"/>
      <c r="K57" s="67">
        <f>J57+'21'!K57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'01'!C58</f>
        <v>0</v>
      </c>
      <c r="D58" s="20">
        <f>'01'!D58</f>
        <v>3480.6937513418743</v>
      </c>
      <c r="E58" s="240">
        <f t="shared" si="3"/>
        <v>0</v>
      </c>
      <c r="F58" s="73">
        <v>0</v>
      </c>
      <c r="G58" s="18">
        <f>E58+'21'!G58</f>
        <v>0</v>
      </c>
      <c r="H58" s="18">
        <f>F58+'21'!H58</f>
        <v>0</v>
      </c>
      <c r="I58" s="957">
        <f t="shared" si="4"/>
        <v>0</v>
      </c>
      <c r="J58" s="754">
        <v>0</v>
      </c>
      <c r="K58" s="239">
        <f>J58+'21'!K58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'01'!D59</f>
        <v>4269.0880030013104</v>
      </c>
      <c r="E59" s="240"/>
      <c r="F59" s="73">
        <v>0</v>
      </c>
      <c r="G59" s="18"/>
      <c r="H59" s="18">
        <f>F59+'21'!H59</f>
        <v>0</v>
      </c>
      <c r="I59" s="957"/>
      <c r="J59" s="754"/>
      <c r="K59" s="67">
        <f>J59+'21'!K59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193"/>
      <c r="G60" s="18"/>
      <c r="H60" s="18">
        <f>F60+'21'!H60</f>
        <v>0</v>
      </c>
      <c r="I60" s="957"/>
      <c r="J60" s="754"/>
      <c r="K60" s="67">
        <f>J60+'21'!K60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'01'!D61</f>
        <v>1063.653</v>
      </c>
      <c r="E61" s="240"/>
      <c r="F61" s="73"/>
      <c r="G61" s="18"/>
      <c r="H61" s="18">
        <f>F61+'21'!H61</f>
        <v>0</v>
      </c>
      <c r="I61" s="957"/>
      <c r="J61" s="624">
        <f>D139+D141</f>
        <v>0</v>
      </c>
      <c r="K61" s="67">
        <f>J61+'21'!K61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'01'!D62</f>
        <v>1531.7249999999999</v>
      </c>
      <c r="E62" s="529"/>
      <c r="F62" s="530">
        <v>0</v>
      </c>
      <c r="G62" s="531"/>
      <c r="H62" s="18">
        <f>F62+'21'!H62</f>
        <v>0</v>
      </c>
      <c r="I62" s="532"/>
      <c r="J62" s="754">
        <v>0</v>
      </c>
      <c r="K62" s="67">
        <f>J62+'21'!K62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'01'!C63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F63+'21'!H63</f>
        <v>3329.1499999999996</v>
      </c>
      <c r="I63" s="1064"/>
      <c r="J63" s="1065">
        <v>0</v>
      </c>
      <c r="K63" s="1066">
        <f>J63+'21'!K63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839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'01'!D64</f>
        <v>452.58776173652768</v>
      </c>
      <c r="E64" s="529"/>
      <c r="F64" s="530"/>
      <c r="G64" s="531"/>
      <c r="H64" s="18">
        <f>F64+'21'!H64</f>
        <v>0</v>
      </c>
      <c r="I64" s="532"/>
      <c r="J64" s="951"/>
      <c r="K64" s="67">
        <f>J64+'21'!K64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'01'!D65</f>
        <v>0</v>
      </c>
      <c r="E65" s="240"/>
      <c r="F65" s="73"/>
      <c r="G65" s="18"/>
      <c r="H65" s="18">
        <f>F65+'21'!H65</f>
        <v>0</v>
      </c>
      <c r="I65" s="957"/>
      <c r="J65" s="951"/>
      <c r="K65" s="67">
        <f>J65+'21'!K65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'01'!D66</f>
        <v>0</v>
      </c>
      <c r="E66" s="240"/>
      <c r="F66" s="73"/>
      <c r="G66" s="18"/>
      <c r="H66" s="18">
        <f>F66+'21'!H66</f>
        <v>0</v>
      </c>
      <c r="I66" s="957"/>
      <c r="J66" s="951"/>
      <c r="K66" s="67">
        <f>J66+'21'!K66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'01'!D67</f>
        <v>243.8</v>
      </c>
      <c r="E67" s="240"/>
      <c r="F67" s="73"/>
      <c r="G67" s="18"/>
      <c r="H67" s="18">
        <f>F67+'21'!H67</f>
        <v>0</v>
      </c>
      <c r="I67" s="957"/>
      <c r="J67" s="951"/>
      <c r="K67" s="67">
        <f>J67+'21'!K67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'01'!D68</f>
        <v>0</v>
      </c>
      <c r="E68" s="240"/>
      <c r="F68" s="73"/>
      <c r="G68" s="18"/>
      <c r="H68" s="18">
        <f>F68+'21'!H68</f>
        <v>0</v>
      </c>
      <c r="I68" s="957"/>
      <c r="J68" s="951"/>
      <c r="K68" s="67">
        <f>J68+'21'!K68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'01'!D69</f>
        <v>-14212.944176010715</v>
      </c>
      <c r="E69" s="240"/>
      <c r="F69" s="73">
        <v>0</v>
      </c>
      <c r="G69" s="18"/>
      <c r="H69" s="18">
        <f>F69+'21'!H69</f>
        <v>0</v>
      </c>
      <c r="I69" s="957"/>
      <c r="J69" s="755">
        <v>0</v>
      </c>
      <c r="K69" s="67">
        <f>J69+'21'!K69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'01'!D70</f>
        <v>17922.173606304772</v>
      </c>
      <c r="E70" s="240"/>
      <c r="F70" s="73"/>
      <c r="G70" s="18"/>
      <c r="H70" s="18">
        <f>F70+'21'!H70</f>
        <v>3329.1499999999996</v>
      </c>
      <c r="I70" s="957"/>
      <c r="J70" s="951"/>
      <c r="K70" s="67">
        <f>J70+'21'!K70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'01'!D71</f>
        <v>0</v>
      </c>
      <c r="E71" s="240"/>
      <c r="F71" s="73"/>
      <c r="G71" s="18"/>
      <c r="H71" s="18">
        <f>F71+'21'!H71</f>
        <v>0</v>
      </c>
      <c r="I71" s="957"/>
      <c r="J71" s="624"/>
      <c r="K71" s="67">
        <f>J71+'21'!K71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'01'!D72</f>
        <v>145.84215184813729</v>
      </c>
      <c r="E72" s="389"/>
      <c r="F72" s="390">
        <f>N82</f>
        <v>0</v>
      </c>
      <c r="G72" s="391"/>
      <c r="H72" s="391">
        <f>F72+'21'!H72</f>
        <v>1911.376034856974</v>
      </c>
      <c r="I72" s="392"/>
      <c r="J72" s="952">
        <f>K131</f>
        <v>0</v>
      </c>
      <c r="K72" s="396">
        <f>J72+'21'!K72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'01'!D73</f>
        <v>0</v>
      </c>
      <c r="E73" s="814"/>
      <c r="F73" s="815"/>
      <c r="G73" s="816"/>
      <c r="H73" s="816">
        <f>F73+'21'!H73</f>
        <v>0</v>
      </c>
      <c r="I73" s="817"/>
      <c r="J73" s="814"/>
      <c r="K73" s="818">
        <f>J73+'21'!K73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287" t="s">
        <v>30</v>
      </c>
      <c r="B77" s="1288"/>
      <c r="C77" s="1288"/>
      <c r="D77" s="1288"/>
      <c r="E77" s="1288"/>
      <c r="F77" s="1288"/>
      <c r="G77" s="1288"/>
      <c r="H77" s="1288"/>
      <c r="I77" s="1288"/>
      <c r="J77" s="1288"/>
      <c r="K77" s="1288"/>
      <c r="L77" s="1288"/>
      <c r="M77" s="1288"/>
      <c r="N77" s="1288"/>
      <c r="O77" s="1288"/>
      <c r="P77" s="1289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8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8">
        <f>24*22-K80</f>
        <v>528</v>
      </c>
      <c r="M80" s="36">
        <f>K80/(24*22)</f>
        <v>0</v>
      </c>
      <c r="N80" s="965"/>
      <c r="O80" s="302">
        <f>N80+'21'!O80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8">
        <f>24*22-K81</f>
        <v>528</v>
      </c>
      <c r="M81" s="36">
        <f t="shared" ref="M81:M94" si="11">K81/(24*22)</f>
        <v>0</v>
      </c>
      <c r="N81" s="965"/>
      <c r="O81" s="302">
        <f>N81+'21'!O81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127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F82+'21'!K82</f>
        <v>43.903888888888886</v>
      </c>
      <c r="L82" s="18">
        <f>24*22-K82</f>
        <v>484.0961111111111</v>
      </c>
      <c r="M82" s="36">
        <f t="shared" si="11"/>
        <v>8.3151304713804705E-2</v>
      </c>
      <c r="N82" s="716">
        <v>0</v>
      </c>
      <c r="O82" s="303">
        <f>N82+'21'!O82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F83+'21'!K83</f>
        <v>64.575555555555553</v>
      </c>
      <c r="L83" s="19">
        <f>G83+'21'!L83</f>
        <v>463.42444444444448</v>
      </c>
      <c r="M83" s="36">
        <f t="shared" si="11"/>
        <v>0.12230218855218855</v>
      </c>
      <c r="N83" s="716">
        <v>0</v>
      </c>
      <c r="O83" s="303">
        <f>N83+'21'!O83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F84+'21'!K84</f>
        <v>64.977499999999992</v>
      </c>
      <c r="L84" s="19">
        <f>G84+'21'!L84</f>
        <v>463.02250000000004</v>
      </c>
      <c r="M84" s="36">
        <f t="shared" si="11"/>
        <v>0.12306344696969695</v>
      </c>
      <c r="N84" s="716">
        <v>0</v>
      </c>
      <c r="O84" s="303">
        <f>N84+'21'!O84</f>
        <v>16874.071396806572</v>
      </c>
      <c r="P84" s="711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1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>
        <f>F85+'21'!K85</f>
        <v>0</v>
      </c>
      <c r="L85" s="19">
        <f>G85+'21'!L85</f>
        <v>528</v>
      </c>
      <c r="M85" s="36">
        <f>K85/(24*12)</f>
        <v>0</v>
      </c>
      <c r="N85" s="965">
        <v>0</v>
      </c>
      <c r="O85" s="302">
        <f>N85+'21'!O85</f>
        <v>0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1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F86+'21'!K86</f>
        <v>0</v>
      </c>
      <c r="L86" s="19">
        <f>G86+'21'!L86</f>
        <v>504</v>
      </c>
      <c r="M86" s="36">
        <f>K86/(24*12)</f>
        <v>0</v>
      </c>
      <c r="N86" s="965">
        <v>0</v>
      </c>
      <c r="O86" s="303">
        <f>N86+'21'!O86</f>
        <v>0</v>
      </c>
      <c r="P86" s="71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 t="shared" si="7"/>
        <v>0</v>
      </c>
      <c r="F87" s="134">
        <v>0</v>
      </c>
      <c r="G87" s="18">
        <f t="shared" si="8"/>
        <v>24</v>
      </c>
      <c r="H87" s="17">
        <f t="shared" si="9"/>
        <v>0</v>
      </c>
      <c r="I87" s="134">
        <f t="shared" si="13"/>
        <v>0</v>
      </c>
      <c r="J87" s="17">
        <f t="shared" si="10"/>
        <v>0</v>
      </c>
      <c r="K87" s="19">
        <f>F87+'21'!K87</f>
        <v>0</v>
      </c>
      <c r="L87" s="19">
        <f>G87+'21'!L87</f>
        <v>504</v>
      </c>
      <c r="M87" s="36">
        <f>K87/(24*12)</f>
        <v>0</v>
      </c>
      <c r="N87" s="965">
        <v>0</v>
      </c>
      <c r="O87" s="302">
        <f>N87+'21'!O87</f>
        <v>0</v>
      </c>
      <c r="P87" s="71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9"/>
        <v>0</v>
      </c>
      <c r="I88" s="134">
        <f t="shared" si="13"/>
        <v>0</v>
      </c>
      <c r="J88" s="17">
        <f t="shared" si="10"/>
        <v>0</v>
      </c>
      <c r="K88" s="19">
        <f>F88+'21'!K88</f>
        <v>0</v>
      </c>
      <c r="L88" s="19">
        <f>G88+'21'!L88</f>
        <v>504</v>
      </c>
      <c r="M88" s="36">
        <f>K88/(24*12)</f>
        <v>0</v>
      </c>
      <c r="N88" s="716">
        <v>0</v>
      </c>
      <c r="O88" s="303">
        <f>N88+'21'!O88</f>
        <v>0</v>
      </c>
      <c r="P88" s="71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'21'!C89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F89+'21'!K89</f>
        <v>1.6950000000000001</v>
      </c>
      <c r="L89" s="19">
        <f>G89+'21'!L89</f>
        <v>526.30500000000006</v>
      </c>
      <c r="M89" s="36">
        <f t="shared" si="11"/>
        <v>3.210227272727273E-3</v>
      </c>
      <c r="N89" s="1001">
        <v>0</v>
      </c>
      <c r="O89" s="303">
        <f>N89+'21'!O89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'21'!C90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F90+'21'!K90</f>
        <v>32.664166666666674</v>
      </c>
      <c r="L90" s="19">
        <f>G90+'21'!L90</f>
        <v>495.33583333333331</v>
      </c>
      <c r="M90" s="36">
        <f t="shared" si="11"/>
        <v>6.1863952020202034E-2</v>
      </c>
      <c r="N90" s="1001">
        <v>0</v>
      </c>
      <c r="O90" s="303">
        <f>N90+'21'!O90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F91+'21'!K91</f>
        <v>0</v>
      </c>
      <c r="L91" s="19">
        <f>G91+'21'!L91</f>
        <v>528</v>
      </c>
      <c r="M91" s="36">
        <f t="shared" si="11"/>
        <v>0</v>
      </c>
      <c r="N91" s="716">
        <v>0</v>
      </c>
      <c r="O91" s="303">
        <f>N91+'21'!O91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19">
        <f>F92+'21'!K92</f>
        <v>71.521666666666675</v>
      </c>
      <c r="L92" s="19">
        <f>G92+'21'!L92</f>
        <v>456.47833333333335</v>
      </c>
      <c r="M92" s="36">
        <f t="shared" si="11"/>
        <v>0.13545770202020205</v>
      </c>
      <c r="N92" s="716">
        <v>0</v>
      </c>
      <c r="O92" s="303">
        <f>N92+'21'!O92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19">
        <f>F93+'21'!K93</f>
        <v>64.288611111111109</v>
      </c>
      <c r="L93" s="19">
        <f>G93+'21'!L93</f>
        <v>463.71138888888891</v>
      </c>
      <c r="M93" s="36">
        <f t="shared" si="11"/>
        <v>0.12175873316498316</v>
      </c>
      <c r="N93" s="716">
        <v>0</v>
      </c>
      <c r="O93" s="303">
        <f>N93+'21'!O93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F94+'21'!K94</f>
        <v>32</v>
      </c>
      <c r="L94" s="878">
        <f>G94+'21'!L94</f>
        <v>496</v>
      </c>
      <c r="M94" s="873">
        <f t="shared" si="11"/>
        <v>6.0606060606060608E-2</v>
      </c>
      <c r="N94" s="966">
        <f>E111+E120+E121+E122</f>
        <v>0</v>
      </c>
      <c r="O94" s="871">
        <f>N94+'21'!O94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F95+'21'!K95</f>
        <v>7</v>
      </c>
      <c r="L95" s="866">
        <f>G95+'21'!L95</f>
        <v>521</v>
      </c>
      <c r="M95" s="712">
        <f>K95/(24*22)</f>
        <v>1.3257575757575758E-2</v>
      </c>
      <c r="N95" s="967">
        <f>E112+E114+E115+E118+E119</f>
        <v>0</v>
      </c>
      <c r="O95" s="713">
        <f>N95+'21'!O95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05" t="s">
        <v>5</v>
      </c>
      <c r="E97" s="1314"/>
      <c r="F97" s="1306"/>
      <c r="G97" s="1305" t="s">
        <v>4</v>
      </c>
      <c r="H97" s="1314"/>
      <c r="I97" s="1306"/>
      <c r="J97" s="1305"/>
      <c r="K97" s="130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07"/>
      <c r="E98" s="1315"/>
      <c r="F98" s="1308"/>
      <c r="G98" s="1307"/>
      <c r="H98" s="1315"/>
      <c r="I98" s="1308"/>
      <c r="J98" s="1307"/>
      <c r="K98" s="130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42" t="s">
        <v>3</v>
      </c>
      <c r="E99" s="12" t="s">
        <v>2</v>
      </c>
      <c r="F99" s="843" t="s">
        <v>1</v>
      </c>
      <c r="G99" s="842" t="s">
        <v>3</v>
      </c>
      <c r="H99" s="12" t="s">
        <v>2</v>
      </c>
      <c r="I99" s="843" t="s">
        <v>1</v>
      </c>
      <c r="J99" s="842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4571</v>
      </c>
      <c r="E100" s="30">
        <f>E101+E110</f>
        <v>0</v>
      </c>
      <c r="F100" s="29">
        <f t="shared" ref="F100:F122" si="15">IFERROR((E100/D100),0)</f>
        <v>0</v>
      </c>
      <c r="G100" s="51">
        <f>G101+G110</f>
        <v>139363</v>
      </c>
      <c r="H100" s="30">
        <f>H101+H110</f>
        <v>19708.249999999993</v>
      </c>
      <c r="I100" s="29">
        <f t="shared" ref="I100:I114" si="16">IFERROR((H100/G100),0)</f>
        <v>0.14141666008911974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4571</v>
      </c>
      <c r="E101" s="24">
        <f>SUM(E102:E109)</f>
        <v>0</v>
      </c>
      <c r="F101" s="23">
        <f t="shared" si="15"/>
        <v>0</v>
      </c>
      <c r="G101" s="555">
        <f>SUM(G102:G109)</f>
        <v>100875</v>
      </c>
      <c r="H101" s="24">
        <f>SUM(H102:H109)</f>
        <v>15844.349999999995</v>
      </c>
      <c r="I101" s="23">
        <f t="shared" si="16"/>
        <v>0.15706914498141258</v>
      </c>
      <c r="J101" s="1319"/>
      <c r="K101" s="1320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72">
        <f>D102+'21'!G102</f>
        <v>0</v>
      </c>
      <c r="H102" s="110">
        <f>E102+'21'!H102</f>
        <v>0</v>
      </c>
      <c r="I102" s="17">
        <f t="shared" si="16"/>
        <v>0</v>
      </c>
      <c r="J102" s="1319"/>
      <c r="K102" s="1321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320</v>
      </c>
      <c r="E103" s="166">
        <v>0</v>
      </c>
      <c r="F103" s="17">
        <f t="shared" si="15"/>
        <v>0</v>
      </c>
      <c r="G103" s="172">
        <f>D103+'21'!G103</f>
        <v>8325</v>
      </c>
      <c r="H103" s="110">
        <f>E103+'21'!H103</f>
        <v>0</v>
      </c>
      <c r="I103" s="17">
        <f t="shared" si="16"/>
        <v>0</v>
      </c>
      <c r="J103" s="1319"/>
      <c r="K103" s="1321"/>
      <c r="L103" s="247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4138</v>
      </c>
      <c r="E104" s="110">
        <v>0</v>
      </c>
      <c r="F104" s="17">
        <f t="shared" si="15"/>
        <v>0</v>
      </c>
      <c r="G104" s="172">
        <f>D104+'21'!G104</f>
        <v>89174</v>
      </c>
      <c r="H104" s="110">
        <f>E104+'21'!H104</f>
        <v>12980.249999999995</v>
      </c>
      <c r="I104" s="17">
        <f t="shared" si="16"/>
        <v>0.14556092583039892</v>
      </c>
      <c r="J104" s="1319"/>
      <c r="K104" s="1321"/>
      <c r="L104" s="247"/>
      <c r="M104" s="247"/>
      <c r="N104" s="247"/>
      <c r="O104" s="247"/>
      <c r="P104" s="16"/>
      <c r="T104" s="2"/>
    </row>
    <row r="105" spans="1:20" outlineLevel="1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5"/>
        <v>0</v>
      </c>
      <c r="G105" s="172">
        <f>D105+'21'!G105</f>
        <v>0</v>
      </c>
      <c r="H105" s="110">
        <f>E105+'21'!H105</f>
        <v>475.6</v>
      </c>
      <c r="I105" s="17">
        <f t="shared" si="16"/>
        <v>0</v>
      </c>
      <c r="J105" s="1319"/>
      <c r="K105" s="1321"/>
      <c r="L105" s="16"/>
      <c r="M105" s="16"/>
      <c r="N105" s="247"/>
      <c r="O105" s="247"/>
      <c r="P105" s="16"/>
      <c r="Q105" s="6"/>
      <c r="T105" s="2"/>
    </row>
    <row r="106" spans="1:20" outlineLevel="1">
      <c r="A106" s="46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5"/>
        <v>0</v>
      </c>
      <c r="G106" s="172">
        <f>D106+'21'!G106</f>
        <v>0</v>
      </c>
      <c r="H106" s="110">
        <f>E106+'21'!H106</f>
        <v>1280.3</v>
      </c>
      <c r="I106" s="17">
        <f t="shared" si="16"/>
        <v>0</v>
      </c>
      <c r="J106" s="1319"/>
      <c r="K106" s="1321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72">
        <f>D107+'21'!G107</f>
        <v>0</v>
      </c>
      <c r="H107" s="110">
        <f>E107+'21'!H107</f>
        <v>0</v>
      </c>
      <c r="I107" s="17">
        <f t="shared" si="16"/>
        <v>0</v>
      </c>
      <c r="J107" s="1319"/>
      <c r="K107" s="1321"/>
      <c r="L107" s="247"/>
      <c r="M107" s="24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34">
        <v>63</v>
      </c>
      <c r="E108" s="110">
        <v>0</v>
      </c>
      <c r="F108" s="17">
        <f t="shared" si="15"/>
        <v>0</v>
      </c>
      <c r="G108" s="172">
        <f>D108+'21'!G108</f>
        <v>2501</v>
      </c>
      <c r="H108" s="110">
        <f>E108+'21'!H108</f>
        <v>826.59999999999991</v>
      </c>
      <c r="I108" s="17">
        <f t="shared" si="16"/>
        <v>0.33050779688124748</v>
      </c>
      <c r="J108" s="844"/>
      <c r="K108" s="845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50</v>
      </c>
      <c r="E109" s="110">
        <v>0</v>
      </c>
      <c r="F109" s="17">
        <f t="shared" si="15"/>
        <v>0</v>
      </c>
      <c r="G109" s="172">
        <f>D109+'21'!G109</f>
        <v>875</v>
      </c>
      <c r="H109" s="110">
        <f>E109+'21'!H109</f>
        <v>281.59999999999997</v>
      </c>
      <c r="I109" s="17">
        <f t="shared" si="16"/>
        <v>0.32182857142857141</v>
      </c>
      <c r="J109" s="844"/>
      <c r="K109" s="845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0">
        <f>SUM(C111:C122)</f>
        <v>52832</v>
      </c>
      <c r="D110" s="707">
        <f>SUM(D111:D122)</f>
        <v>1617</v>
      </c>
      <c r="E110" s="18">
        <f>SUM(E111:E122)</f>
        <v>0</v>
      </c>
      <c r="F110" s="1054">
        <f>IFERROR((E110/D110),0)</f>
        <v>0</v>
      </c>
      <c r="G110" s="707">
        <f>SUM(G111:G122)</f>
        <v>38488</v>
      </c>
      <c r="H110" s="18">
        <f>SUM(H111:H122)</f>
        <v>3863.8999999999996</v>
      </c>
      <c r="I110" s="1054">
        <f>IFERROR((H110/G110),0)</f>
        <v>0.10039233007690708</v>
      </c>
      <c r="J110" s="844"/>
      <c r="K110" s="845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72">
        <f>D111+'21'!G111</f>
        <v>0</v>
      </c>
      <c r="H111" s="110">
        <f>E111+'21'!H111</f>
        <v>1026.1499999999999</v>
      </c>
      <c r="I111" s="17">
        <f>IFERROR((H111/G111),0)</f>
        <v>0</v>
      </c>
      <c r="J111" s="1319"/>
      <c r="K111" s="1321"/>
      <c r="L111" s="16"/>
      <c r="M111" s="15"/>
      <c r="N111" s="16"/>
      <c r="O111" s="16"/>
      <c r="P111" s="16"/>
      <c r="Q111" s="28"/>
      <c r="S111" s="1"/>
      <c r="T111" s="2"/>
    </row>
    <row r="112" spans="1:20">
      <c r="A112" s="254" t="s">
        <v>252</v>
      </c>
      <c r="B112" s="9" t="s">
        <v>9</v>
      </c>
      <c r="C112" s="297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72">
        <f>D112+'21'!G112</f>
        <v>0</v>
      </c>
      <c r="H112" s="110">
        <f>E112+'21'!H112</f>
        <v>994.39999999999986</v>
      </c>
      <c r="I112" s="17">
        <f>IFERROR((H112/G112),0)</f>
        <v>0</v>
      </c>
      <c r="J112" s="1319"/>
      <c r="K112" s="1321"/>
      <c r="L112" s="16"/>
      <c r="M112" s="15"/>
      <c r="N112" s="247"/>
      <c r="O112" s="247"/>
      <c r="P112" s="16"/>
      <c r="T112" s="2"/>
    </row>
    <row r="113" spans="1:20">
      <c r="A113" s="254" t="s">
        <v>253</v>
      </c>
      <c r="B113" s="9" t="s">
        <v>9</v>
      </c>
      <c r="C113" s="297">
        <f>'01'!C113</f>
        <v>0</v>
      </c>
      <c r="D113" s="134">
        <v>0</v>
      </c>
      <c r="E113" s="110">
        <v>0</v>
      </c>
      <c r="F113" s="17">
        <f t="shared" si="15"/>
        <v>0</v>
      </c>
      <c r="G113" s="172">
        <f>D113+'21'!G113</f>
        <v>0</v>
      </c>
      <c r="H113" s="110">
        <f>E113+'21'!H113</f>
        <v>20</v>
      </c>
      <c r="I113" s="17">
        <f t="shared" si="16"/>
        <v>0</v>
      </c>
      <c r="J113" s="1319"/>
      <c r="K113" s="1321"/>
      <c r="L113" s="7"/>
      <c r="M113" s="314"/>
      <c r="N113" s="247"/>
      <c r="O113" s="247"/>
      <c r="P113" s="16"/>
      <c r="T113" s="2"/>
    </row>
    <row r="114" spans="1:20" s="4" customFormat="1">
      <c r="A114" s="246" t="s">
        <v>225</v>
      </c>
      <c r="B114" s="766" t="s">
        <v>9</v>
      </c>
      <c r="C114" s="651">
        <f>'01'!C114</f>
        <v>500</v>
      </c>
      <c r="D114" s="765">
        <v>16</v>
      </c>
      <c r="E114" s="301">
        <v>0</v>
      </c>
      <c r="F114" s="764">
        <f t="shared" si="15"/>
        <v>0</v>
      </c>
      <c r="G114" s="172">
        <f>D114+'21'!G114</f>
        <v>352</v>
      </c>
      <c r="H114" s="110">
        <f>E114+'21'!H114</f>
        <v>0</v>
      </c>
      <c r="I114" s="764">
        <f t="shared" si="16"/>
        <v>0</v>
      </c>
      <c r="J114" s="1322"/>
      <c r="K114" s="1323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765">
        <v>0</v>
      </c>
      <c r="E115" s="864">
        <v>0</v>
      </c>
      <c r="F115" s="17">
        <f t="shared" si="15"/>
        <v>0</v>
      </c>
      <c r="G115" s="172">
        <f>D115+'21'!G115</f>
        <v>0</v>
      </c>
      <c r="H115" s="110">
        <f>E115+'21'!H115</f>
        <v>0</v>
      </c>
      <c r="I115" s="17">
        <f>IFERROR((H115/G115),0)</f>
        <v>0</v>
      </c>
      <c r="J115" s="844"/>
      <c r="K115" s="845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765">
        <v>0</v>
      </c>
      <c r="E116" s="110">
        <v>0</v>
      </c>
      <c r="F116" s="17">
        <f t="shared" si="15"/>
        <v>0</v>
      </c>
      <c r="G116" s="172">
        <f>D116+'21'!G116</f>
        <v>0</v>
      </c>
      <c r="H116" s="110">
        <f>E116+'21'!H116</f>
        <v>0</v>
      </c>
      <c r="I116" s="17">
        <f t="shared" ref="I116:I122" si="17">IFERROR((H116/G116),0)</f>
        <v>0</v>
      </c>
      <c r="J116" s="840"/>
      <c r="K116" s="841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765">
        <v>0</v>
      </c>
      <c r="E117" s="110">
        <v>0</v>
      </c>
      <c r="F117" s="17">
        <f t="shared" si="15"/>
        <v>0</v>
      </c>
      <c r="G117" s="172">
        <f>D117+'21'!G117</f>
        <v>0</v>
      </c>
      <c r="H117" s="110">
        <f>E117+'21'!H117</f>
        <v>0</v>
      </c>
      <c r="I117" s="17">
        <f t="shared" si="17"/>
        <v>0</v>
      </c>
      <c r="J117" s="840"/>
      <c r="K117" s="841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765">
        <v>355</v>
      </c>
      <c r="E118" s="110">
        <v>0</v>
      </c>
      <c r="F118" s="17">
        <f t="shared" si="15"/>
        <v>0</v>
      </c>
      <c r="G118" s="172">
        <f>D118+'21'!G118</f>
        <v>7660</v>
      </c>
      <c r="H118" s="110">
        <f>E118+'21'!H118</f>
        <v>0</v>
      </c>
      <c r="I118" s="17">
        <f t="shared" si="17"/>
        <v>0</v>
      </c>
      <c r="J118" s="840"/>
      <c r="K118" s="841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765">
        <v>0</v>
      </c>
      <c r="E119" s="110">
        <v>0</v>
      </c>
      <c r="F119" s="17">
        <f t="shared" si="15"/>
        <v>0</v>
      </c>
      <c r="G119" s="172">
        <f>D119+'21'!G119</f>
        <v>0</v>
      </c>
      <c r="H119" s="110">
        <f>E119+'21'!H119</f>
        <v>0</v>
      </c>
      <c r="I119" s="17">
        <f t="shared" si="17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1050</v>
      </c>
      <c r="E120" s="110">
        <v>0</v>
      </c>
      <c r="F120" s="17">
        <f t="shared" si="15"/>
        <v>0</v>
      </c>
      <c r="G120" s="172">
        <f>D120+'21'!G120</f>
        <v>16100</v>
      </c>
      <c r="H120" s="110">
        <f>E120+'21'!H120</f>
        <v>0</v>
      </c>
      <c r="I120" s="17">
        <f t="shared" si="17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765">
        <v>0</v>
      </c>
      <c r="E121" s="110">
        <v>0</v>
      </c>
      <c r="F121" s="17">
        <f t="shared" si="15"/>
        <v>0</v>
      </c>
      <c r="G121" s="172">
        <f>D121+'21'!G121</f>
        <v>816</v>
      </c>
      <c r="H121" s="110">
        <f>E121+'21'!H121</f>
        <v>0</v>
      </c>
      <c r="I121" s="17">
        <f t="shared" si="17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196</v>
      </c>
      <c r="E122" s="110">
        <v>0</v>
      </c>
      <c r="F122" s="17">
        <f t="shared" si="15"/>
        <v>0</v>
      </c>
      <c r="G122" s="172">
        <f>D122+'21'!G122</f>
        <v>13560</v>
      </c>
      <c r="H122" s="110">
        <f>E122+'21'!H122</f>
        <v>1823.35</v>
      </c>
      <c r="I122" s="17">
        <f t="shared" si="17"/>
        <v>0.13446533923303833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300" t="s">
        <v>6</v>
      </c>
      <c r="C124" s="1269"/>
      <c r="D124" s="1302" t="s">
        <v>5</v>
      </c>
      <c r="E124" s="1303"/>
      <c r="F124" s="1304"/>
      <c r="G124" s="1303" t="s">
        <v>4</v>
      </c>
      <c r="H124" s="1303"/>
      <c r="I124" s="1304"/>
      <c r="J124" s="792" t="s">
        <v>89</v>
      </c>
      <c r="K124" s="354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301"/>
      <c r="C125" s="1270"/>
      <c r="D125" s="918" t="s">
        <v>3</v>
      </c>
      <c r="E125" s="12" t="s">
        <v>2</v>
      </c>
      <c r="F125" s="920" t="s">
        <v>1</v>
      </c>
      <c r="G125" s="13" t="s">
        <v>3</v>
      </c>
      <c r="H125" s="12" t="s">
        <v>2</v>
      </c>
      <c r="I125" s="793" t="s">
        <v>1</v>
      </c>
      <c r="J125" s="824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21" t="s">
        <v>182</v>
      </c>
      <c r="C126" s="556" t="s">
        <v>189</v>
      </c>
      <c r="D126" s="352">
        <v>40.5</v>
      </c>
      <c r="E126" s="256">
        <v>35.271211969666211</v>
      </c>
      <c r="F126" s="356">
        <f>IFERROR(E126/D126,0)</f>
        <v>0.87089412270780764</v>
      </c>
      <c r="G126" s="204">
        <v>40.5</v>
      </c>
      <c r="H126" s="200">
        <v>42.6171601601785</v>
      </c>
      <c r="I126" s="356">
        <f>IFERROR(H126/G126,0)</f>
        <v>1.0522755595105802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21" t="s">
        <v>182</v>
      </c>
      <c r="C127" s="556" t="s">
        <v>178</v>
      </c>
      <c r="D127" s="352">
        <v>17</v>
      </c>
      <c r="E127" s="256">
        <v>15.431162900115124</v>
      </c>
      <c r="F127" s="356">
        <f t="shared" ref="F127:F132" si="18">IFERROR(E127/D127,0)</f>
        <v>0.90771546471265441</v>
      </c>
      <c r="G127" s="204">
        <v>17</v>
      </c>
      <c r="H127" s="200">
        <v>17.164028319915246</v>
      </c>
      <c r="I127" s="356">
        <f t="shared" ref="I127:I132" si="19">IFERROR(H127/G127,0)</f>
        <v>1.0096487247008969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21" t="s">
        <v>51</v>
      </c>
      <c r="C128" s="556" t="s">
        <v>0</v>
      </c>
      <c r="D128" s="352">
        <v>3</v>
      </c>
      <c r="E128" s="256">
        <f>P131</f>
        <v>0</v>
      </c>
      <c r="F128" s="157">
        <f t="shared" si="18"/>
        <v>0</v>
      </c>
      <c r="G128" s="267">
        <v>3</v>
      </c>
      <c r="H128" s="256">
        <f>P132</f>
        <v>2.7306506005953359</v>
      </c>
      <c r="I128" s="157">
        <f t="shared" si="19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21" t="s">
        <v>182</v>
      </c>
      <c r="C129" s="556" t="s">
        <v>183</v>
      </c>
      <c r="D129" s="352">
        <v>21</v>
      </c>
      <c r="E129" s="256">
        <v>15.778143364793385</v>
      </c>
      <c r="F129" s="157">
        <f t="shared" si="18"/>
        <v>0.75134016022825645</v>
      </c>
      <c r="G129" s="204">
        <v>21</v>
      </c>
      <c r="H129" s="200">
        <v>20.723208552130647</v>
      </c>
      <c r="I129" s="157">
        <f t="shared" si="19"/>
        <v>0.98681945486336409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21" t="s">
        <v>182</v>
      </c>
      <c r="C130" s="556" t="s">
        <v>161</v>
      </c>
      <c r="D130" s="352">
        <v>42</v>
      </c>
      <c r="E130" s="256">
        <v>3.6212524614813839</v>
      </c>
      <c r="F130" s="157">
        <f t="shared" si="18"/>
        <v>8.6220296701937718E-2</v>
      </c>
      <c r="G130" s="204">
        <v>42</v>
      </c>
      <c r="H130" s="200">
        <v>11.59390627871934</v>
      </c>
      <c r="I130" s="157">
        <f t="shared" si="19"/>
        <v>0.27604538758855568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21" t="s">
        <v>182</v>
      </c>
      <c r="C131" s="556" t="s">
        <v>162</v>
      </c>
      <c r="D131" s="352">
        <v>35</v>
      </c>
      <c r="E131" s="256">
        <v>37.826665194692829</v>
      </c>
      <c r="F131" s="157">
        <f t="shared" si="18"/>
        <v>1.0807618627055093</v>
      </c>
      <c r="G131" s="204">
        <v>35</v>
      </c>
      <c r="H131" s="200">
        <v>33.510185795370596</v>
      </c>
      <c r="I131" s="157">
        <f t="shared" si="19"/>
        <v>0.95743387986773132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689" t="s">
        <v>48</v>
      </c>
      <c r="C132" s="690" t="s">
        <v>184</v>
      </c>
      <c r="D132" s="687">
        <v>100.69</v>
      </c>
      <c r="E132" s="682">
        <v>76.081720750933385</v>
      </c>
      <c r="F132" s="684">
        <f t="shared" si="18"/>
        <v>0.75560354306220467</v>
      </c>
      <c r="G132" s="688">
        <v>100.69</v>
      </c>
      <c r="H132" s="683">
        <v>85.834653640554251</v>
      </c>
      <c r="I132" s="684">
        <f t="shared" si="19"/>
        <v>0.85246453114067189</v>
      </c>
      <c r="N132" s="727" t="s">
        <v>188</v>
      </c>
      <c r="O132" s="704">
        <f>O131+'21'!O132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98225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0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1">IFERROR(C139/$B$139,0)</f>
        <v>0</v>
      </c>
      <c r="D140" s="335">
        <f t="shared" si="21"/>
        <v>0</v>
      </c>
      <c r="E140" s="335">
        <f t="shared" si="21"/>
        <v>0</v>
      </c>
      <c r="F140" s="335">
        <f t="shared" si="21"/>
        <v>0</v>
      </c>
      <c r="G140" s="335">
        <f t="shared" si="21"/>
        <v>0</v>
      </c>
      <c r="H140" s="335">
        <f t="shared" si="21"/>
        <v>0</v>
      </c>
      <c r="I140" s="326">
        <f t="shared" si="20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0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2">IFERROR(C141/$B$141,0)</f>
        <v>0</v>
      </c>
      <c r="D142" s="335">
        <f t="shared" si="22"/>
        <v>0</v>
      </c>
      <c r="E142" s="335">
        <f t="shared" si="22"/>
        <v>0</v>
      </c>
      <c r="F142" s="335">
        <f t="shared" si="22"/>
        <v>0</v>
      </c>
      <c r="G142" s="335">
        <f t="shared" si="22"/>
        <v>0</v>
      </c>
      <c r="H142" s="335">
        <f t="shared" si="22"/>
        <v>0</v>
      </c>
      <c r="I142" s="326">
        <f t="shared" si="20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0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242030</v>
      </c>
    </row>
    <row r="144" spans="1:20" ht="16.5" thickBot="1">
      <c r="A144" s="321"/>
      <c r="B144" s="336"/>
      <c r="C144" s="335">
        <f t="shared" ref="C144:H144" si="23">IFERROR(C143/$B$143,0)</f>
        <v>0</v>
      </c>
      <c r="D144" s="335">
        <f t="shared" si="23"/>
        <v>0</v>
      </c>
      <c r="E144" s="335">
        <f t="shared" si="23"/>
        <v>0</v>
      </c>
      <c r="F144" s="335">
        <f t="shared" si="23"/>
        <v>0</v>
      </c>
      <c r="G144" s="335">
        <f t="shared" si="23"/>
        <v>0</v>
      </c>
      <c r="H144" s="335">
        <f t="shared" si="23"/>
        <v>0</v>
      </c>
      <c r="I144" s="326">
        <f t="shared" si="20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0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4">IFERROR(C145/$B$145,0)</f>
        <v>0</v>
      </c>
      <c r="D146" s="335">
        <f t="shared" si="24"/>
        <v>0</v>
      </c>
      <c r="E146" s="335">
        <f t="shared" si="24"/>
        <v>0</v>
      </c>
      <c r="F146" s="335">
        <f t="shared" si="24"/>
        <v>0</v>
      </c>
      <c r="G146" s="335">
        <f t="shared" si="24"/>
        <v>0</v>
      </c>
      <c r="H146" s="335">
        <f t="shared" si="24"/>
        <v>0</v>
      </c>
      <c r="I146" s="326">
        <f t="shared" si="20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0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5">IFERROR(C147/$B$147,0)</f>
        <v>0</v>
      </c>
      <c r="D148" s="335">
        <f t="shared" si="25"/>
        <v>0</v>
      </c>
      <c r="E148" s="335">
        <f t="shared" si="25"/>
        <v>0</v>
      </c>
      <c r="F148" s="335">
        <f t="shared" si="25"/>
        <v>0</v>
      </c>
      <c r="G148" s="335">
        <f t="shared" si="25"/>
        <v>0</v>
      </c>
      <c r="H148" s="335">
        <f t="shared" si="25"/>
        <v>0</v>
      </c>
      <c r="I148" s="326">
        <f t="shared" si="20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6">B139+B141+B143+B145+B147</f>
        <v>0</v>
      </c>
      <c r="C149" s="349">
        <f t="shared" si="26"/>
        <v>0</v>
      </c>
      <c r="D149" s="349">
        <f t="shared" si="26"/>
        <v>0</v>
      </c>
      <c r="E149" s="349">
        <f>E139+E141+E143+E145+E147</f>
        <v>0</v>
      </c>
      <c r="F149" s="349">
        <f t="shared" si="26"/>
        <v>0</v>
      </c>
      <c r="G149" s="349">
        <f t="shared" si="26"/>
        <v>0</v>
      </c>
      <c r="H149" s="349">
        <f t="shared" si="26"/>
        <v>0</v>
      </c>
      <c r="I149" s="324">
        <f t="shared" si="26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7">IFERROR(C149/$B$149,0)</f>
        <v>0</v>
      </c>
      <c r="D150" s="346">
        <f t="shared" si="27"/>
        <v>0</v>
      </c>
      <c r="E150" s="346">
        <f t="shared" si="27"/>
        <v>0</v>
      </c>
      <c r="F150" s="346">
        <f t="shared" si="27"/>
        <v>0</v>
      </c>
      <c r="G150" s="346">
        <f t="shared" si="27"/>
        <v>0</v>
      </c>
      <c r="H150" s="346">
        <f t="shared" si="27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13:K113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D78:H78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verticalDpi="300" r:id="rId1"/>
  <rowBreaks count="1" manualBreakCount="1">
    <brk id="95" max="16383" man="1"/>
  </rowBreaks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23 ",Q1)</f>
        <v>Ежедневный отчет производства и отгрузки за 23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 t="shared" si="0"/>
        <v>0</v>
      </c>
      <c r="G5" s="30">
        <f t="shared" si="0"/>
        <v>107200</v>
      </c>
      <c r="H5" s="30">
        <f t="shared" si="0"/>
        <v>16874.071396806572</v>
      </c>
      <c r="I5" s="29">
        <f>IFERROR((H5/G5),0)</f>
        <v>0.15740738243289712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0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18"/>
      <c r="G6" s="18">
        <f>E6+'22'!G6</f>
        <v>0</v>
      </c>
      <c r="H6" s="18">
        <f>F6+'22'!H6</f>
        <v>6671.6154299884374</v>
      </c>
      <c r="I6" s="17"/>
      <c r="J6" s="949"/>
      <c r="K6" s="67">
        <f>J6+'22'!K6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9" t="s">
        <v>9</v>
      </c>
      <c r="C7" s="20"/>
      <c r="D7" s="149">
        <f>'01'!D7</f>
        <v>0</v>
      </c>
      <c r="E7" s="19"/>
      <c r="F7" s="18">
        <v>0</v>
      </c>
      <c r="G7" s="18"/>
      <c r="H7" s="18">
        <f>F7+'22'!H7</f>
        <v>0</v>
      </c>
      <c r="I7" s="17"/>
      <c r="J7" s="949"/>
      <c r="K7" s="67">
        <f>J7+'22'!K7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F8+'22'!H8</f>
        <v>0</v>
      </c>
      <c r="I8" s="17"/>
      <c r="J8" s="949"/>
      <c r="K8" s="67">
        <f>J8+'22'!K8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s="4" customFormat="1" collapsed="1">
      <c r="A9" s="41" t="s">
        <v>65</v>
      </c>
      <c r="B9" s="26" t="s">
        <v>9</v>
      </c>
      <c r="C9" s="25">
        <f>'01'!C9</f>
        <v>160800</v>
      </c>
      <c r="D9" s="25">
        <f>'01'!D9</f>
        <v>127072.29376141207</v>
      </c>
      <c r="E9" s="97">
        <v>6700</v>
      </c>
      <c r="F9" s="24">
        <f>F10+F11+F12+F13</f>
        <v>0</v>
      </c>
      <c r="G9" s="24">
        <f>E9+'22'!G9</f>
        <v>107200</v>
      </c>
      <c r="H9" s="24">
        <f>F9+'22'!H9</f>
        <v>10202.455966818135</v>
      </c>
      <c r="I9" s="23">
        <f>IFERROR((H9/G9),0)</f>
        <v>9.5172163869572154E-2</v>
      </c>
      <c r="J9" s="946">
        <f>J10+J11+J12+J13</f>
        <v>0</v>
      </c>
      <c r="K9" s="47">
        <f>J9+'22'!K9</f>
        <v>17027.103675312697</v>
      </c>
      <c r="L9" s="25">
        <f>D9+H9-K9+M9+N9</f>
        <v>120247.64605291751</v>
      </c>
      <c r="M9" s="54"/>
      <c r="N9" s="54">
        <f>N10</f>
        <v>0</v>
      </c>
      <c r="O9" s="1262"/>
      <c r="P9" s="1263"/>
      <c r="Q9" s="612">
        <v>-23266.571785975502</v>
      </c>
      <c r="R9" s="606">
        <f>J9-Q9</f>
        <v>23266.571785975502</v>
      </c>
      <c r="S9" s="616"/>
      <c r="T9" s="3"/>
    </row>
    <row r="10" spans="1:20">
      <c r="A10" s="74" t="s">
        <v>64</v>
      </c>
      <c r="B10" s="9" t="s">
        <v>9</v>
      </c>
      <c r="C10" s="20"/>
      <c r="D10" s="20">
        <f>'01'!D10</f>
        <v>56300.273909357406</v>
      </c>
      <c r="E10" s="19"/>
      <c r="F10" s="110">
        <v>0</v>
      </c>
      <c r="G10" s="18">
        <f>E10+'22'!G10</f>
        <v>0</v>
      </c>
      <c r="H10" s="18">
        <f>F10+'22'!H10</f>
        <v>10202.455966818135</v>
      </c>
      <c r="I10" s="17"/>
      <c r="J10" s="178">
        <v>0</v>
      </c>
      <c r="K10" s="67">
        <f>J10+'22'!K10</f>
        <v>17027.103675312697</v>
      </c>
      <c r="L10" s="149">
        <f>D10+H10-K10+M10+N10</f>
        <v>49475.62620086284</v>
      </c>
      <c r="M10" s="53"/>
      <c r="N10" s="101"/>
      <c r="O10" s="1246"/>
      <c r="P10" s="1247"/>
      <c r="Q10" s="604"/>
      <c r="R10" s="602"/>
    </row>
    <row r="11" spans="1:20">
      <c r="A11" s="74" t="s">
        <v>244</v>
      </c>
      <c r="B11" s="9" t="s">
        <v>9</v>
      </c>
      <c r="C11" s="20"/>
      <c r="D11" s="20">
        <f>'01'!D11</f>
        <v>18224.01726010743</v>
      </c>
      <c r="E11" s="19"/>
      <c r="F11" s="18"/>
      <c r="G11" s="18">
        <f>E11+'22'!G11</f>
        <v>0</v>
      </c>
      <c r="H11" s="18">
        <f>F11+'22'!H11</f>
        <v>0</v>
      </c>
      <c r="I11" s="17"/>
      <c r="J11" s="178">
        <v>0</v>
      </c>
      <c r="K11" s="67">
        <f>J11+'22'!K11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</row>
    <row r="12" spans="1:20" outlineLevel="1">
      <c r="A12" s="79" t="s">
        <v>154</v>
      </c>
      <c r="B12" s="9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E12+'22'!G12</f>
        <v>0</v>
      </c>
      <c r="H12" s="18">
        <f>F12+'22'!H12</f>
        <v>0</v>
      </c>
      <c r="I12" s="955">
        <f>IFERROR((H12/G12),0)</f>
        <v>0</v>
      </c>
      <c r="J12" s="192"/>
      <c r="K12" s="67">
        <f>J12+'22'!K12</f>
        <v>0</v>
      </c>
      <c r="L12" s="149">
        <f>D12+H12-K12</f>
        <v>52548.002591947239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18">
        <f>E13+'22'!G13</f>
        <v>0</v>
      </c>
      <c r="H13" s="110">
        <f>F13+'22'!H13</f>
        <v>0</v>
      </c>
      <c r="I13" s="17"/>
      <c r="J13" s="949"/>
      <c r="K13" s="124">
        <f>J13+'22'!K13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5668</v>
      </c>
      <c r="F14" s="30">
        <f>SUM(F15:F21)</f>
        <v>0</v>
      </c>
      <c r="G14" s="30">
        <f>SUM(G15:G21)</f>
        <v>144156</v>
      </c>
      <c r="H14" s="30">
        <f>SUM(H15:H21)</f>
        <v>18857.68830004807</v>
      </c>
      <c r="I14" s="29">
        <f t="shared" ref="I14:I21" si="1">IFERROR((H14/G14),0)</f>
        <v>0.13081445309281661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8"/>
      <c r="G15" s="24">
        <f>E15+'22'!G15</f>
        <v>0</v>
      </c>
      <c r="H15" s="18">
        <f>F15+'22'!H15</f>
        <v>0</v>
      </c>
      <c r="I15" s="17">
        <f t="shared" si="1"/>
        <v>0</v>
      </c>
      <c r="J15" s="192">
        <v>0</v>
      </c>
      <c r="K15" s="67">
        <f>J15+'22'!K15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</row>
    <row r="16" spans="1:20" outlineLevel="1">
      <c r="A16" s="44" t="s">
        <v>254</v>
      </c>
      <c r="B16" s="9" t="s">
        <v>9</v>
      </c>
      <c r="C16" s="68">
        <f>'01'!C16</f>
        <v>44352</v>
      </c>
      <c r="D16" s="68">
        <f>'01'!D16</f>
        <v>6069.3572595923979</v>
      </c>
      <c r="E16" s="134">
        <v>1288.9004101722726</v>
      </c>
      <c r="F16" s="171">
        <v>0</v>
      </c>
      <c r="G16" s="18">
        <f>E16+'22'!G16</f>
        <v>32781.003445447088</v>
      </c>
      <c r="H16" s="18">
        <f>F16+'22'!H16</f>
        <v>3228.5002277343951</v>
      </c>
      <c r="I16" s="956">
        <f t="shared" si="1"/>
        <v>9.8486924999326014E-2</v>
      </c>
      <c r="J16" s="751">
        <f>IFERROR(SUMIF(A101:A114,A16,E101:E114),0)+E111+E112+E113</f>
        <v>0</v>
      </c>
      <c r="K16" s="67">
        <f>J16+'22'!K16</f>
        <v>3320.85</v>
      </c>
      <c r="L16" s="398">
        <f t="shared" ref="L16:L38" si="2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0">
      <c r="A17" s="733" t="s">
        <v>262</v>
      </c>
      <c r="B17" s="9" t="s">
        <v>9</v>
      </c>
      <c r="C17" s="68">
        <f>'01'!C17</f>
        <v>0</v>
      </c>
      <c r="D17" s="68">
        <f>'01'!D17</f>
        <v>483.23739591927495</v>
      </c>
      <c r="E17" s="108">
        <v>0</v>
      </c>
      <c r="F17" s="173">
        <v>0</v>
      </c>
      <c r="G17" s="18">
        <f>E17+'22'!G17</f>
        <v>0</v>
      </c>
      <c r="H17" s="18">
        <f>F17+'22'!H17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J17+'22'!K17</f>
        <v>0</v>
      </c>
      <c r="L17" s="398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0" ht="15" customHeight="1">
      <c r="A18" s="44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E18+'22'!G18</f>
        <v>0</v>
      </c>
      <c r="H18" s="18">
        <f>F18+'22'!H18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J18+'22'!K18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0" s="56" customFormat="1">
      <c r="A19" s="123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4236.1790401968829</v>
      </c>
      <c r="F19" s="131">
        <v>0</v>
      </c>
      <c r="G19" s="18">
        <f>E19+'22'!G19</f>
        <v>107740.05393765381</v>
      </c>
      <c r="H19" s="18">
        <f>F19+'22'!H19</f>
        <v>15629.188072313675</v>
      </c>
      <c r="I19" s="957">
        <f t="shared" si="1"/>
        <v>0.1450638597355618</v>
      </c>
      <c r="J19" s="751">
        <f>IFERROR(SUMIF(A102:A115,A19,E102:E115),0)+E117+E115+E122</f>
        <v>0</v>
      </c>
      <c r="K19" s="67">
        <f>J19+'22'!K19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0">
      <c r="A20" s="4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103.39799015586547</v>
      </c>
      <c r="F20" s="110">
        <v>0</v>
      </c>
      <c r="G20" s="18">
        <f>E20+'22'!G20</f>
        <v>2629.7531173092702</v>
      </c>
      <c r="H20" s="18">
        <f>F20+'22'!H20</f>
        <v>0</v>
      </c>
      <c r="I20" s="17">
        <f t="shared" si="1"/>
        <v>0</v>
      </c>
      <c r="J20" s="751">
        <f>IFERROR(SUMIF(A102:A115,A20,E102:E115),0)</f>
        <v>0</v>
      </c>
      <c r="K20" s="67">
        <f>J20+'22'!K20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</row>
    <row r="21" spans="1:20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39.522559474979488</v>
      </c>
      <c r="F21" s="110">
        <v>0</v>
      </c>
      <c r="G21" s="18">
        <f>E21+'22'!G21</f>
        <v>1005.1894995898277</v>
      </c>
      <c r="H21" s="18">
        <f>F21+'22'!H21</f>
        <v>0</v>
      </c>
      <c r="I21" s="17">
        <f t="shared" si="1"/>
        <v>0</v>
      </c>
      <c r="J21" s="751">
        <f>IFERROR(SUMIF(A102:A115,A21,E102:E115),0)</f>
        <v>0</v>
      </c>
      <c r="K21" s="67">
        <f>J21+'22'!K21</f>
        <v>0</v>
      </c>
      <c r="L21" s="60">
        <f t="shared" si="2"/>
        <v>8.7766238721087575E-11</v>
      </c>
      <c r="M21" s="409"/>
      <c r="N21" s="429"/>
      <c r="O21" s="1252"/>
      <c r="P21" s="1253"/>
      <c r="Q21" s="602"/>
      <c r="R21" s="602"/>
    </row>
    <row r="22" spans="1:20">
      <c r="A22" s="733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98">
        <v>0</v>
      </c>
      <c r="G22" s="18">
        <f>E22+'22'!G22</f>
        <v>1100</v>
      </c>
      <c r="H22" s="18">
        <f>F22+'22'!H22</f>
        <v>2130.1044634377968</v>
      </c>
      <c r="I22" s="23"/>
      <c r="J22" s="751">
        <f>IFERROR(SUMIF(A103:A123,A22,E103:E123),0)+E109</f>
        <v>0</v>
      </c>
      <c r="K22" s="67">
        <f>J22+'22'!K22</f>
        <v>757.20000000000016</v>
      </c>
      <c r="L22" s="60">
        <f t="shared" si="2"/>
        <v>4206.655098319975</v>
      </c>
      <c r="M22" s="409"/>
      <c r="N22" s="429"/>
      <c r="O22" s="1325"/>
      <c r="P22" s="1253"/>
      <c r="Q22" s="602"/>
      <c r="R22" s="602"/>
    </row>
    <row r="23" spans="1:20" s="4" customFormat="1">
      <c r="A23" s="24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E23+'22'!G23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J23+'22'!K23</f>
        <v>20</v>
      </c>
      <c r="L23" s="584">
        <f>D23+H23-K23+M23</f>
        <v>32</v>
      </c>
      <c r="M23" s="416"/>
      <c r="N23" s="432"/>
      <c r="O23" s="1254"/>
      <c r="P23" s="1255"/>
      <c r="Q23" s="606"/>
      <c r="R23" s="606"/>
      <c r="S23" s="616"/>
      <c r="T23" s="28"/>
    </row>
    <row r="24" spans="1:20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E24+'22'!G24</f>
        <v>0</v>
      </c>
      <c r="H24" s="18">
        <f>F24+'22'!H24</f>
        <v>0</v>
      </c>
      <c r="I24" s="23"/>
      <c r="J24" s="752">
        <v>0</v>
      </c>
      <c r="K24" s="67">
        <f>J24+'22'!K24</f>
        <v>0</v>
      </c>
      <c r="L24" s="60">
        <f t="shared" si="2"/>
        <v>0</v>
      </c>
      <c r="M24" s="416"/>
      <c r="N24" s="432"/>
      <c r="O24" s="925"/>
      <c r="P24" s="926"/>
      <c r="Q24" s="606"/>
      <c r="R24" s="606"/>
      <c r="S24" s="616"/>
      <c r="T24" s="28"/>
    </row>
    <row r="25" spans="1:20" s="4" customFormat="1" hidden="1" outlineLevel="1">
      <c r="A25" s="4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E25+'22'!G25</f>
        <v>0</v>
      </c>
      <c r="H25" s="18">
        <f>F25+'22'!H25</f>
        <v>0</v>
      </c>
      <c r="I25" s="23"/>
      <c r="J25" s="752">
        <v>0</v>
      </c>
      <c r="K25" s="67">
        <f>J25+'22'!K25</f>
        <v>20</v>
      </c>
      <c r="L25" s="60">
        <f t="shared" si="2"/>
        <v>-4</v>
      </c>
      <c r="M25" s="416"/>
      <c r="N25" s="432"/>
      <c r="O25" s="925"/>
      <c r="P25" s="926"/>
      <c r="Q25" s="606"/>
      <c r="R25" s="606"/>
      <c r="S25" s="616"/>
      <c r="T25" s="28"/>
    </row>
    <row r="26" spans="1:20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E26+'22'!G26</f>
        <v>0</v>
      </c>
      <c r="H26" s="18">
        <f>F26+'22'!H26</f>
        <v>0</v>
      </c>
      <c r="I26" s="23"/>
      <c r="J26" s="752">
        <v>0</v>
      </c>
      <c r="K26" s="67">
        <f>J26+'22'!K26</f>
        <v>0</v>
      </c>
      <c r="L26" s="60">
        <f t="shared" si="2"/>
        <v>36</v>
      </c>
      <c r="M26" s="416"/>
      <c r="N26" s="432"/>
      <c r="O26" s="925"/>
      <c r="P26" s="926"/>
      <c r="Q26" s="606"/>
      <c r="R26" s="606"/>
      <c r="S26" s="616"/>
      <c r="T26" s="28"/>
    </row>
    <row r="27" spans="1:20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E27+'22'!G27</f>
        <v>0</v>
      </c>
      <c r="H27" s="18">
        <f>F27+'22'!H27</f>
        <v>0</v>
      </c>
      <c r="I27" s="23"/>
      <c r="J27" s="752"/>
      <c r="K27" s="67">
        <f>J27+'22'!K27</f>
        <v>0</v>
      </c>
      <c r="L27" s="60">
        <f t="shared" si="2"/>
        <v>0</v>
      </c>
      <c r="M27" s="416"/>
      <c r="N27" s="432"/>
      <c r="O27" s="925"/>
      <c r="P27" s="926"/>
      <c r="Q27" s="606"/>
      <c r="R27" s="606"/>
      <c r="S27" s="616"/>
      <c r="T27" s="28"/>
    </row>
    <row r="28" spans="1:20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E28+'22'!G28</f>
        <v>0</v>
      </c>
      <c r="H28" s="18">
        <f>F28+'22'!H28</f>
        <v>0</v>
      </c>
      <c r="I28" s="23"/>
      <c r="J28" s="752"/>
      <c r="K28" s="67">
        <f>J28+'22'!K28</f>
        <v>0</v>
      </c>
      <c r="L28" s="60">
        <f t="shared" si="2"/>
        <v>0</v>
      </c>
      <c r="M28" s="416"/>
      <c r="N28" s="432"/>
      <c r="O28" s="925"/>
      <c r="P28" s="926"/>
      <c r="Q28" s="606"/>
      <c r="R28" s="606"/>
      <c r="S28" s="616"/>
      <c r="T28" s="28"/>
    </row>
    <row r="29" spans="1:20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E29+'22'!G29</f>
        <v>0</v>
      </c>
      <c r="H29" s="18">
        <f>F29+'22'!H29</f>
        <v>0</v>
      </c>
      <c r="I29" s="23"/>
      <c r="J29" s="752"/>
      <c r="K29" s="67">
        <f>J29+'22'!K29</f>
        <v>0</v>
      </c>
      <c r="L29" s="60">
        <f t="shared" si="2"/>
        <v>0</v>
      </c>
      <c r="M29" s="416"/>
      <c r="N29" s="432"/>
      <c r="O29" s="925"/>
      <c r="P29" s="926"/>
      <c r="Q29" s="606"/>
      <c r="R29" s="606"/>
      <c r="S29" s="616"/>
      <c r="T29" s="28"/>
    </row>
    <row r="30" spans="1:20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E30+'22'!G30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J30+'22'!K30</f>
        <v>994.39999999999986</v>
      </c>
      <c r="L30" s="584">
        <f t="shared" si="2"/>
        <v>1073.6000000000001</v>
      </c>
      <c r="M30" s="416"/>
      <c r="N30" s="432"/>
      <c r="O30" s="1324"/>
      <c r="P30" s="1255"/>
      <c r="Q30" s="606"/>
      <c r="R30" s="606"/>
      <c r="S30" s="616"/>
      <c r="T30" s="28"/>
    </row>
    <row r="31" spans="1:20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E31+'22'!G31</f>
        <v>0</v>
      </c>
      <c r="H31" s="18">
        <f>F31+'22'!H31</f>
        <v>0</v>
      </c>
      <c r="I31" s="23"/>
      <c r="J31" s="865">
        <v>0</v>
      </c>
      <c r="K31" s="67">
        <f>J31+'22'!K31</f>
        <v>0</v>
      </c>
      <c r="L31" s="60">
        <f t="shared" si="2"/>
        <v>0</v>
      </c>
      <c r="M31" s="416"/>
      <c r="N31" s="432"/>
      <c r="O31" s="925"/>
      <c r="P31" s="926"/>
      <c r="Q31" s="606"/>
      <c r="R31" s="606"/>
      <c r="S31" s="616"/>
      <c r="T31" s="28"/>
    </row>
    <row r="32" spans="1:20" s="4" customFormat="1" hidden="1" outlineLevel="1">
      <c r="A32" s="44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E32+'22'!G32</f>
        <v>0</v>
      </c>
      <c r="H32" s="18">
        <f>F32+'22'!H32</f>
        <v>554.40000000000009</v>
      </c>
      <c r="I32" s="23"/>
      <c r="J32" s="865">
        <v>0</v>
      </c>
      <c r="K32" s="67">
        <f>J32+'22'!K32</f>
        <v>994.39999999999986</v>
      </c>
      <c r="L32" s="60">
        <f t="shared" si="2"/>
        <v>1068.3200000000004</v>
      </c>
      <c r="M32" s="416"/>
      <c r="N32" s="432"/>
      <c r="O32" s="925"/>
      <c r="P32" s="926"/>
      <c r="Q32" s="606"/>
      <c r="R32" s="606"/>
      <c r="S32" s="616"/>
      <c r="T32" s="28"/>
    </row>
    <row r="33" spans="1:20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E33+'22'!G33</f>
        <v>0</v>
      </c>
      <c r="H33" s="18">
        <f>F33+'22'!H33</f>
        <v>0</v>
      </c>
      <c r="I33" s="23"/>
      <c r="J33" s="865">
        <v>0</v>
      </c>
      <c r="K33" s="67">
        <f>J33+'22'!K33</f>
        <v>0</v>
      </c>
      <c r="L33" s="60">
        <f t="shared" si="2"/>
        <v>5.28</v>
      </c>
      <c r="M33" s="416"/>
      <c r="N33" s="432"/>
      <c r="O33" s="925"/>
      <c r="P33" s="926"/>
      <c r="Q33" s="606"/>
      <c r="R33" s="606"/>
      <c r="S33" s="616"/>
      <c r="T33" s="28"/>
    </row>
    <row r="34" spans="1:20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E34+'22'!G34</f>
        <v>0</v>
      </c>
      <c r="H34" s="18">
        <f>F34+'22'!H34</f>
        <v>0</v>
      </c>
      <c r="I34" s="23"/>
      <c r="J34" s="865"/>
      <c r="K34" s="67">
        <f>J34+'22'!K34</f>
        <v>0</v>
      </c>
      <c r="L34" s="60">
        <f t="shared" si="2"/>
        <v>0</v>
      </c>
      <c r="M34" s="416"/>
      <c r="N34" s="432"/>
      <c r="O34" s="925"/>
      <c r="P34" s="926"/>
      <c r="Q34" s="606"/>
      <c r="R34" s="606"/>
      <c r="S34" s="616"/>
      <c r="T34" s="28"/>
    </row>
    <row r="35" spans="1:20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E35+'22'!G35</f>
        <v>0</v>
      </c>
      <c r="H35" s="18">
        <f>F35+'22'!H35</f>
        <v>0</v>
      </c>
      <c r="I35" s="23"/>
      <c r="J35" s="865"/>
      <c r="K35" s="67">
        <f>J35+'22'!K35</f>
        <v>0</v>
      </c>
      <c r="L35" s="60">
        <f t="shared" si="2"/>
        <v>0</v>
      </c>
      <c r="M35" s="416"/>
      <c r="N35" s="432"/>
      <c r="O35" s="925"/>
      <c r="P35" s="926"/>
      <c r="Q35" s="606"/>
      <c r="R35" s="606"/>
      <c r="S35" s="616"/>
      <c r="T35" s="28"/>
    </row>
    <row r="36" spans="1:20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E36+'22'!G36</f>
        <v>0</v>
      </c>
      <c r="H36" s="18">
        <f>F36+'22'!H36</f>
        <v>0</v>
      </c>
      <c r="I36" s="23"/>
      <c r="J36" s="110">
        <v>0</v>
      </c>
      <c r="K36" s="67">
        <f>J36+'22'!K36</f>
        <v>0</v>
      </c>
      <c r="L36" s="60">
        <f t="shared" si="2"/>
        <v>1673.24</v>
      </c>
      <c r="M36" s="416"/>
      <c r="N36" s="432"/>
      <c r="O36" s="925"/>
      <c r="P36" s="926"/>
      <c r="Q36" s="606"/>
      <c r="R36" s="606"/>
      <c r="S36" s="616"/>
      <c r="T36" s="28"/>
    </row>
    <row r="37" spans="1:20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E37+'22'!G37</f>
        <v>0</v>
      </c>
      <c r="H37" s="18">
        <f>F37+'22'!H37</f>
        <v>0</v>
      </c>
      <c r="I37" s="23"/>
      <c r="J37" s="110">
        <v>0</v>
      </c>
      <c r="K37" s="67">
        <f>J37+'22'!K37</f>
        <v>0</v>
      </c>
      <c r="L37" s="60">
        <f t="shared" si="2"/>
        <v>294.63999999999987</v>
      </c>
      <c r="M37" s="416"/>
      <c r="N37" s="432"/>
      <c r="O37" s="925"/>
      <c r="P37" s="926"/>
      <c r="Q37" s="606"/>
      <c r="R37" s="606"/>
      <c r="S37" s="616"/>
      <c r="T37" s="28"/>
    </row>
    <row r="38" spans="1:20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E38+'22'!G38</f>
        <v>114226.98265578736</v>
      </c>
      <c r="H38" s="671">
        <f>F38+'22'!H38</f>
        <v>9132.5707721894778</v>
      </c>
      <c r="I38" s="958">
        <f>IFERROR((H38/G38),0)</f>
        <v>7.9951081258179166E-2</v>
      </c>
      <c r="J38" s="753">
        <f>SUM(J39:J40)</f>
        <v>0</v>
      </c>
      <c r="K38" s="672">
        <f>J38+'22'!K38</f>
        <v>9083.5707721894778</v>
      </c>
      <c r="L38" s="673">
        <f t="shared" si="2"/>
        <v>1805.9829593932955</v>
      </c>
      <c r="M38" s="410"/>
      <c r="N38" s="76"/>
      <c r="O38" s="1332"/>
      <c r="P38" s="1333"/>
      <c r="Q38" s="607"/>
      <c r="R38" s="602"/>
      <c r="S38" s="614"/>
      <c r="T38" s="2"/>
    </row>
    <row r="39" spans="1:20">
      <c r="A39" s="74" t="s">
        <v>91</v>
      </c>
      <c r="B39" s="9" t="s">
        <v>9</v>
      </c>
      <c r="C39" s="20"/>
      <c r="D39" s="20"/>
      <c r="E39" s="19"/>
      <c r="F39" s="110">
        <v>0</v>
      </c>
      <c r="G39" s="18"/>
      <c r="H39" s="18">
        <f>F39+'22'!H39</f>
        <v>6840.5707721894778</v>
      </c>
      <c r="I39" s="17"/>
      <c r="J39" s="750">
        <f>F39</f>
        <v>0</v>
      </c>
      <c r="K39" s="67">
        <f>J39+'22'!K39</f>
        <v>6840.5707721894778</v>
      </c>
      <c r="L39" s="60"/>
      <c r="M39" s="410"/>
      <c r="N39" s="76"/>
      <c r="O39" s="1332"/>
      <c r="P39" s="1333"/>
      <c r="Q39" s="607"/>
      <c r="R39" s="602"/>
      <c r="S39" s="1022"/>
      <c r="T39" s="33"/>
    </row>
    <row r="40" spans="1:20">
      <c r="A40" s="74" t="s">
        <v>109</v>
      </c>
      <c r="B40" s="9" t="s">
        <v>9</v>
      </c>
      <c r="C40" s="20"/>
      <c r="D40" s="20"/>
      <c r="E40" s="19"/>
      <c r="F40" s="110">
        <v>0</v>
      </c>
      <c r="G40" s="18"/>
      <c r="H40" s="18">
        <f>F40+'22'!H40</f>
        <v>2292</v>
      </c>
      <c r="I40" s="17"/>
      <c r="J40" s="178">
        <v>0</v>
      </c>
      <c r="K40" s="67">
        <f>J40+'22'!K40</f>
        <v>2243</v>
      </c>
      <c r="L40" s="60"/>
      <c r="M40" s="410"/>
      <c r="N40" s="76"/>
      <c r="O40" s="1332"/>
      <c r="P40" s="1333"/>
      <c r="Q40" s="607"/>
      <c r="R40" s="602"/>
      <c r="S40" s="1022"/>
      <c r="T40" s="33"/>
    </row>
    <row r="41" spans="1:20" hidden="1" outlineLevel="1">
      <c r="A41" s="74" t="s">
        <v>67</v>
      </c>
      <c r="B41" s="9" t="s">
        <v>9</v>
      </c>
      <c r="C41" s="20"/>
      <c r="D41" s="20"/>
      <c r="E41" s="19"/>
      <c r="F41" s="18"/>
      <c r="G41" s="18"/>
      <c r="H41" s="18">
        <f>F41+'22'!H41</f>
        <v>0</v>
      </c>
      <c r="I41" s="17"/>
      <c r="J41" s="192"/>
      <c r="K41" s="67">
        <f>J41+'22'!K41</f>
        <v>0</v>
      </c>
      <c r="L41" s="60"/>
      <c r="M41" s="410"/>
      <c r="N41" s="76"/>
      <c r="O41" s="1332"/>
      <c r="P41" s="1333"/>
      <c r="Q41" s="607"/>
      <c r="R41" s="602"/>
      <c r="S41" s="614"/>
      <c r="T41" s="33"/>
    </row>
    <row r="42" spans="1:20" hidden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F42+'22'!H42</f>
        <v>0</v>
      </c>
      <c r="I42" s="17"/>
      <c r="J42" s="192"/>
      <c r="K42" s="67">
        <f>J42+'22'!K42</f>
        <v>0</v>
      </c>
      <c r="L42" s="60"/>
      <c r="M42" s="410"/>
      <c r="N42" s="76"/>
      <c r="O42" s="1332"/>
      <c r="P42" s="1333"/>
      <c r="Q42" s="607"/>
      <c r="R42" s="602"/>
      <c r="S42" s="614"/>
      <c r="T42" s="33"/>
    </row>
    <row r="43" spans="1:20" collapsed="1">
      <c r="A43" s="74" t="s">
        <v>63</v>
      </c>
      <c r="B43" s="9" t="s">
        <v>9</v>
      </c>
      <c r="C43" s="20">
        <f>'01'!C43</f>
        <v>96601.878796744204</v>
      </c>
      <c r="D43" s="20"/>
      <c r="E43" s="312">
        <f>C43/30</f>
        <v>3220.06262655814</v>
      </c>
      <c r="F43" s="110">
        <v>0</v>
      </c>
      <c r="G43" s="18">
        <f>E43+'22'!G43</f>
        <v>74061.440410837196</v>
      </c>
      <c r="H43" s="18">
        <f>F43+'22'!H43</f>
        <v>8403.7999999999993</v>
      </c>
      <c r="I43" s="17">
        <f>IFERROR((H43/G43),0)</f>
        <v>0.11347065292522039</v>
      </c>
      <c r="J43" s="192">
        <f>F43</f>
        <v>0</v>
      </c>
      <c r="K43" s="67">
        <f>J43+'22'!K43</f>
        <v>8403.7999999999993</v>
      </c>
      <c r="L43" s="20">
        <f>D43+H43-K43</f>
        <v>0</v>
      </c>
      <c r="M43" s="410"/>
      <c r="N43" s="76"/>
      <c r="O43" s="1332"/>
      <c r="P43" s="1333"/>
      <c r="Q43" s="607"/>
      <c r="R43" s="602"/>
      <c r="S43" s="614"/>
      <c r="T43" s="33"/>
    </row>
    <row r="44" spans="1:20" s="4" customFormat="1">
      <c r="A44" s="74" t="s">
        <v>69</v>
      </c>
      <c r="B44" s="26" t="s">
        <v>9</v>
      </c>
      <c r="C44" s="20">
        <f>'01'!C44</f>
        <v>40846.933088751408</v>
      </c>
      <c r="D44" s="20">
        <f>'01'!D44</f>
        <v>3759.4565289122183</v>
      </c>
      <c r="E44" s="707">
        <f>C44/30</f>
        <v>1361.5644362917135</v>
      </c>
      <c r="F44" s="110">
        <v>0</v>
      </c>
      <c r="G44" s="18">
        <f>E44+'22'!G44</f>
        <v>31315.982034709396</v>
      </c>
      <c r="H44" s="18">
        <f>F44+'22'!H44</f>
        <v>7255</v>
      </c>
      <c r="I44" s="17">
        <f>IFERROR((H44/G44),0)</f>
        <v>0.23167084436179727</v>
      </c>
      <c r="J44" s="178">
        <v>0</v>
      </c>
      <c r="K44" s="67">
        <f>J44+'22'!K44</f>
        <v>4780.2485953962823</v>
      </c>
      <c r="L44" s="20">
        <f>D44+H44-K44</f>
        <v>6234.207933515936</v>
      </c>
      <c r="M44" s="410"/>
      <c r="N44" s="45"/>
      <c r="O44" s="1256"/>
      <c r="P44" s="1257"/>
      <c r="Q44" s="607"/>
      <c r="R44" s="606"/>
      <c r="S44" s="614"/>
      <c r="T44" s="2"/>
    </row>
    <row r="45" spans="1:20" s="4" customFormat="1" hidden="1" outlineLevel="1">
      <c r="A45" s="74" t="s">
        <v>70</v>
      </c>
      <c r="B45" s="26"/>
      <c r="C45" s="20"/>
      <c r="D45" s="20"/>
      <c r="E45" s="707"/>
      <c r="F45" s="18">
        <v>0</v>
      </c>
      <c r="G45" s="18"/>
      <c r="H45" s="18">
        <f>F45+'22'!H45</f>
        <v>0</v>
      </c>
      <c r="I45" s="17"/>
      <c r="J45" s="192"/>
      <c r="K45" s="67">
        <f>J45+'22'!K45</f>
        <v>0</v>
      </c>
      <c r="L45" s="20"/>
      <c r="M45" s="410"/>
      <c r="N45" s="45"/>
      <c r="O45" s="1256"/>
      <c r="P45" s="1257"/>
      <c r="Q45" s="607"/>
      <c r="R45" s="606"/>
      <c r="S45" s="614"/>
      <c r="T45" s="2"/>
    </row>
    <row r="46" spans="1:20" s="4" customFormat="1" hidden="1" outlineLevel="1">
      <c r="A46" s="74" t="s">
        <v>71</v>
      </c>
      <c r="B46" s="26"/>
      <c r="C46" s="20"/>
      <c r="D46" s="20"/>
      <c r="E46" s="707"/>
      <c r="F46" s="193"/>
      <c r="G46" s="18"/>
      <c r="H46" s="18">
        <f>F46+'22'!H46</f>
        <v>0</v>
      </c>
      <c r="I46" s="17"/>
      <c r="J46" s="192"/>
      <c r="K46" s="67">
        <f>J46+'22'!K46</f>
        <v>0</v>
      </c>
      <c r="L46" s="20"/>
      <c r="M46" s="410"/>
      <c r="N46" s="45"/>
      <c r="O46" s="1256"/>
      <c r="P46" s="1257"/>
      <c r="Q46" s="607"/>
      <c r="R46" s="606"/>
      <c r="S46" s="614"/>
      <c r="T46" s="2"/>
    </row>
    <row r="47" spans="1:20" s="4" customFormat="1" hidden="1" outlineLevel="1">
      <c r="A47" s="74" t="s">
        <v>72</v>
      </c>
      <c r="B47" s="26"/>
      <c r="C47" s="20"/>
      <c r="D47" s="20"/>
      <c r="E47" s="707"/>
      <c r="F47" s="18"/>
      <c r="G47" s="18"/>
      <c r="H47" s="18">
        <f>F47+'22'!H47</f>
        <v>0</v>
      </c>
      <c r="I47" s="17"/>
      <c r="J47" s="192"/>
      <c r="K47" s="67">
        <f>J47+'22'!K47</f>
        <v>0</v>
      </c>
      <c r="L47" s="20"/>
      <c r="M47" s="410"/>
      <c r="N47" s="45"/>
      <c r="O47" s="1256"/>
      <c r="P47" s="1257"/>
      <c r="Q47" s="607"/>
      <c r="R47" s="606"/>
      <c r="S47" s="614"/>
      <c r="T47" s="2"/>
    </row>
    <row r="48" spans="1:20" s="4" customFormat="1" collapsed="1">
      <c r="A48" s="74" t="s">
        <v>106</v>
      </c>
      <c r="B48" s="26" t="s">
        <v>9</v>
      </c>
      <c r="C48" s="20">
        <f>'01'!C48</f>
        <v>238663.46526254449</v>
      </c>
      <c r="D48" s="20">
        <f>'01'!D48</f>
        <v>14554.971764167974</v>
      </c>
      <c r="E48" s="707">
        <f>C48/30</f>
        <v>7955.4488420848165</v>
      </c>
      <c r="F48" s="110">
        <v>0</v>
      </c>
      <c r="G48" s="18">
        <f>E48+'22'!G48</f>
        <v>182975.32336795083</v>
      </c>
      <c r="H48" s="18">
        <f>F48+'22'!H48</f>
        <v>15244.370772189477</v>
      </c>
      <c r="I48" s="17">
        <f>IFERROR((H48/G48),0)</f>
        <v>8.3313806974583626E-2</v>
      </c>
      <c r="J48" s="750">
        <v>0</v>
      </c>
      <c r="K48" s="67">
        <f>J48+'22'!K48</f>
        <v>27730.381517661059</v>
      </c>
      <c r="L48" s="20">
        <f>D48+H48-K48</f>
        <v>2068.961018696391</v>
      </c>
      <c r="M48" s="410"/>
      <c r="N48" s="45"/>
      <c r="O48" s="1256"/>
      <c r="P48" s="1257"/>
      <c r="Q48" s="607"/>
      <c r="R48" s="606"/>
      <c r="S48" s="614"/>
      <c r="T48" s="2"/>
    </row>
    <row r="49" spans="1:26" s="4" customFormat="1">
      <c r="A49" s="41" t="s">
        <v>107</v>
      </c>
      <c r="B49" s="26" t="s">
        <v>9</v>
      </c>
      <c r="C49" s="20">
        <f>'01'!C49</f>
        <v>256898.95024371953</v>
      </c>
      <c r="D49" s="20">
        <f>'01'!D49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173898.95024371953</v>
      </c>
      <c r="H49" s="18">
        <f>SUM(H50:H51)</f>
        <v>32176.186994748638</v>
      </c>
      <c r="I49" s="17">
        <f>IFERROR((H49/G49),0)</f>
        <v>0.18502806917266426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43"/>
      <c r="O49" s="1244"/>
      <c r="P49" s="1245"/>
      <c r="Q49" s="608"/>
      <c r="R49" s="606"/>
      <c r="S49" s="614"/>
      <c r="T49" s="2"/>
    </row>
    <row r="50" spans="1:26">
      <c r="A50" s="123" t="s">
        <v>61</v>
      </c>
      <c r="B50" s="9" t="s">
        <v>9</v>
      </c>
      <c r="C50" s="20">
        <f>'01'!C50</f>
        <v>0</v>
      </c>
      <c r="D50" s="20">
        <f>'01'!D50</f>
        <v>2323.23</v>
      </c>
      <c r="E50" s="19">
        <v>0</v>
      </c>
      <c r="F50" s="18"/>
      <c r="G50" s="18">
        <f>E50+'22'!G50</f>
        <v>0</v>
      </c>
      <c r="H50" s="18">
        <f>F50+'22'!H50</f>
        <v>0</v>
      </c>
      <c r="I50" s="17">
        <f>IFERROR((H50/G50),0)</f>
        <v>0</v>
      </c>
      <c r="J50" s="192"/>
      <c r="K50" s="67">
        <f>J50+'22'!K50</f>
        <v>0</v>
      </c>
      <c r="L50" s="20">
        <f>D50+H50-K50+M50</f>
        <v>2323.23</v>
      </c>
      <c r="M50" s="410"/>
      <c r="N50" s="43"/>
      <c r="O50" s="1244"/>
      <c r="P50" s="1245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'01'!C51</f>
        <v>256898.95024371953</v>
      </c>
      <c r="D51" s="20">
        <f>'01'!D51</f>
        <v>4567.1619969842723</v>
      </c>
      <c r="E51" s="134">
        <v>11000</v>
      </c>
      <c r="F51" s="110">
        <v>0</v>
      </c>
      <c r="G51" s="18">
        <f>E51+'22'!G51</f>
        <v>173898.95024371953</v>
      </c>
      <c r="H51" s="18">
        <f>F51+'22'!H51</f>
        <v>32176.186994748638</v>
      </c>
      <c r="I51" s="17">
        <f>IFERROR((H51/G51),0)</f>
        <v>0.18502806917266426</v>
      </c>
      <c r="J51" s="192">
        <f>O51-P51</f>
        <v>0</v>
      </c>
      <c r="K51" s="67">
        <f>J51+'22'!K51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'01'!C52</f>
        <v>0</v>
      </c>
      <c r="D52" s="20">
        <f>'01'!D52</f>
        <v>0</v>
      </c>
      <c r="E52" s="48"/>
      <c r="F52" s="24"/>
      <c r="G52" s="18"/>
      <c r="H52" s="18"/>
      <c r="I52" s="23"/>
      <c r="J52" s="946"/>
      <c r="K52" s="67"/>
      <c r="L52" s="25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'01'!C53</f>
        <v>0</v>
      </c>
      <c r="D53" s="20">
        <f>'01'!D53</f>
        <v>0</v>
      </c>
      <c r="E53" s="240">
        <f t="shared" ref="E53:E58" si="3">C53/$Q$2</f>
        <v>0</v>
      </c>
      <c r="F53" s="73">
        <v>0</v>
      </c>
      <c r="G53" s="24">
        <f>E53+'22'!G53</f>
        <v>0</v>
      </c>
      <c r="H53" s="18">
        <f>F53+'22'!H53</f>
        <v>0</v>
      </c>
      <c r="I53" s="957">
        <f t="shared" ref="I53:I58" si="4">IFERROR((H53/G53),0)</f>
        <v>0</v>
      </c>
      <c r="J53" s="624"/>
      <c r="K53" s="67">
        <f>J53+'22'!K53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'01'!C54</f>
        <v>10000</v>
      </c>
      <c r="D54" s="20">
        <f>'01'!D54</f>
        <v>13684.915881223626</v>
      </c>
      <c r="E54" s="240">
        <f t="shared" si="3"/>
        <v>322.58064516129031</v>
      </c>
      <c r="F54" s="73">
        <v>0</v>
      </c>
      <c r="G54" s="18">
        <f>E54+'22'!G54</f>
        <v>7419.3548387096807</v>
      </c>
      <c r="H54" s="18">
        <f>F54+'22'!H54</f>
        <v>0</v>
      </c>
      <c r="I54" s="957">
        <f t="shared" si="4"/>
        <v>0</v>
      </c>
      <c r="J54" s="754">
        <v>0</v>
      </c>
      <c r="K54" s="67">
        <f>J54+'22'!K54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'01'!C55</f>
        <v>17000</v>
      </c>
      <c r="D55" s="20">
        <f>'01'!D55</f>
        <v>3999.5665967852347</v>
      </c>
      <c r="E55" s="240">
        <f t="shared" si="3"/>
        <v>548.38709677419354</v>
      </c>
      <c r="F55" s="73">
        <v>0</v>
      </c>
      <c r="G55" s="18">
        <f>E55+'22'!G55</f>
        <v>12612.903225806447</v>
      </c>
      <c r="H55" s="18">
        <f>F55+'22'!H55</f>
        <v>0</v>
      </c>
      <c r="I55" s="957">
        <f t="shared" si="4"/>
        <v>0</v>
      </c>
      <c r="J55" s="754">
        <v>0</v>
      </c>
      <c r="K55" s="67">
        <f>J55+'22'!K55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'01'!C56</f>
        <v>0</v>
      </c>
      <c r="D56" s="20">
        <f>'01'!D56</f>
        <v>0</v>
      </c>
      <c r="E56" s="240">
        <f t="shared" si="3"/>
        <v>0</v>
      </c>
      <c r="F56" s="73">
        <v>0</v>
      </c>
      <c r="G56" s="18">
        <f>E56+'22'!G56</f>
        <v>0</v>
      </c>
      <c r="H56" s="18">
        <f>F56+'22'!H56</f>
        <v>0</v>
      </c>
      <c r="I56" s="957">
        <f t="shared" si="4"/>
        <v>0</v>
      </c>
      <c r="J56" s="624"/>
      <c r="K56" s="67">
        <f>J56+'22'!K56</f>
        <v>0</v>
      </c>
      <c r="L56" s="60">
        <f t="shared" si="5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/>
      <c r="C57" s="20">
        <f>'01'!C57</f>
        <v>0</v>
      </c>
      <c r="D57" s="20">
        <f>'01'!D57</f>
        <v>178.07499999999999</v>
      </c>
      <c r="E57" s="240">
        <f t="shared" si="3"/>
        <v>0</v>
      </c>
      <c r="F57" s="73">
        <v>0</v>
      </c>
      <c r="G57" s="18">
        <f>E57+'22'!G57</f>
        <v>0</v>
      </c>
      <c r="H57" s="18">
        <f>F57+'22'!H57</f>
        <v>0</v>
      </c>
      <c r="I57" s="957">
        <f t="shared" si="4"/>
        <v>0</v>
      </c>
      <c r="J57" s="624"/>
      <c r="K57" s="67">
        <f>J57+'22'!K57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'01'!C58</f>
        <v>0</v>
      </c>
      <c r="D58" s="20">
        <f>'01'!D58</f>
        <v>3480.6937513418743</v>
      </c>
      <c r="E58" s="240">
        <f t="shared" si="3"/>
        <v>0</v>
      </c>
      <c r="F58" s="73">
        <v>0</v>
      </c>
      <c r="G58" s="18">
        <f>E58+'22'!G58</f>
        <v>0</v>
      </c>
      <c r="H58" s="18">
        <f>F58+'22'!H58</f>
        <v>0</v>
      </c>
      <c r="I58" s="957">
        <f t="shared" si="4"/>
        <v>0</v>
      </c>
      <c r="J58" s="754">
        <v>0</v>
      </c>
      <c r="K58" s="67">
        <f>J58+'22'!K58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'01'!D59</f>
        <v>4269.0880030013104</v>
      </c>
      <c r="E59" s="240"/>
      <c r="F59" s="73">
        <v>0</v>
      </c>
      <c r="G59" s="24"/>
      <c r="H59" s="18">
        <f>F59+'22'!H59</f>
        <v>0</v>
      </c>
      <c r="I59" s="957"/>
      <c r="J59" s="754"/>
      <c r="K59" s="67">
        <f>J59+'22'!K59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24"/>
      <c r="H60" s="18">
        <f>F60+'22'!H60</f>
        <v>0</v>
      </c>
      <c r="I60" s="957"/>
      <c r="J60" s="754"/>
      <c r="K60" s="67">
        <f>J60+'22'!K60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'01'!D61</f>
        <v>1063.653</v>
      </c>
      <c r="E61" s="240"/>
      <c r="F61" s="73"/>
      <c r="G61" s="24"/>
      <c r="H61" s="18">
        <f>F61+'22'!H61</f>
        <v>0</v>
      </c>
      <c r="I61" s="957"/>
      <c r="J61" s="624">
        <f>D139+D141</f>
        <v>0</v>
      </c>
      <c r="K61" s="67">
        <f>J61+'22'!K61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'01'!D62</f>
        <v>1531.7249999999999</v>
      </c>
      <c r="E62" s="529"/>
      <c r="F62" s="530">
        <v>0</v>
      </c>
      <c r="G62" s="541"/>
      <c r="H62" s="18">
        <f>F62+'22'!H62</f>
        <v>0</v>
      </c>
      <c r="I62" s="532"/>
      <c r="J62" s="754">
        <v>0</v>
      </c>
      <c r="K62" s="67">
        <f>J62+'22'!K62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'01'!C63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F63+'22'!H63</f>
        <v>3329.1499999999996</v>
      </c>
      <c r="I63" s="1064"/>
      <c r="J63" s="1065">
        <v>0</v>
      </c>
      <c r="K63" s="1066">
        <f>J63+'22'!K63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'01'!D64</f>
        <v>452.58776173652768</v>
      </c>
      <c r="E64" s="529"/>
      <c r="F64" s="530"/>
      <c r="G64" s="541"/>
      <c r="H64" s="18">
        <f>F64+'22'!H64</f>
        <v>0</v>
      </c>
      <c r="I64" s="532"/>
      <c r="J64" s="951"/>
      <c r="K64" s="67">
        <f>J64+'22'!K64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'01'!D65</f>
        <v>0</v>
      </c>
      <c r="E65" s="240"/>
      <c r="F65" s="73"/>
      <c r="G65" s="24"/>
      <c r="H65" s="18">
        <f>F65+'22'!H65</f>
        <v>0</v>
      </c>
      <c r="I65" s="957"/>
      <c r="J65" s="951"/>
      <c r="K65" s="67">
        <f>J65+'22'!K65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'01'!D66</f>
        <v>0</v>
      </c>
      <c r="E66" s="240"/>
      <c r="F66" s="530"/>
      <c r="G66" s="24"/>
      <c r="H66" s="18">
        <f>F66+'22'!H66</f>
        <v>0</v>
      </c>
      <c r="I66" s="957"/>
      <c r="J66" s="951"/>
      <c r="K66" s="67">
        <f>J66+'22'!K66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'01'!D67</f>
        <v>243.8</v>
      </c>
      <c r="E67" s="240"/>
      <c r="F67" s="73"/>
      <c r="G67" s="24"/>
      <c r="H67" s="18">
        <f>F67+'22'!H67</f>
        <v>0</v>
      </c>
      <c r="I67" s="957"/>
      <c r="J67" s="951"/>
      <c r="K67" s="67">
        <f>J67+'22'!K67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'01'!D68</f>
        <v>0</v>
      </c>
      <c r="E68" s="240"/>
      <c r="F68" s="73"/>
      <c r="G68" s="24"/>
      <c r="H68" s="18">
        <f>F68+'22'!H68</f>
        <v>0</v>
      </c>
      <c r="I68" s="957"/>
      <c r="J68" s="951"/>
      <c r="K68" s="67">
        <f>J68+'22'!K68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'01'!D69</f>
        <v>-14212.944176010715</v>
      </c>
      <c r="E69" s="240"/>
      <c r="F69" s="73"/>
      <c r="G69" s="24"/>
      <c r="H69" s="18">
        <f>F69+'22'!H69</f>
        <v>0</v>
      </c>
      <c r="I69" s="957"/>
      <c r="J69" s="755">
        <v>0</v>
      </c>
      <c r="K69" s="67">
        <f>J69+'22'!K69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'01'!D70</f>
        <v>17922.173606304772</v>
      </c>
      <c r="E70" s="240"/>
      <c r="F70" s="73">
        <v>0</v>
      </c>
      <c r="G70" s="24"/>
      <c r="H70" s="18">
        <f>F70+'22'!H70</f>
        <v>3329.1499999999996</v>
      </c>
      <c r="I70" s="957"/>
      <c r="J70" s="951"/>
      <c r="K70" s="67">
        <f>J70+'22'!K70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'01'!D71</f>
        <v>0</v>
      </c>
      <c r="E71" s="240"/>
      <c r="F71" s="73"/>
      <c r="G71" s="24"/>
      <c r="H71" s="18">
        <f>F71+'22'!H71</f>
        <v>0</v>
      </c>
      <c r="I71" s="957"/>
      <c r="J71" s="624"/>
      <c r="K71" s="67">
        <f>J71+'22'!K71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'01'!D72</f>
        <v>145.84215184813729</v>
      </c>
      <c r="E72" s="389"/>
      <c r="F72" s="390">
        <f>N82</f>
        <v>0</v>
      </c>
      <c r="G72" s="393"/>
      <c r="H72" s="391">
        <f>F72+'22'!H72</f>
        <v>1911.376034856974</v>
      </c>
      <c r="I72" s="392"/>
      <c r="J72" s="952">
        <f>K131</f>
        <v>0</v>
      </c>
      <c r="K72" s="396">
        <f>J72+'22'!K72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'01'!D73</f>
        <v>0</v>
      </c>
      <c r="E73" s="814"/>
      <c r="F73" s="815"/>
      <c r="G73" s="941"/>
      <c r="H73" s="816">
        <f>F73+'22'!H73</f>
        <v>0</v>
      </c>
      <c r="I73" s="817"/>
      <c r="J73" s="814"/>
      <c r="K73" s="818">
        <f>J73+'22'!K73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66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4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3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287" t="s">
        <v>30</v>
      </c>
      <c r="B77" s="1288"/>
      <c r="C77" s="1288"/>
      <c r="D77" s="1288"/>
      <c r="E77" s="1288"/>
      <c r="F77" s="1288"/>
      <c r="G77" s="1288"/>
      <c r="H77" s="1288"/>
      <c r="I77" s="1288"/>
      <c r="J77" s="1288"/>
      <c r="K77" s="1288"/>
      <c r="L77" s="1288"/>
      <c r="M77" s="1288"/>
      <c r="N77" s="1288"/>
      <c r="O77" s="1288"/>
      <c r="P77" s="1289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8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8">
        <f>24*23-K80</f>
        <v>552</v>
      </c>
      <c r="M80" s="36">
        <f>K80/(24*23)</f>
        <v>0</v>
      </c>
      <c r="N80" s="965"/>
      <c r="O80" s="302">
        <f>N80+'22'!O80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8">
        <f>24*23-K81</f>
        <v>552</v>
      </c>
      <c r="M81" s="36">
        <f t="shared" ref="M81:M94" si="11">K81/(24*23)</f>
        <v>0</v>
      </c>
      <c r="N81" s="965"/>
      <c r="O81" s="302">
        <f>N81+'22'!O81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127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F82+'22'!K82</f>
        <v>43.903888888888886</v>
      </c>
      <c r="L82" s="18">
        <f>24*23-K82</f>
        <v>508.0961111111111</v>
      </c>
      <c r="M82" s="36">
        <f t="shared" si="11"/>
        <v>7.9536030595813198E-2</v>
      </c>
      <c r="N82" s="716">
        <v>0</v>
      </c>
      <c r="O82" s="303">
        <f>N82+'22'!O82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F83+'22'!K83</f>
        <v>64.575555555555553</v>
      </c>
      <c r="L83" s="19">
        <f>G83+'22'!L83</f>
        <v>487.42444444444448</v>
      </c>
      <c r="M83" s="36">
        <f t="shared" si="11"/>
        <v>0.11698470209339774</v>
      </c>
      <c r="N83" s="716">
        <v>0</v>
      </c>
      <c r="O83" s="303">
        <f>N83+'22'!O83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F84+'22'!K84</f>
        <v>64.977499999999992</v>
      </c>
      <c r="L84" s="19">
        <f>G84+'22'!L84</f>
        <v>487.02250000000004</v>
      </c>
      <c r="M84" s="36">
        <f t="shared" si="11"/>
        <v>0.11771286231884057</v>
      </c>
      <c r="N84" s="716">
        <v>0</v>
      </c>
      <c r="O84" s="303">
        <f>N84+'22'!O84</f>
        <v>16874.071396806572</v>
      </c>
      <c r="P84" s="711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>
        <f>F85+'22'!K85</f>
        <v>0</v>
      </c>
      <c r="L85" s="19">
        <f>G85+'22'!L85</f>
        <v>552</v>
      </c>
      <c r="M85" s="36">
        <f>K85/(24*12)</f>
        <v>0</v>
      </c>
      <c r="N85" s="965">
        <v>0</v>
      </c>
      <c r="O85" s="302">
        <f>N85+'22'!O85</f>
        <v>0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1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F86+'22'!K86</f>
        <v>0</v>
      </c>
      <c r="L86" s="19">
        <f>G86+'22'!L86</f>
        <v>528</v>
      </c>
      <c r="M86" s="36">
        <f>K86/(24*12)</f>
        <v>0</v>
      </c>
      <c r="N86" s="965">
        <v>0</v>
      </c>
      <c r="O86" s="303">
        <f>N86+'22'!O86</f>
        <v>0</v>
      </c>
      <c r="P86" s="71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 t="shared" si="7"/>
        <v>0</v>
      </c>
      <c r="F87" s="134">
        <v>0</v>
      </c>
      <c r="G87" s="18">
        <f t="shared" si="8"/>
        <v>24</v>
      </c>
      <c r="H87" s="17">
        <f t="shared" si="9"/>
        <v>0</v>
      </c>
      <c r="I87" s="134">
        <f t="shared" si="13"/>
        <v>0</v>
      </c>
      <c r="J87" s="17">
        <f t="shared" si="10"/>
        <v>0</v>
      </c>
      <c r="K87" s="19">
        <f>F87+'22'!K87</f>
        <v>0</v>
      </c>
      <c r="L87" s="19">
        <f>G87+'22'!L87</f>
        <v>528</v>
      </c>
      <c r="M87" s="36">
        <f>K87/(24*12)</f>
        <v>0</v>
      </c>
      <c r="N87" s="965">
        <v>0</v>
      </c>
      <c r="O87" s="302">
        <f>N87+'22'!O87</f>
        <v>0</v>
      </c>
      <c r="P87" s="71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9"/>
        <v>0</v>
      </c>
      <c r="I88" s="134">
        <f t="shared" si="13"/>
        <v>0</v>
      </c>
      <c r="J88" s="17">
        <f t="shared" si="10"/>
        <v>0</v>
      </c>
      <c r="K88" s="19">
        <f>F88+'22'!K88</f>
        <v>0</v>
      </c>
      <c r="L88" s="19">
        <f>G88+'22'!L88</f>
        <v>528</v>
      </c>
      <c r="M88" s="36">
        <f>K88/(24*12)</f>
        <v>0</v>
      </c>
      <c r="N88" s="716">
        <v>0</v>
      </c>
      <c r="O88" s="303">
        <f>N88+'22'!O88</f>
        <v>0</v>
      </c>
      <c r="P88" s="71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'22'!C89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F89+'22'!K89</f>
        <v>1.6950000000000001</v>
      </c>
      <c r="L89" s="19">
        <f>G89+'22'!L89</f>
        <v>550.30500000000006</v>
      </c>
      <c r="M89" s="36">
        <f t="shared" si="11"/>
        <v>3.0706521739130438E-3</v>
      </c>
      <c r="N89" s="1001">
        <v>0</v>
      </c>
      <c r="O89" s="303">
        <f>N89+'22'!O89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'22'!C90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F90+'22'!K90</f>
        <v>32.664166666666674</v>
      </c>
      <c r="L90" s="19">
        <f>G90+'22'!L90</f>
        <v>519.33583333333331</v>
      </c>
      <c r="M90" s="36">
        <f t="shared" si="11"/>
        <v>5.9174214975845421E-2</v>
      </c>
      <c r="N90" s="1001">
        <v>0</v>
      </c>
      <c r="O90" s="303">
        <f>N90+'22'!O90</f>
        <v>1587.2094537909084</v>
      </c>
      <c r="P90" s="768"/>
      <c r="Q90" s="34">
        <v>0</v>
      </c>
      <c r="R90" s="34">
        <v>0</v>
      </c>
      <c r="T90" s="2"/>
    </row>
    <row r="91" spans="1:20" ht="15.75" hidden="1" customHeight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F91+'22'!K91</f>
        <v>0</v>
      </c>
      <c r="L91" s="19">
        <f>G91+'22'!L91</f>
        <v>552</v>
      </c>
      <c r="M91" s="36">
        <f t="shared" si="11"/>
        <v>0</v>
      </c>
      <c r="N91" s="716">
        <v>0</v>
      </c>
      <c r="O91" s="303">
        <f>N91+'22'!O91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19">
        <f>F92+'22'!K92</f>
        <v>71.521666666666675</v>
      </c>
      <c r="L92" s="19">
        <f>G92+'22'!L92</f>
        <v>480.47833333333335</v>
      </c>
      <c r="M92" s="36">
        <f t="shared" si="11"/>
        <v>0.12956823671497586</v>
      </c>
      <c r="N92" s="716">
        <v>0</v>
      </c>
      <c r="O92" s="303">
        <f>N92+'22'!O92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19">
        <f>F93+'22'!K93</f>
        <v>64.288611111111109</v>
      </c>
      <c r="L93" s="19">
        <f>G93+'22'!L93</f>
        <v>487.71138888888891</v>
      </c>
      <c r="M93" s="36">
        <f t="shared" si="11"/>
        <v>0.11646487520128825</v>
      </c>
      <c r="N93" s="716">
        <v>0</v>
      </c>
      <c r="O93" s="303">
        <f>N93+'22'!O93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F94+'22'!K94</f>
        <v>32</v>
      </c>
      <c r="L94" s="878">
        <f>G94+'22'!L94</f>
        <v>520</v>
      </c>
      <c r="M94" s="873">
        <f t="shared" si="11"/>
        <v>5.7971014492753624E-2</v>
      </c>
      <c r="N94" s="966">
        <f>E111+E120+E121+E122</f>
        <v>0</v>
      </c>
      <c r="O94" s="871">
        <f>N94+'22'!O94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F95+'22'!K95</f>
        <v>7</v>
      </c>
      <c r="L95" s="866">
        <f>G95+'22'!L95</f>
        <v>545</v>
      </c>
      <c r="M95" s="712">
        <f>K95/(24*23)</f>
        <v>1.2681159420289856E-2</v>
      </c>
      <c r="N95" s="967">
        <f>E112+E114+E115+E118+E119</f>
        <v>0</v>
      </c>
      <c r="O95" s="713">
        <f>N95+'22'!O95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05" t="s">
        <v>3</v>
      </c>
      <c r="H99" s="12" t="s">
        <v>2</v>
      </c>
      <c r="I99" s="806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4038</v>
      </c>
      <c r="E100" s="30">
        <f>E101+E110</f>
        <v>0</v>
      </c>
      <c r="F100" s="29">
        <f t="shared" ref="F100:F114" si="15">IFERROR((E100/D100),0)</f>
        <v>0</v>
      </c>
      <c r="G100" s="51">
        <f>G101+G110</f>
        <v>145056</v>
      </c>
      <c r="H100" s="30">
        <f>H101+H110</f>
        <v>19708.249999999993</v>
      </c>
      <c r="I100" s="29">
        <f t="shared" ref="I100:I114" si="16">IFERROR((H100/G100),0)</f>
        <v>0.13586649294065736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4038</v>
      </c>
      <c r="E101" s="24">
        <f>SUM(E102:E109)</f>
        <v>0</v>
      </c>
      <c r="F101" s="23">
        <f t="shared" si="15"/>
        <v>0</v>
      </c>
      <c r="G101" s="555">
        <f>SUM(G102:G109)</f>
        <v>104913</v>
      </c>
      <c r="H101" s="24">
        <f>SUM(H102:H109)</f>
        <v>15844.349999999995</v>
      </c>
      <c r="I101" s="23">
        <f t="shared" si="16"/>
        <v>0.15102370535586623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D102+'22'!G102</f>
        <v>0</v>
      </c>
      <c r="H102" s="192">
        <f>E102+'22'!H102</f>
        <v>0</v>
      </c>
      <c r="I102" s="17">
        <f t="shared" si="16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270</v>
      </c>
      <c r="E103" s="166">
        <v>0</v>
      </c>
      <c r="F103" s="17">
        <f t="shared" si="15"/>
        <v>0</v>
      </c>
      <c r="G103" s="741">
        <f>D103+'22'!G103</f>
        <v>8595</v>
      </c>
      <c r="H103" s="64">
        <f>E103+'22'!H103</f>
        <v>0</v>
      </c>
      <c r="I103" s="17">
        <f t="shared" si="16"/>
        <v>0</v>
      </c>
      <c r="J103" s="1341"/>
      <c r="K103" s="1343"/>
      <c r="L103" s="27"/>
      <c r="M103" s="2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3656</v>
      </c>
      <c r="E104" s="110">
        <v>0</v>
      </c>
      <c r="F104" s="17">
        <f t="shared" si="15"/>
        <v>0</v>
      </c>
      <c r="G104" s="19">
        <f>D104+'22'!G104</f>
        <v>92830</v>
      </c>
      <c r="H104" s="192">
        <f>E104+'22'!H104</f>
        <v>12980.249999999995</v>
      </c>
      <c r="I104" s="17">
        <f t="shared" si="16"/>
        <v>0.13982818054508234</v>
      </c>
      <c r="J104" s="1341"/>
      <c r="K104" s="1343"/>
      <c r="L104" s="247"/>
      <c r="M104" s="247"/>
      <c r="N104" s="247"/>
      <c r="O104" s="247"/>
      <c r="P104" s="16"/>
      <c r="T104" s="2"/>
    </row>
    <row r="105" spans="1:20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5"/>
        <v>0</v>
      </c>
      <c r="G105" s="19">
        <f>D105+'22'!G105</f>
        <v>0</v>
      </c>
      <c r="H105" s="192">
        <f>E105+'22'!H105</f>
        <v>475.6</v>
      </c>
      <c r="I105" s="17">
        <f t="shared" si="16"/>
        <v>0</v>
      </c>
      <c r="J105" s="1341"/>
      <c r="K105" s="1343"/>
      <c r="L105" s="16"/>
      <c r="M105" s="16"/>
      <c r="N105" s="247"/>
      <c r="O105" s="247"/>
      <c r="P105" s="16"/>
      <c r="Q105" s="6"/>
      <c r="T105" s="2"/>
    </row>
    <row r="106" spans="1:20" outlineLevel="1">
      <c r="A106" s="44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5"/>
        <v>0</v>
      </c>
      <c r="G106" s="741">
        <f>D106+'22'!G106</f>
        <v>0</v>
      </c>
      <c r="H106" s="64">
        <f>E106+'22'!H106</f>
        <v>1280.3</v>
      </c>
      <c r="I106" s="17">
        <f t="shared" si="16"/>
        <v>0</v>
      </c>
      <c r="J106" s="1341"/>
      <c r="K106" s="1343"/>
      <c r="L106" s="27"/>
      <c r="M106" s="27"/>
      <c r="N106" s="27"/>
      <c r="O106" s="2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741">
        <f>D107+'22'!G107</f>
        <v>0</v>
      </c>
      <c r="H107" s="192">
        <f>E107+'22'!H107</f>
        <v>0</v>
      </c>
      <c r="I107" s="17">
        <f t="shared" si="16"/>
        <v>0</v>
      </c>
      <c r="J107" s="1341"/>
      <c r="K107" s="1343"/>
      <c r="L107" s="27"/>
      <c r="M107" s="2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34">
        <v>87</v>
      </c>
      <c r="E108" s="110">
        <v>0</v>
      </c>
      <c r="F108" s="17">
        <f t="shared" si="15"/>
        <v>0</v>
      </c>
      <c r="G108" s="741">
        <f>D108+'22'!G108</f>
        <v>2588</v>
      </c>
      <c r="H108" s="192">
        <f>E108+'22'!H108</f>
        <v>826.59999999999991</v>
      </c>
      <c r="I108" s="17">
        <f t="shared" si="16"/>
        <v>0.31939721792890258</v>
      </c>
      <c r="J108" s="807"/>
      <c r="K108" s="808"/>
      <c r="L108" s="27"/>
      <c r="M108" s="2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25</v>
      </c>
      <c r="E109" s="110">
        <v>0</v>
      </c>
      <c r="F109" s="17">
        <f t="shared" si="15"/>
        <v>0</v>
      </c>
      <c r="G109" s="741">
        <f>D109+'22'!G109</f>
        <v>900</v>
      </c>
      <c r="H109" s="192">
        <f>E109+'22'!H109</f>
        <v>281.59999999999997</v>
      </c>
      <c r="I109" s="17">
        <f t="shared" si="16"/>
        <v>0.31288888888888883</v>
      </c>
      <c r="J109" s="807"/>
      <c r="K109" s="808"/>
      <c r="L109" s="2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1655</v>
      </c>
      <c r="E110" s="24">
        <f>SUM(E111:E122)</f>
        <v>0</v>
      </c>
      <c r="F110" s="1054">
        <f>IFERROR((E110/D110),0)</f>
        <v>0</v>
      </c>
      <c r="G110" s="735">
        <f>SUM(G111:G122)</f>
        <v>40143</v>
      </c>
      <c r="H110" s="24">
        <f>SUM(H111:H122)</f>
        <v>3863.8999999999996</v>
      </c>
      <c r="I110" s="1054">
        <f>IFERROR((H110/G110),0)</f>
        <v>9.625339411603516E-2</v>
      </c>
      <c r="J110" s="807"/>
      <c r="K110" s="808"/>
      <c r="L110" s="27"/>
      <c r="M110" s="2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741">
        <f>D111+'22'!G111</f>
        <v>0</v>
      </c>
      <c r="H111" s="78">
        <f>E111+'22'!H111</f>
        <v>1026.1499999999999</v>
      </c>
      <c r="I111" s="17">
        <f>IFERROR((H111/G111),0)</f>
        <v>0</v>
      </c>
      <c r="J111" s="1341"/>
      <c r="K111" s="1343"/>
      <c r="L111" s="16"/>
      <c r="M111" s="15"/>
      <c r="N111" s="16"/>
      <c r="O111" s="16"/>
      <c r="P111" s="16"/>
      <c r="Q111" s="28"/>
      <c r="S111" s="1"/>
      <c r="T111" s="2"/>
    </row>
    <row r="112" spans="1:20" outlineLevel="1">
      <c r="A112" s="254" t="s">
        <v>252</v>
      </c>
      <c r="B112" s="9" t="s">
        <v>9</v>
      </c>
      <c r="C112" s="297">
        <f>'01'!C112</f>
        <v>0</v>
      </c>
      <c r="D112" s="134">
        <v>0</v>
      </c>
      <c r="E112" s="110">
        <v>0</v>
      </c>
      <c r="F112" s="17">
        <f>IFERROR((E112/D112),0)</f>
        <v>0</v>
      </c>
      <c r="G112" s="741">
        <f>D112+'22'!G112</f>
        <v>0</v>
      </c>
      <c r="H112" s="78">
        <f>E112+'22'!H112</f>
        <v>994.39999999999986</v>
      </c>
      <c r="I112" s="17">
        <f>IFERROR((H112/G112),0)</f>
        <v>0</v>
      </c>
      <c r="J112" s="1344"/>
      <c r="K112" s="1345"/>
      <c r="L112" s="16"/>
      <c r="M112" s="15"/>
      <c r="N112" s="27"/>
      <c r="O112" s="27"/>
      <c r="P112" s="16"/>
      <c r="T112" s="2"/>
    </row>
    <row r="113" spans="1:20" outlineLevel="1">
      <c r="A113" s="254" t="s">
        <v>253</v>
      </c>
      <c r="B113" s="9" t="s">
        <v>9</v>
      </c>
      <c r="C113" s="297">
        <f>'01'!C113</f>
        <v>0</v>
      </c>
      <c r="D113" s="134">
        <v>0</v>
      </c>
      <c r="E113" s="110">
        <v>0</v>
      </c>
      <c r="F113" s="17">
        <f t="shared" si="15"/>
        <v>0</v>
      </c>
      <c r="G113" s="741">
        <f>D113+'22'!G113</f>
        <v>0</v>
      </c>
      <c r="H113" s="78">
        <f>E113+'22'!H113</f>
        <v>20</v>
      </c>
      <c r="I113" s="17">
        <f t="shared" si="16"/>
        <v>0</v>
      </c>
      <c r="J113" s="809"/>
      <c r="K113" s="810"/>
      <c r="L113" s="7"/>
      <c r="M113" s="7"/>
      <c r="N113" s="27"/>
      <c r="O113" s="27"/>
      <c r="P113" s="16"/>
      <c r="T113" s="2"/>
    </row>
    <row r="114" spans="1:20" s="4" customFormat="1">
      <c r="A114" s="246" t="s">
        <v>225</v>
      </c>
      <c r="B114" s="767" t="s">
        <v>9</v>
      </c>
      <c r="C114" s="297">
        <f>'01'!C114</f>
        <v>500</v>
      </c>
      <c r="D114" s="134">
        <v>16</v>
      </c>
      <c r="E114" s="301">
        <v>0</v>
      </c>
      <c r="F114" s="739">
        <f t="shared" si="15"/>
        <v>0</v>
      </c>
      <c r="G114" s="741">
        <f>D114+'22'!G114</f>
        <v>368</v>
      </c>
      <c r="H114" s="78">
        <f>E114+'22'!H114</f>
        <v>0</v>
      </c>
      <c r="I114" s="739">
        <f t="shared" si="16"/>
        <v>0</v>
      </c>
      <c r="J114" s="1346"/>
      <c r="K114" s="1347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'22'!C115</f>
        <v>0</v>
      </c>
      <c r="D115" s="134">
        <v>0</v>
      </c>
      <c r="E115" s="864">
        <v>0</v>
      </c>
      <c r="F115" s="17">
        <f>IFERROR((E115/D115),0)</f>
        <v>0</v>
      </c>
      <c r="G115" s="741">
        <f>D115+'22'!G115</f>
        <v>0</v>
      </c>
      <c r="H115" s="78">
        <f>E115+'22'!H115</f>
        <v>0</v>
      </c>
      <c r="I115" s="17">
        <f>IFERROR((H115/G115),0)</f>
        <v>0</v>
      </c>
      <c r="J115" s="809"/>
      <c r="K115" s="810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ref="F116:F122" si="17">IFERROR((E116/D116),0)</f>
        <v>0</v>
      </c>
      <c r="G116" s="741">
        <f>D116+'22'!G116</f>
        <v>0</v>
      </c>
      <c r="H116" s="78">
        <f>E116+'22'!H116</f>
        <v>0</v>
      </c>
      <c r="I116" s="17">
        <f t="shared" ref="I116:I122" si="18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7"/>
        <v>0</v>
      </c>
      <c r="G117" s="741">
        <f>D117+'22'!G117</f>
        <v>0</v>
      </c>
      <c r="H117" s="78">
        <f>E117+'22'!H117</f>
        <v>0</v>
      </c>
      <c r="I117" s="17">
        <f t="shared" si="18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325</v>
      </c>
      <c r="E118" s="110">
        <v>0</v>
      </c>
      <c r="F118" s="17">
        <f t="shared" si="17"/>
        <v>0</v>
      </c>
      <c r="G118" s="741">
        <f>D118+'22'!G118</f>
        <v>7985</v>
      </c>
      <c r="H118" s="78">
        <f>E118+'22'!H118</f>
        <v>0</v>
      </c>
      <c r="I118" s="17">
        <f t="shared" si="18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7"/>
        <v>0</v>
      </c>
      <c r="G119" s="741">
        <f>D119+'22'!G119</f>
        <v>0</v>
      </c>
      <c r="H119" s="78">
        <f>E119+'22'!H119</f>
        <v>0</v>
      </c>
      <c r="I119" s="17">
        <f t="shared" si="18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370</v>
      </c>
      <c r="E120" s="110">
        <v>0</v>
      </c>
      <c r="F120" s="17">
        <f t="shared" si="17"/>
        <v>0</v>
      </c>
      <c r="G120" s="741">
        <f>D120+'22'!G120</f>
        <v>16470</v>
      </c>
      <c r="H120" s="78">
        <f>E120+'22'!H120</f>
        <v>0</v>
      </c>
      <c r="I120" s="17">
        <f t="shared" si="18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>
        <f t="shared" si="17"/>
        <v>0</v>
      </c>
      <c r="G121" s="741">
        <f>D121+'22'!G121</f>
        <v>816</v>
      </c>
      <c r="H121" s="78">
        <f>E121+'22'!H121</f>
        <v>0</v>
      </c>
      <c r="I121" s="17">
        <f t="shared" si="18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944</v>
      </c>
      <c r="E122" s="110">
        <v>0</v>
      </c>
      <c r="F122" s="17">
        <f t="shared" si="17"/>
        <v>0</v>
      </c>
      <c r="G122" s="741">
        <f>D122+'22'!G122</f>
        <v>14504</v>
      </c>
      <c r="H122" s="78">
        <f>E122+'22'!H122</f>
        <v>1823.35</v>
      </c>
      <c r="I122" s="17">
        <f t="shared" si="18"/>
        <v>0.12571359624931053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3" t="s">
        <v>4</v>
      </c>
      <c r="H124" s="1303"/>
      <c r="I124" s="1304"/>
      <c r="J124" s="792" t="s">
        <v>89</v>
      </c>
      <c r="K124" s="354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13" t="s">
        <v>3</v>
      </c>
      <c r="H125" s="12" t="s">
        <v>2</v>
      </c>
      <c r="I125" s="793" t="s">
        <v>1</v>
      </c>
      <c r="J125" s="824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48.558159259262759</v>
      </c>
      <c r="F126" s="356">
        <f>IFERROR(E126/D126,0)</f>
        <v>1.1989668952904384</v>
      </c>
      <c r="G126" s="204">
        <v>40.5</v>
      </c>
      <c r="H126" s="200">
        <v>42.835327935016736</v>
      </c>
      <c r="I126" s="356">
        <f>IFERROR(H126/G126,0)</f>
        <v>1.0576624181485614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82.240000229683915</v>
      </c>
      <c r="F127" s="356">
        <f t="shared" ref="F127:F132" si="19">IFERROR(E127/D127,0)</f>
        <v>4.8376470723343479</v>
      </c>
      <c r="G127" s="204">
        <v>17</v>
      </c>
      <c r="H127" s="200">
        <v>17.876031426158921</v>
      </c>
      <c r="I127" s="356">
        <f t="shared" ref="I127:I132" si="20">IFERROR(H127/G127,0)</f>
        <v>1.0515312603622895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9"/>
        <v>0</v>
      </c>
      <c r="G128" s="267">
        <v>3</v>
      </c>
      <c r="H128" s="256">
        <f>P132</f>
        <v>2.7306506005953359</v>
      </c>
      <c r="I128" s="157">
        <f t="shared" si="20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26.715314230335739</v>
      </c>
      <c r="F129" s="157">
        <f t="shared" si="19"/>
        <v>1.272157820492178</v>
      </c>
      <c r="G129" s="204">
        <v>21</v>
      </c>
      <c r="H129" s="200">
        <v>20.934490333519822</v>
      </c>
      <c r="I129" s="157">
        <f t="shared" si="20"/>
        <v>0.9968804920723725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1.2259512126661571</v>
      </c>
      <c r="F130" s="157">
        <f t="shared" si="19"/>
        <v>2.9189314587289454E-2</v>
      </c>
      <c r="G130" s="204">
        <v>42</v>
      </c>
      <c r="H130" s="200">
        <v>10.18018656093782</v>
      </c>
      <c r="I130" s="157">
        <f t="shared" si="20"/>
        <v>0.24238539430804332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35.494032063762695</v>
      </c>
      <c r="F131" s="157">
        <f t="shared" si="19"/>
        <v>1.0141152018217914</v>
      </c>
      <c r="G131" s="204">
        <v>35</v>
      </c>
      <c r="H131" s="200">
        <v>33.63004766994149</v>
      </c>
      <c r="I131" s="157">
        <f t="shared" si="20"/>
        <v>0.9608585048554712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74.240982776778935</v>
      </c>
      <c r="F132" s="684">
        <f t="shared" si="19"/>
        <v>0.73732230387107889</v>
      </c>
      <c r="G132" s="688">
        <v>100.69</v>
      </c>
      <c r="H132" s="683">
        <v>84.848314386747489</v>
      </c>
      <c r="I132" s="684">
        <f t="shared" si="20"/>
        <v>0.84266872963300721</v>
      </c>
      <c r="N132" s="727" t="s">
        <v>188</v>
      </c>
      <c r="O132" s="704">
        <f>O131+'22'!O132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127369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1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2">IFERROR(C139/$B$139,0)</f>
        <v>0</v>
      </c>
      <c r="D140" s="335">
        <f t="shared" si="22"/>
        <v>0</v>
      </c>
      <c r="E140" s="335">
        <f t="shared" si="22"/>
        <v>0</v>
      </c>
      <c r="F140" s="335">
        <f t="shared" si="22"/>
        <v>0</v>
      </c>
      <c r="G140" s="335">
        <f t="shared" si="22"/>
        <v>0</v>
      </c>
      <c r="H140" s="335">
        <f t="shared" si="22"/>
        <v>0</v>
      </c>
      <c r="I140" s="326">
        <f t="shared" si="21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1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3">IFERROR(C141/$B$141,0)</f>
        <v>0</v>
      </c>
      <c r="D142" s="335">
        <f t="shared" si="23"/>
        <v>0</v>
      </c>
      <c r="E142" s="335">
        <f t="shared" si="23"/>
        <v>0</v>
      </c>
      <c r="F142" s="335">
        <f t="shared" si="23"/>
        <v>0</v>
      </c>
      <c r="G142" s="335">
        <f t="shared" si="23"/>
        <v>0</v>
      </c>
      <c r="H142" s="335">
        <f t="shared" si="23"/>
        <v>0</v>
      </c>
      <c r="I142" s="326">
        <f t="shared" si="21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1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244180</v>
      </c>
    </row>
    <row r="144" spans="1:20" ht="16.5" thickBot="1">
      <c r="A144" s="321"/>
      <c r="B144" s="336"/>
      <c r="C144" s="335">
        <f t="shared" ref="C144:H144" si="24">IFERROR(C143/$B$143,0)</f>
        <v>0</v>
      </c>
      <c r="D144" s="335">
        <f t="shared" si="24"/>
        <v>0</v>
      </c>
      <c r="E144" s="335">
        <f t="shared" si="24"/>
        <v>0</v>
      </c>
      <c r="F144" s="335">
        <f t="shared" si="24"/>
        <v>0</v>
      </c>
      <c r="G144" s="335">
        <f t="shared" si="24"/>
        <v>0</v>
      </c>
      <c r="H144" s="335">
        <f t="shared" si="24"/>
        <v>0</v>
      </c>
      <c r="I144" s="326">
        <f t="shared" si="21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1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5">IFERROR(C145/$B$145,0)</f>
        <v>0</v>
      </c>
      <c r="D146" s="335">
        <f t="shared" si="25"/>
        <v>0</v>
      </c>
      <c r="E146" s="335">
        <f t="shared" si="25"/>
        <v>0</v>
      </c>
      <c r="F146" s="335">
        <f t="shared" si="25"/>
        <v>0</v>
      </c>
      <c r="G146" s="335">
        <f t="shared" si="25"/>
        <v>0</v>
      </c>
      <c r="H146" s="335">
        <f t="shared" si="25"/>
        <v>0</v>
      </c>
      <c r="I146" s="326">
        <f t="shared" si="21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1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6">IFERROR(C147/$B$147,0)</f>
        <v>0</v>
      </c>
      <c r="D148" s="335">
        <f t="shared" si="26"/>
        <v>0</v>
      </c>
      <c r="E148" s="335">
        <f t="shared" si="26"/>
        <v>0</v>
      </c>
      <c r="F148" s="335">
        <f t="shared" si="26"/>
        <v>0</v>
      </c>
      <c r="G148" s="335">
        <f t="shared" si="26"/>
        <v>0</v>
      </c>
      <c r="H148" s="335">
        <f t="shared" si="26"/>
        <v>0</v>
      </c>
      <c r="I148" s="326">
        <f t="shared" si="21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7">B139+B141+B143+B145+B147</f>
        <v>0</v>
      </c>
      <c r="C149" s="349">
        <f t="shared" si="27"/>
        <v>0</v>
      </c>
      <c r="D149" s="349">
        <f t="shared" si="27"/>
        <v>0</v>
      </c>
      <c r="E149" s="349">
        <f>E139+E141+E143+E145+E147</f>
        <v>0</v>
      </c>
      <c r="F149" s="349">
        <f t="shared" si="27"/>
        <v>0</v>
      </c>
      <c r="G149" s="349">
        <f t="shared" si="27"/>
        <v>0</v>
      </c>
      <c r="H149" s="349">
        <f t="shared" si="27"/>
        <v>0</v>
      </c>
      <c r="I149" s="324">
        <f t="shared" si="27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8">IFERROR(C149/$B$149,0)</f>
        <v>0</v>
      </c>
      <c r="D150" s="346">
        <f t="shared" si="28"/>
        <v>0</v>
      </c>
      <c r="E150" s="346">
        <f t="shared" si="28"/>
        <v>0</v>
      </c>
      <c r="F150" s="346">
        <f t="shared" si="28"/>
        <v>0</v>
      </c>
      <c r="G150" s="346">
        <f t="shared" si="28"/>
        <v>0</v>
      </c>
      <c r="H150" s="346">
        <f t="shared" si="28"/>
        <v>0</v>
      </c>
      <c r="I150" s="481">
        <f>SUM(C150:H150)</f>
        <v>0</v>
      </c>
      <c r="K150" s="374"/>
      <c r="L150" s="375"/>
      <c r="M150" s="372"/>
      <c r="N150" s="373"/>
    </row>
  </sheetData>
  <mergeCells count="112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24 ",Q1)</f>
        <v>Ежедневный отчет производства и отгрузки за 24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 t="shared" si="0"/>
        <v>0</v>
      </c>
      <c r="G5" s="30">
        <f t="shared" si="0"/>
        <v>113900</v>
      </c>
      <c r="H5" s="30">
        <f t="shared" si="0"/>
        <v>16874.071396806572</v>
      </c>
      <c r="I5" s="29">
        <f>IFERROR((H5/G5),0)</f>
        <v>0.1481481246427267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364"/>
      <c r="P5" s="1261"/>
      <c r="Q5" s="603"/>
      <c r="R5" s="602"/>
      <c r="S5" s="614"/>
      <c r="T5" s="2"/>
    </row>
    <row r="6" spans="1:20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949"/>
      <c r="G6" s="18">
        <f>E6+'23'!G6</f>
        <v>0</v>
      </c>
      <c r="H6" s="18">
        <f>F6+'23'!H6</f>
        <v>6671.6154299884374</v>
      </c>
      <c r="I6" s="17"/>
      <c r="J6" s="949"/>
      <c r="K6" s="67">
        <f>J6+'23'!K6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26" t="s">
        <v>9</v>
      </c>
      <c r="C7" s="25"/>
      <c r="D7" s="149">
        <f>'01'!D7</f>
        <v>0</v>
      </c>
      <c r="E7" s="19"/>
      <c r="F7" s="24">
        <v>0</v>
      </c>
      <c r="G7" s="24"/>
      <c r="H7" s="24">
        <f>F7+'23'!H7</f>
        <v>0</v>
      </c>
      <c r="I7" s="17"/>
      <c r="J7" s="949"/>
      <c r="K7" s="67">
        <f>J7+'23'!K7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26" t="s">
        <v>9</v>
      </c>
      <c r="C8" s="25"/>
      <c r="D8" s="149">
        <f>'01'!D8</f>
        <v>0</v>
      </c>
      <c r="E8" s="19"/>
      <c r="F8" s="24"/>
      <c r="G8" s="24"/>
      <c r="H8" s="18">
        <f>F8+'23'!H8</f>
        <v>0</v>
      </c>
      <c r="I8" s="17"/>
      <c r="J8" s="949"/>
      <c r="K8" s="67">
        <f>J8+'23'!K8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collapsed="1">
      <c r="A9" s="41" t="s">
        <v>65</v>
      </c>
      <c r="B9" s="26" t="s">
        <v>9</v>
      </c>
      <c r="C9" s="25">
        <f>'01'!C9</f>
        <v>160800</v>
      </c>
      <c r="D9" s="25">
        <f>'01'!D9</f>
        <v>127072.29376141207</v>
      </c>
      <c r="E9" s="97">
        <v>6700</v>
      </c>
      <c r="F9" s="24">
        <f>F10+F11+F12+F13</f>
        <v>0</v>
      </c>
      <c r="G9" s="24">
        <f>E9+'23'!G9</f>
        <v>113900</v>
      </c>
      <c r="H9" s="24">
        <f>F9+'23'!H9</f>
        <v>10202.455966818135</v>
      </c>
      <c r="I9" s="17">
        <f>IFERROR((H9/G9),0)</f>
        <v>8.9573801289009089E-2</v>
      </c>
      <c r="J9" s="946">
        <f>J10+J11+J12+J13</f>
        <v>0</v>
      </c>
      <c r="K9" s="47">
        <f>J9+'23'!K9</f>
        <v>17027.103675312697</v>
      </c>
      <c r="L9" s="25">
        <f>D9+H9-K9+M9+N9</f>
        <v>120247.64605291751</v>
      </c>
      <c r="M9" s="53"/>
      <c r="N9" s="53">
        <f>N10</f>
        <v>0</v>
      </c>
      <c r="O9" s="1246"/>
      <c r="P9" s="1247"/>
      <c r="Q9" s="604">
        <v>-23266.571785975502</v>
      </c>
      <c r="R9" s="602">
        <f>J9-Q9</f>
        <v>23266.571785975502</v>
      </c>
      <c r="S9" s="614"/>
      <c r="T9" s="2"/>
    </row>
    <row r="10" spans="1:20">
      <c r="A10" s="74" t="s">
        <v>64</v>
      </c>
      <c r="B10" s="26" t="s">
        <v>9</v>
      </c>
      <c r="C10" s="25">
        <f>'01'!C10</f>
        <v>0</v>
      </c>
      <c r="D10" s="20">
        <f>'01'!D10</f>
        <v>56300.273909357406</v>
      </c>
      <c r="E10" s="48"/>
      <c r="F10" s="110">
        <v>0</v>
      </c>
      <c r="G10" s="24">
        <f>E10+'23'!G10</f>
        <v>0</v>
      </c>
      <c r="H10" s="18">
        <f>F10+'23'!H10</f>
        <v>10202.455966818135</v>
      </c>
      <c r="I10" s="17"/>
      <c r="J10" s="178">
        <v>0</v>
      </c>
      <c r="K10" s="67">
        <f>J10+'23'!K10</f>
        <v>17027.103675312697</v>
      </c>
      <c r="L10" s="149">
        <f>D10+H10-K10+M10+N10</f>
        <v>49475.62620086284</v>
      </c>
      <c r="M10" s="53"/>
      <c r="N10" s="101"/>
      <c r="O10" s="1350"/>
      <c r="P10" s="1351"/>
      <c r="Q10" s="604"/>
      <c r="R10" s="602"/>
    </row>
    <row r="11" spans="1:20">
      <c r="A11" s="74" t="s">
        <v>244</v>
      </c>
      <c r="B11" s="26" t="s">
        <v>9</v>
      </c>
      <c r="C11" s="25">
        <f>'01'!C11</f>
        <v>0</v>
      </c>
      <c r="D11" s="20">
        <f>'01'!D11</f>
        <v>18224.01726010743</v>
      </c>
      <c r="E11" s="48"/>
      <c r="F11" s="18"/>
      <c r="G11" s="24">
        <f>E11+'23'!G11</f>
        <v>0</v>
      </c>
      <c r="H11" s="18">
        <f>F11+'23'!H11</f>
        <v>0</v>
      </c>
      <c r="I11" s="17"/>
      <c r="J11" s="178">
        <v>0</v>
      </c>
      <c r="K11" s="67">
        <f>J11+'23'!K11</f>
        <v>0</v>
      </c>
      <c r="L11" s="149">
        <f>D11+H11-K11+M11+N11</f>
        <v>18224.01726010743</v>
      </c>
      <c r="M11" s="53"/>
      <c r="N11" s="273"/>
      <c r="O11" s="1350"/>
      <c r="P11" s="1351"/>
      <c r="Q11" s="604"/>
      <c r="R11" s="602"/>
    </row>
    <row r="12" spans="1:20" outlineLevel="1">
      <c r="A12" s="79" t="s">
        <v>154</v>
      </c>
      <c r="B12" s="26" t="s">
        <v>9</v>
      </c>
      <c r="C12" s="310"/>
      <c r="D12" s="20">
        <f>'01'!D12</f>
        <v>52548.002591947239</v>
      </c>
      <c r="E12" s="312">
        <f>C12/31</f>
        <v>0</v>
      </c>
      <c r="F12" s="110"/>
      <c r="G12" s="18">
        <f>E12+'23'!G12</f>
        <v>0</v>
      </c>
      <c r="H12" s="18">
        <f>F12+'23'!H12</f>
        <v>0</v>
      </c>
      <c r="I12" s="955">
        <f>IFERROR((H12/G12),0)</f>
        <v>0</v>
      </c>
      <c r="J12" s="192"/>
      <c r="K12" s="67">
        <f>J12+'23'!K12</f>
        <v>0</v>
      </c>
      <c r="L12" s="149">
        <f>D12+H12-K12</f>
        <v>52548.002591947239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E13+'23'!G13</f>
        <v>0</v>
      </c>
      <c r="H13" s="110">
        <f>F13+'23'!H13</f>
        <v>0</v>
      </c>
      <c r="I13" s="17"/>
      <c r="J13" s="178"/>
      <c r="K13" s="124">
        <f>J13+'23'!K13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6707</v>
      </c>
      <c r="F14" s="30">
        <f>SUM(F15:F21)</f>
        <v>0</v>
      </c>
      <c r="G14" s="30">
        <f>SUM(G15:G21)</f>
        <v>150863</v>
      </c>
      <c r="H14" s="30">
        <f>SUM(H15:H21)</f>
        <v>18857.68830004807</v>
      </c>
      <c r="I14" s="29">
        <f t="shared" ref="I14:I21" si="1">IFERROR((H14/G14),0)</f>
        <v>0.12499876245367035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274"/>
      <c r="O14" s="1352"/>
      <c r="P14" s="1353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8">
        <v>0</v>
      </c>
      <c r="G15" s="18">
        <f>E15+'23'!G15</f>
        <v>0</v>
      </c>
      <c r="H15" s="18">
        <f>F15+'23'!H15</f>
        <v>0</v>
      </c>
      <c r="I15" s="17">
        <f t="shared" si="1"/>
        <v>0</v>
      </c>
      <c r="J15" s="192">
        <v>0</v>
      </c>
      <c r="K15" s="67">
        <f>J15+'23'!K15</f>
        <v>0</v>
      </c>
      <c r="L15" s="20">
        <f>D15+H15-K15+M15</f>
        <v>0</v>
      </c>
      <c r="M15" s="53"/>
      <c r="N15" s="434"/>
      <c r="O15" s="1354"/>
      <c r="P15" s="1355"/>
      <c r="Q15" s="602"/>
      <c r="R15" s="602"/>
      <c r="S15" s="702"/>
      <c r="T15" s="702"/>
    </row>
    <row r="16" spans="1:20" outlineLevel="1">
      <c r="A16" s="44" t="s">
        <v>254</v>
      </c>
      <c r="B16" s="9" t="s">
        <v>9</v>
      </c>
      <c r="C16" s="68">
        <f>'01'!C16</f>
        <v>44352</v>
      </c>
      <c r="D16" s="68">
        <f>'01'!D16</f>
        <v>6069.3572595923979</v>
      </c>
      <c r="E16" s="134">
        <v>1525.1684987694834</v>
      </c>
      <c r="F16" s="171">
        <v>0</v>
      </c>
      <c r="G16" s="18">
        <f>E16+'23'!G16</f>
        <v>34306.17194421657</v>
      </c>
      <c r="H16" s="18">
        <f>F16+'23'!H16</f>
        <v>3228.5002277343951</v>
      </c>
      <c r="I16" s="956">
        <f t="shared" si="1"/>
        <v>9.4108437192703592E-2</v>
      </c>
      <c r="J16" s="751">
        <f>IFERROR(SUMIF(A101:A114,A16,E101:E114),0)+E111+E112+E113</f>
        <v>0</v>
      </c>
      <c r="K16" s="67">
        <f>J16+'23'!K16</f>
        <v>3320.85</v>
      </c>
      <c r="L16" s="398">
        <f t="shared" ref="L16:L37" si="2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0" ht="18" customHeight="1">
      <c r="A17" s="733" t="s">
        <v>262</v>
      </c>
      <c r="B17" s="9" t="s">
        <v>9</v>
      </c>
      <c r="C17" s="68">
        <f>'01'!C17</f>
        <v>0</v>
      </c>
      <c r="D17" s="68">
        <f>'01'!D17</f>
        <v>483.23739591927495</v>
      </c>
      <c r="E17" s="108">
        <v>0</v>
      </c>
      <c r="F17" s="173">
        <v>0</v>
      </c>
      <c r="G17" s="18">
        <f>E17+'23'!G17</f>
        <v>0</v>
      </c>
      <c r="H17" s="18">
        <f>F17+'23'!H17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J17+'23'!K17</f>
        <v>0</v>
      </c>
      <c r="L17" s="398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0" ht="15" customHeight="1">
      <c r="A18" s="44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E18+'23'!G18</f>
        <v>0</v>
      </c>
      <c r="H18" s="18">
        <f>F18+'23'!H18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J18+'23'!K18</f>
        <v>0</v>
      </c>
      <c r="L18" s="60">
        <f>D18+H18-K18-M18</f>
        <v>3183.2380657083054</v>
      </c>
      <c r="M18" s="101"/>
      <c r="N18" s="434"/>
      <c r="O18" s="1354"/>
      <c r="P18" s="1355"/>
      <c r="Q18" s="602"/>
      <c r="R18" s="602"/>
    </row>
    <row r="19" spans="1:20" s="56" customFormat="1">
      <c r="A19" s="123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5012.712212879409</v>
      </c>
      <c r="F19" s="131">
        <v>0</v>
      </c>
      <c r="G19" s="18">
        <f>E19+'23'!G19</f>
        <v>112752.76615053322</v>
      </c>
      <c r="H19" s="18">
        <f>F19+'23'!H19</f>
        <v>15629.188072313675</v>
      </c>
      <c r="I19" s="957">
        <f t="shared" si="1"/>
        <v>0.13861467532820934</v>
      </c>
      <c r="J19" s="751">
        <f>IFERROR(SUMIF(A102:A115,A19,E102:E115),0)+E117+E115+E122</f>
        <v>0</v>
      </c>
      <c r="K19" s="67">
        <f>J19+'23'!K19</f>
        <v>14803.599999999995</v>
      </c>
      <c r="L19" s="60">
        <f>D19+H19-K19-M19</f>
        <v>13590.321784219646</v>
      </c>
      <c r="M19" s="403"/>
      <c r="N19" s="435"/>
      <c r="O19" s="1362"/>
      <c r="P19" s="1363"/>
      <c r="Q19" s="602"/>
      <c r="R19" s="602"/>
    </row>
    <row r="20" spans="1:20">
      <c r="A20" s="4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122.35185602953241</v>
      </c>
      <c r="F20" s="110">
        <v>0</v>
      </c>
      <c r="G20" s="18">
        <f>E20+'23'!G20</f>
        <v>2752.1049733388027</v>
      </c>
      <c r="H20" s="18">
        <f>F20+'23'!H20</f>
        <v>0</v>
      </c>
      <c r="I20" s="17">
        <f t="shared" si="1"/>
        <v>0</v>
      </c>
      <c r="J20" s="751">
        <f>IFERROR(SUMIF(A102:A115,A20,E102:E115),0)</f>
        <v>0</v>
      </c>
      <c r="K20" s="67">
        <f>J20+'23'!K20</f>
        <v>826.59999999999991</v>
      </c>
      <c r="L20" s="60">
        <f>D20+H20-K20+M20</f>
        <v>2577.4479510608048</v>
      </c>
      <c r="M20" s="53"/>
      <c r="N20" s="434"/>
      <c r="O20" s="1354"/>
      <c r="P20" s="1355"/>
      <c r="Q20" s="602"/>
      <c r="R20" s="602"/>
      <c r="S20" s="5"/>
    </row>
    <row r="21" spans="1:20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46.767432321575058</v>
      </c>
      <c r="F21" s="110">
        <v>0</v>
      </c>
      <c r="G21" s="18">
        <f>E21+'23'!G21</f>
        <v>1051.9569319114028</v>
      </c>
      <c r="H21" s="18">
        <f>F21+'23'!H21</f>
        <v>0</v>
      </c>
      <c r="I21" s="17">
        <f t="shared" si="1"/>
        <v>0</v>
      </c>
      <c r="J21" s="751">
        <f>IFERROR(SUMIF(A102:A115,A21,E102:E115),0)</f>
        <v>0</v>
      </c>
      <c r="K21" s="67">
        <f>J21+'23'!K21</f>
        <v>0</v>
      </c>
      <c r="L21" s="60">
        <f t="shared" si="2"/>
        <v>8.7766238721087575E-11</v>
      </c>
      <c r="M21" s="409"/>
      <c r="N21" s="436"/>
      <c r="O21" s="1356"/>
      <c r="P21" s="1357"/>
      <c r="Q21" s="602"/>
      <c r="R21" s="602"/>
    </row>
    <row r="22" spans="1:20">
      <c r="A22" s="733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110">
        <v>0</v>
      </c>
      <c r="G22" s="18">
        <f>E22+'23'!G22</f>
        <v>1100</v>
      </c>
      <c r="H22" s="18">
        <f>F22+'23'!H22</f>
        <v>2130.1044634377968</v>
      </c>
      <c r="I22" s="23"/>
      <c r="J22" s="751">
        <f>IFERROR(SUMIF(A103:A123,A22,E103:E123),0)+E109</f>
        <v>0</v>
      </c>
      <c r="K22" s="67">
        <f>J22+'23'!K22</f>
        <v>757.20000000000016</v>
      </c>
      <c r="L22" s="60">
        <f t="shared" si="2"/>
        <v>4206.655098319975</v>
      </c>
      <c r="M22" s="409"/>
      <c r="N22" s="436"/>
      <c r="O22" s="1368"/>
      <c r="P22" s="1357"/>
      <c r="Q22" s="602"/>
      <c r="R22" s="602"/>
    </row>
    <row r="23" spans="1:20" s="4" customFormat="1">
      <c r="A23" s="24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E23+'23'!G23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J23+'23'!K23</f>
        <v>20</v>
      </c>
      <c r="L23" s="584">
        <f>D23+H23-K23+M23</f>
        <v>32</v>
      </c>
      <c r="M23" s="416"/>
      <c r="N23" s="587"/>
      <c r="O23" s="1358"/>
      <c r="P23" s="1359"/>
      <c r="Q23" s="606"/>
      <c r="R23" s="606"/>
      <c r="S23" s="616"/>
      <c r="T23" s="28"/>
    </row>
    <row r="24" spans="1:20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E24+'23'!G24</f>
        <v>0</v>
      </c>
      <c r="H24" s="18">
        <f>F24+'23'!H24</f>
        <v>0</v>
      </c>
      <c r="I24" s="23"/>
      <c r="J24" s="752">
        <v>0</v>
      </c>
      <c r="K24" s="67">
        <f>J24+'23'!K24</f>
        <v>0</v>
      </c>
      <c r="L24" s="60">
        <f t="shared" si="2"/>
        <v>0</v>
      </c>
      <c r="M24" s="416"/>
      <c r="N24" s="587"/>
      <c r="O24" s="927"/>
      <c r="P24" s="928"/>
      <c r="Q24" s="606"/>
      <c r="R24" s="606"/>
      <c r="S24" s="616"/>
      <c r="T24" s="28"/>
    </row>
    <row r="25" spans="1:20" s="4" customFormat="1" hidden="1" outlineLevel="1">
      <c r="A25" s="4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E25+'23'!G25</f>
        <v>0</v>
      </c>
      <c r="H25" s="18">
        <f>F25+'23'!H25</f>
        <v>0</v>
      </c>
      <c r="I25" s="23"/>
      <c r="J25" s="752">
        <v>0</v>
      </c>
      <c r="K25" s="67">
        <f>J25+'23'!K25</f>
        <v>20</v>
      </c>
      <c r="L25" s="60">
        <f t="shared" si="2"/>
        <v>-4</v>
      </c>
      <c r="M25" s="416"/>
      <c r="N25" s="587"/>
      <c r="O25" s="927"/>
      <c r="P25" s="928"/>
      <c r="Q25" s="606"/>
      <c r="R25" s="606"/>
      <c r="S25" s="616"/>
      <c r="T25" s="28"/>
    </row>
    <row r="26" spans="1:20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E26+'23'!G26</f>
        <v>0</v>
      </c>
      <c r="H26" s="18">
        <f>F26+'23'!H26</f>
        <v>0</v>
      </c>
      <c r="I26" s="23"/>
      <c r="J26" s="752">
        <v>0</v>
      </c>
      <c r="K26" s="67">
        <f>J26+'23'!K26</f>
        <v>0</v>
      </c>
      <c r="L26" s="60">
        <f t="shared" si="2"/>
        <v>36</v>
      </c>
      <c r="M26" s="416"/>
      <c r="N26" s="587"/>
      <c r="O26" s="927"/>
      <c r="P26" s="928"/>
      <c r="Q26" s="606"/>
      <c r="R26" s="606"/>
      <c r="S26" s="616"/>
      <c r="T26" s="28"/>
    </row>
    <row r="27" spans="1:20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E27+'23'!G27</f>
        <v>0</v>
      </c>
      <c r="H27" s="18">
        <f>F27+'23'!H27</f>
        <v>0</v>
      </c>
      <c r="I27" s="23"/>
      <c r="J27" s="752"/>
      <c r="K27" s="67">
        <f>J27+'23'!K27</f>
        <v>0</v>
      </c>
      <c r="L27" s="60">
        <f t="shared" si="2"/>
        <v>0</v>
      </c>
      <c r="M27" s="416"/>
      <c r="N27" s="587"/>
      <c r="O27" s="927"/>
      <c r="P27" s="928"/>
      <c r="Q27" s="606"/>
      <c r="R27" s="606"/>
      <c r="S27" s="616"/>
      <c r="T27" s="28"/>
    </row>
    <row r="28" spans="1:20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E28+'23'!G28</f>
        <v>0</v>
      </c>
      <c r="H28" s="18">
        <f>F28+'23'!H28</f>
        <v>0</v>
      </c>
      <c r="I28" s="23"/>
      <c r="J28" s="752"/>
      <c r="K28" s="67">
        <f>J28+'23'!K28</f>
        <v>0</v>
      </c>
      <c r="L28" s="60">
        <f t="shared" si="2"/>
        <v>0</v>
      </c>
      <c r="M28" s="416"/>
      <c r="N28" s="587"/>
      <c r="O28" s="927"/>
      <c r="P28" s="928"/>
      <c r="Q28" s="606"/>
      <c r="R28" s="606"/>
      <c r="S28" s="616"/>
      <c r="T28" s="28"/>
    </row>
    <row r="29" spans="1:20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E29+'23'!G29</f>
        <v>0</v>
      </c>
      <c r="H29" s="18">
        <f>F29+'23'!H29</f>
        <v>0</v>
      </c>
      <c r="I29" s="23"/>
      <c r="J29" s="752"/>
      <c r="K29" s="67">
        <f>J29+'23'!K29</f>
        <v>0</v>
      </c>
      <c r="L29" s="60">
        <f t="shared" si="2"/>
        <v>0</v>
      </c>
      <c r="M29" s="416"/>
      <c r="N29" s="587"/>
      <c r="O29" s="927"/>
      <c r="P29" s="928"/>
      <c r="Q29" s="606"/>
      <c r="R29" s="606"/>
      <c r="S29" s="616"/>
      <c r="T29" s="28"/>
    </row>
    <row r="30" spans="1:20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E30+'23'!G30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J30+'23'!K30</f>
        <v>994.39999999999986</v>
      </c>
      <c r="L30" s="584">
        <f t="shared" si="2"/>
        <v>1073.6000000000001</v>
      </c>
      <c r="M30" s="416"/>
      <c r="N30" s="587"/>
      <c r="O30" s="1367"/>
      <c r="P30" s="1359"/>
      <c r="Q30" s="606"/>
      <c r="R30" s="606"/>
      <c r="S30" s="616"/>
      <c r="T30" s="28"/>
    </row>
    <row r="31" spans="1:20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E31+'23'!G31</f>
        <v>0</v>
      </c>
      <c r="H31" s="18">
        <f>F31+'23'!H31</f>
        <v>0</v>
      </c>
      <c r="I31" s="23"/>
      <c r="J31" s="865">
        <v>0</v>
      </c>
      <c r="K31" s="67">
        <f>J31+'23'!K31</f>
        <v>0</v>
      </c>
      <c r="L31" s="60">
        <f t="shared" si="2"/>
        <v>0</v>
      </c>
      <c r="M31" s="416"/>
      <c r="N31" s="587"/>
      <c r="O31" s="927"/>
      <c r="P31" s="928"/>
      <c r="Q31" s="606"/>
      <c r="R31" s="606"/>
      <c r="S31" s="616"/>
      <c r="T31" s="28"/>
    </row>
    <row r="32" spans="1:20" s="4" customFormat="1" hidden="1" outlineLevel="1">
      <c r="A32" s="44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E32+'23'!G32</f>
        <v>0</v>
      </c>
      <c r="H32" s="18">
        <f>F32+'23'!H32</f>
        <v>554.40000000000009</v>
      </c>
      <c r="I32" s="23"/>
      <c r="J32" s="865">
        <v>0</v>
      </c>
      <c r="K32" s="67">
        <f>J32+'23'!K32</f>
        <v>994.39999999999986</v>
      </c>
      <c r="L32" s="60">
        <f t="shared" si="2"/>
        <v>1068.3200000000004</v>
      </c>
      <c r="M32" s="416"/>
      <c r="N32" s="587"/>
      <c r="O32" s="927"/>
      <c r="P32" s="928"/>
      <c r="Q32" s="606"/>
      <c r="R32" s="606"/>
      <c r="S32" s="616"/>
      <c r="T32" s="28"/>
    </row>
    <row r="33" spans="1:21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E33+'23'!G33</f>
        <v>0</v>
      </c>
      <c r="H33" s="18">
        <f>F33+'23'!H33</f>
        <v>0</v>
      </c>
      <c r="I33" s="23"/>
      <c r="J33" s="865">
        <v>0</v>
      </c>
      <c r="K33" s="67">
        <f>J33+'23'!K33</f>
        <v>0</v>
      </c>
      <c r="L33" s="60">
        <f t="shared" si="2"/>
        <v>5.28</v>
      </c>
      <c r="M33" s="416"/>
      <c r="N33" s="587"/>
      <c r="O33" s="927"/>
      <c r="P33" s="928"/>
      <c r="Q33" s="606"/>
      <c r="R33" s="606"/>
      <c r="S33" s="616"/>
      <c r="T33" s="28"/>
    </row>
    <row r="34" spans="1:21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E34+'23'!G34</f>
        <v>0</v>
      </c>
      <c r="H34" s="18">
        <f>F34+'23'!H34</f>
        <v>0</v>
      </c>
      <c r="I34" s="23"/>
      <c r="J34" s="865"/>
      <c r="K34" s="67">
        <f>J34+'23'!K34</f>
        <v>0</v>
      </c>
      <c r="L34" s="60">
        <f t="shared" si="2"/>
        <v>0</v>
      </c>
      <c r="M34" s="416"/>
      <c r="N34" s="587"/>
      <c r="O34" s="927"/>
      <c r="P34" s="928"/>
      <c r="Q34" s="606"/>
      <c r="R34" s="606"/>
      <c r="S34" s="616"/>
      <c r="T34" s="28"/>
    </row>
    <row r="35" spans="1:21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E35+'23'!G35</f>
        <v>0</v>
      </c>
      <c r="H35" s="18">
        <f>F35+'23'!H35</f>
        <v>0</v>
      </c>
      <c r="I35" s="23"/>
      <c r="J35" s="865"/>
      <c r="K35" s="67">
        <f>J35+'23'!K35</f>
        <v>0</v>
      </c>
      <c r="L35" s="60">
        <f t="shared" si="2"/>
        <v>0</v>
      </c>
      <c r="M35" s="416"/>
      <c r="N35" s="587"/>
      <c r="O35" s="927"/>
      <c r="P35" s="928"/>
      <c r="Q35" s="606"/>
      <c r="R35" s="606"/>
      <c r="S35" s="616"/>
      <c r="T35" s="28"/>
    </row>
    <row r="36" spans="1:21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E36+'23'!G36</f>
        <v>0</v>
      </c>
      <c r="H36" s="18">
        <f>F36+'23'!H36</f>
        <v>0</v>
      </c>
      <c r="I36" s="23"/>
      <c r="J36" s="110">
        <v>0</v>
      </c>
      <c r="K36" s="67">
        <f>J36+'23'!K36</f>
        <v>0</v>
      </c>
      <c r="L36" s="60">
        <f t="shared" si="2"/>
        <v>1673.24</v>
      </c>
      <c r="M36" s="416"/>
      <c r="N36" s="587"/>
      <c r="O36" s="927"/>
      <c r="P36" s="928"/>
      <c r="Q36" s="606"/>
      <c r="R36" s="606"/>
      <c r="S36" s="616"/>
      <c r="T36" s="28"/>
    </row>
    <row r="37" spans="1:21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E37+'23'!G37</f>
        <v>0</v>
      </c>
      <c r="H37" s="18">
        <f>F37+'23'!H37</f>
        <v>0</v>
      </c>
      <c r="I37" s="23"/>
      <c r="J37" s="110">
        <v>0</v>
      </c>
      <c r="K37" s="67">
        <f>J37+'23'!K37</f>
        <v>0</v>
      </c>
      <c r="L37" s="60">
        <f t="shared" si="2"/>
        <v>294.63999999999987</v>
      </c>
      <c r="M37" s="416"/>
      <c r="N37" s="587"/>
      <c r="O37" s="927"/>
      <c r="P37" s="928"/>
      <c r="Q37" s="606"/>
      <c r="R37" s="606"/>
      <c r="S37" s="616"/>
      <c r="T37" s="28"/>
    </row>
    <row r="38" spans="1:21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E38+'23'!G38</f>
        <v>119193.37320603899</v>
      </c>
      <c r="H38" s="671">
        <f>F38+'23'!H38</f>
        <v>9132.5707721894778</v>
      </c>
      <c r="I38" s="958">
        <f>IFERROR((H38/G38),0)</f>
        <v>7.6619786205755033E-2</v>
      </c>
      <c r="J38" s="753">
        <f>SUM(J39:J40)</f>
        <v>0</v>
      </c>
      <c r="K38" s="672">
        <f>J38+'23'!K38</f>
        <v>9083.5707721894778</v>
      </c>
      <c r="L38" s="310">
        <f>D38+H38-K38</f>
        <v>1805.9829593932955</v>
      </c>
      <c r="M38" s="76"/>
      <c r="N38" s="275"/>
      <c r="O38" s="1360"/>
      <c r="P38" s="1361"/>
      <c r="Q38" s="607"/>
      <c r="R38" s="602"/>
      <c r="S38" s="614"/>
      <c r="T38" s="33"/>
    </row>
    <row r="39" spans="1:21" ht="15.75" customHeight="1">
      <c r="A39" s="74" t="s">
        <v>91</v>
      </c>
      <c r="B39" s="9" t="s">
        <v>9</v>
      </c>
      <c r="C39" s="20"/>
      <c r="D39" s="20"/>
      <c r="E39" s="48"/>
      <c r="F39" s="110">
        <v>0</v>
      </c>
      <c r="G39" s="24"/>
      <c r="H39" s="18">
        <f>F39+'23'!H39</f>
        <v>6840.5707721894778</v>
      </c>
      <c r="I39" s="23"/>
      <c r="J39" s="750">
        <f>F39</f>
        <v>0</v>
      </c>
      <c r="K39" s="67">
        <f>J39+'23'!K39</f>
        <v>6840.5707721894778</v>
      </c>
      <c r="L39" s="25"/>
      <c r="M39" s="76"/>
      <c r="N39" s="275"/>
      <c r="O39" s="1360"/>
      <c r="P39" s="1361"/>
      <c r="Q39" s="607"/>
      <c r="R39" s="602"/>
      <c r="S39" s="614"/>
      <c r="T39" s="2"/>
    </row>
    <row r="40" spans="1:21" ht="15.75" customHeight="1">
      <c r="A40" s="74" t="s">
        <v>109</v>
      </c>
      <c r="B40" s="9" t="s">
        <v>9</v>
      </c>
      <c r="C40" s="20"/>
      <c r="D40" s="20"/>
      <c r="E40" s="48"/>
      <c r="F40" s="110">
        <v>0</v>
      </c>
      <c r="G40" s="24"/>
      <c r="H40" s="18">
        <f>F40+'23'!H40</f>
        <v>2292</v>
      </c>
      <c r="I40" s="23"/>
      <c r="J40" s="178">
        <v>0</v>
      </c>
      <c r="K40" s="67">
        <f>J40+'23'!K40</f>
        <v>2243</v>
      </c>
      <c r="L40" s="25"/>
      <c r="M40" s="76"/>
      <c r="N40" s="275"/>
      <c r="O40" s="1360"/>
      <c r="P40" s="1361"/>
      <c r="Q40" s="607"/>
      <c r="R40" s="602"/>
      <c r="S40" s="614"/>
      <c r="T40" s="2"/>
    </row>
    <row r="41" spans="1:21" ht="15.75" hidden="1" customHeight="1" outlineLevel="1">
      <c r="A41" s="74" t="s">
        <v>67</v>
      </c>
      <c r="B41" s="9" t="s">
        <v>9</v>
      </c>
      <c r="C41" s="20"/>
      <c r="D41" s="20"/>
      <c r="E41" s="48"/>
      <c r="F41" s="24"/>
      <c r="G41" s="24"/>
      <c r="H41" s="24">
        <f>F41+'23'!H41</f>
        <v>0</v>
      </c>
      <c r="I41" s="23"/>
      <c r="J41" s="192"/>
      <c r="K41" s="67">
        <f>J41+'23'!K41</f>
        <v>0</v>
      </c>
      <c r="L41" s="25"/>
      <c r="M41" s="76"/>
      <c r="N41" s="275"/>
      <c r="O41" s="1360"/>
      <c r="P41" s="1361"/>
      <c r="Q41" s="607"/>
      <c r="R41" s="602"/>
      <c r="S41" s="614"/>
      <c r="T41" s="2"/>
    </row>
    <row r="42" spans="1:21" ht="15.75" hidden="1" customHeight="1" outlineLevel="1">
      <c r="A42" s="74" t="s">
        <v>68</v>
      </c>
      <c r="B42" s="9" t="s">
        <v>9</v>
      </c>
      <c r="C42" s="20"/>
      <c r="D42" s="20"/>
      <c r="E42" s="48"/>
      <c r="F42" s="24"/>
      <c r="G42" s="24"/>
      <c r="H42" s="24">
        <f>F42+'23'!H42</f>
        <v>0</v>
      </c>
      <c r="I42" s="23"/>
      <c r="J42" s="192"/>
      <c r="K42" s="67">
        <f>J42+'23'!K42</f>
        <v>0</v>
      </c>
      <c r="L42" s="25"/>
      <c r="M42" s="76"/>
      <c r="N42" s="275"/>
      <c r="O42" s="1360"/>
      <c r="P42" s="1361"/>
      <c r="Q42" s="607"/>
      <c r="R42" s="602"/>
      <c r="S42" s="614"/>
      <c r="T42" s="2"/>
    </row>
    <row r="43" spans="1:21" ht="15.75" customHeight="1" collapsed="1">
      <c r="A43" s="74" t="s">
        <v>63</v>
      </c>
      <c r="B43" s="9" t="s">
        <v>9</v>
      </c>
      <c r="C43" s="20">
        <f>'23'!C43</f>
        <v>96601.878796744204</v>
      </c>
      <c r="D43" s="20"/>
      <c r="E43" s="312">
        <f>C43/30</f>
        <v>3220.06262655814</v>
      </c>
      <c r="F43" s="110">
        <v>0</v>
      </c>
      <c r="G43" s="18">
        <f>E43+'23'!G43</f>
        <v>77281.503037395334</v>
      </c>
      <c r="H43" s="18">
        <f>F43+'23'!H43</f>
        <v>8403.7999999999993</v>
      </c>
      <c r="I43" s="17">
        <f>IFERROR((H43/G43),0)</f>
        <v>0.1087427090533362</v>
      </c>
      <c r="J43" s="192">
        <f>F43</f>
        <v>0</v>
      </c>
      <c r="K43" s="67">
        <f>J43+'23'!K43</f>
        <v>8403.7999999999993</v>
      </c>
      <c r="L43" s="20">
        <f>D43+H43-K43</f>
        <v>0</v>
      </c>
      <c r="M43" s="76"/>
      <c r="N43" s="275"/>
      <c r="O43" s="1360"/>
      <c r="P43" s="1361"/>
      <c r="Q43" s="607"/>
      <c r="R43" s="602"/>
      <c r="S43" s="614"/>
      <c r="T43" s="2"/>
    </row>
    <row r="44" spans="1:21" s="4" customFormat="1">
      <c r="A44" s="74" t="s">
        <v>69</v>
      </c>
      <c r="B44" s="26" t="s">
        <v>9</v>
      </c>
      <c r="C44" s="20">
        <f>'23'!C44</f>
        <v>40846.933088751408</v>
      </c>
      <c r="D44" s="20">
        <f>'23'!D44</f>
        <v>3759.4565289122183</v>
      </c>
      <c r="E44" s="707">
        <f>C44/30</f>
        <v>1361.5644362917135</v>
      </c>
      <c r="F44" s="110">
        <v>0</v>
      </c>
      <c r="G44" s="18">
        <f>E44+'23'!G44</f>
        <v>32677.546471001107</v>
      </c>
      <c r="H44" s="18">
        <f>F44+'23'!H44</f>
        <v>7255</v>
      </c>
      <c r="I44" s="17">
        <f>IFERROR((H44/G44),0)</f>
        <v>0.22201789251338908</v>
      </c>
      <c r="J44" s="178">
        <v>0</v>
      </c>
      <c r="K44" s="67">
        <f>J44+'23'!K44</f>
        <v>4780.2485953962823</v>
      </c>
      <c r="L44" s="20">
        <f>D44+H44-K44</f>
        <v>6234.207933515936</v>
      </c>
      <c r="M44" s="76"/>
      <c r="N44" s="275"/>
      <c r="O44" s="1360"/>
      <c r="P44" s="1361"/>
      <c r="Q44" s="607"/>
      <c r="R44" s="606"/>
      <c r="S44" s="614"/>
      <c r="T44" s="2"/>
      <c r="U44" s="75"/>
    </row>
    <row r="45" spans="1:21" s="4" customFormat="1" hidden="1" outlineLevel="1">
      <c r="A45" s="74" t="s">
        <v>70</v>
      </c>
      <c r="B45" s="26"/>
      <c r="C45" s="20"/>
      <c r="D45" s="20"/>
      <c r="E45" s="48"/>
      <c r="F45" s="18"/>
      <c r="G45" s="18"/>
      <c r="H45" s="18">
        <f>F45+'23'!H45</f>
        <v>0</v>
      </c>
      <c r="I45" s="17"/>
      <c r="J45" s="192"/>
      <c r="K45" s="67">
        <f>J45+'23'!K45</f>
        <v>0</v>
      </c>
      <c r="L45" s="25"/>
      <c r="M45" s="76"/>
      <c r="N45" s="275"/>
      <c r="O45" s="1360"/>
      <c r="P45" s="1361"/>
      <c r="Q45" s="607"/>
      <c r="R45" s="606"/>
      <c r="S45" s="614"/>
      <c r="T45" s="2"/>
    </row>
    <row r="46" spans="1:21" s="4" customFormat="1" hidden="1" outlineLevel="1">
      <c r="A46" s="74" t="s">
        <v>71</v>
      </c>
      <c r="B46" s="26"/>
      <c r="C46" s="20"/>
      <c r="D46" s="20"/>
      <c r="E46" s="48"/>
      <c r="F46" s="18"/>
      <c r="G46" s="18"/>
      <c r="H46" s="18">
        <f>F46+'23'!H46</f>
        <v>0</v>
      </c>
      <c r="I46" s="17"/>
      <c r="J46" s="192"/>
      <c r="K46" s="67">
        <f>J46+'23'!K46</f>
        <v>0</v>
      </c>
      <c r="L46" s="25"/>
      <c r="M46" s="76"/>
      <c r="N46" s="275"/>
      <c r="O46" s="1360"/>
      <c r="P46" s="1361"/>
      <c r="Q46" s="607"/>
      <c r="R46" s="606"/>
      <c r="S46" s="614"/>
      <c r="T46" s="2"/>
    </row>
    <row r="47" spans="1:21" s="4" customFormat="1" hidden="1" outlineLevel="1">
      <c r="A47" s="74" t="s">
        <v>72</v>
      </c>
      <c r="B47" s="26"/>
      <c r="C47" s="20"/>
      <c r="D47" s="20"/>
      <c r="E47" s="48"/>
      <c r="F47" s="24"/>
      <c r="G47" s="24"/>
      <c r="H47" s="24">
        <f>F47+'23'!H47</f>
        <v>0</v>
      </c>
      <c r="I47" s="23"/>
      <c r="J47" s="192"/>
      <c r="K47" s="67">
        <f>J47+'23'!K47</f>
        <v>0</v>
      </c>
      <c r="L47" s="25"/>
      <c r="M47" s="76"/>
      <c r="N47" s="275"/>
      <c r="O47" s="1360"/>
      <c r="P47" s="1361"/>
      <c r="Q47" s="607"/>
      <c r="R47" s="606"/>
      <c r="S47" s="614"/>
      <c r="T47" s="2"/>
    </row>
    <row r="48" spans="1:21" s="4" customFormat="1" collapsed="1">
      <c r="A48" s="74" t="s">
        <v>106</v>
      </c>
      <c r="B48" s="9" t="s">
        <v>9</v>
      </c>
      <c r="C48" s="20">
        <f>'23'!C48</f>
        <v>238663.46526254449</v>
      </c>
      <c r="D48" s="20">
        <f>'23'!D48</f>
        <v>14554.971764167974</v>
      </c>
      <c r="E48" s="19">
        <f>C48/30</f>
        <v>7955.4488420848165</v>
      </c>
      <c r="F48" s="110">
        <v>0</v>
      </c>
      <c r="G48" s="18">
        <f>E48+'23'!G48</f>
        <v>190930.77221003565</v>
      </c>
      <c r="H48" s="18">
        <f>F48+'23'!H48</f>
        <v>15244.370772189477</v>
      </c>
      <c r="I48" s="17">
        <f>IFERROR((H48/G48),0)</f>
        <v>7.9842398350642649E-2</v>
      </c>
      <c r="J48" s="750">
        <v>0</v>
      </c>
      <c r="K48" s="67">
        <f>J48+'23'!K48</f>
        <v>27730.381517661059</v>
      </c>
      <c r="L48" s="20">
        <f>D48+H48-K48</f>
        <v>2068.961018696391</v>
      </c>
      <c r="M48" s="76"/>
      <c r="N48" s="275"/>
      <c r="O48" s="1360"/>
      <c r="P48" s="1361"/>
      <c r="Q48" s="607"/>
      <c r="R48" s="606"/>
      <c r="S48" s="614"/>
      <c r="T48" s="2"/>
    </row>
    <row r="49" spans="1:26" s="4" customFormat="1">
      <c r="A49" s="74" t="s">
        <v>107</v>
      </c>
      <c r="B49" s="9" t="s">
        <v>9</v>
      </c>
      <c r="C49" s="20">
        <f>'23'!C49</f>
        <v>256898.95024371953</v>
      </c>
      <c r="D49" s="20">
        <f>'23'!D49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184898.95024371953</v>
      </c>
      <c r="H49" s="18">
        <f>SUM(H50:H51)</f>
        <v>32176.186994748638</v>
      </c>
      <c r="I49" s="17">
        <f>IFERROR((H49/G49),0)</f>
        <v>0.174020387635173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276"/>
      <c r="O49" s="1348"/>
      <c r="P49" s="1349"/>
      <c r="Q49" s="608"/>
      <c r="R49" s="606"/>
      <c r="S49" s="602"/>
      <c r="T49" s="2"/>
    </row>
    <row r="50" spans="1:26">
      <c r="A50" s="123" t="s">
        <v>61</v>
      </c>
      <c r="B50" s="9" t="s">
        <v>9</v>
      </c>
      <c r="C50" s="20">
        <f>'23'!C50</f>
        <v>0</v>
      </c>
      <c r="D50" s="20">
        <f>'23'!D50</f>
        <v>2323.23</v>
      </c>
      <c r="E50" s="19">
        <v>0</v>
      </c>
      <c r="F50" s="18"/>
      <c r="G50" s="24">
        <f>E50+'23'!G50</f>
        <v>0</v>
      </c>
      <c r="H50" s="24">
        <f>F50+'23'!H50</f>
        <v>0</v>
      </c>
      <c r="I50" s="17">
        <f>IFERROR((H50/G50),0)</f>
        <v>0</v>
      </c>
      <c r="J50" s="192"/>
      <c r="K50" s="67">
        <f>J50+'23'!K50</f>
        <v>0</v>
      </c>
      <c r="L50" s="20">
        <f>D50+H50-K50+M50</f>
        <v>2323.23</v>
      </c>
      <c r="M50" s="410"/>
      <c r="N50" s="276"/>
      <c r="O50" s="1348"/>
      <c r="P50" s="1349"/>
      <c r="Q50" s="608"/>
      <c r="R50" s="602"/>
      <c r="S50" s="614"/>
      <c r="T50" s="261"/>
    </row>
    <row r="51" spans="1:26">
      <c r="A51" s="123" t="s">
        <v>62</v>
      </c>
      <c r="B51" s="9" t="s">
        <v>9</v>
      </c>
      <c r="C51" s="20">
        <f>'23'!C51</f>
        <v>256898.95024371953</v>
      </c>
      <c r="D51" s="20">
        <f>'23'!D51</f>
        <v>4567.1619969842723</v>
      </c>
      <c r="E51" s="134">
        <v>11000</v>
      </c>
      <c r="F51" s="110">
        <v>0</v>
      </c>
      <c r="G51" s="18">
        <f>E51+'23'!G51</f>
        <v>184898.95024371953</v>
      </c>
      <c r="H51" s="18">
        <f>F51+'23'!H51</f>
        <v>32176.186994748638</v>
      </c>
      <c r="I51" s="17">
        <f>IFERROR((H51/G51),0)</f>
        <v>0.174020387635173</v>
      </c>
      <c r="J51" s="192">
        <f>O51-P51</f>
        <v>0</v>
      </c>
      <c r="K51" s="67">
        <f>J51+'23'!K51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'23'!C52</f>
        <v>0</v>
      </c>
      <c r="D52" s="20">
        <f>'23'!D52</f>
        <v>0</v>
      </c>
      <c r="E52" s="48"/>
      <c r="F52" s="24"/>
      <c r="G52" s="18"/>
      <c r="H52" s="18"/>
      <c r="I52" s="23"/>
      <c r="J52" s="946"/>
      <c r="K52" s="67"/>
      <c r="L52" s="25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'23'!C53</f>
        <v>0</v>
      </c>
      <c r="D53" s="20">
        <f>'23'!D53</f>
        <v>0</v>
      </c>
      <c r="E53" s="240">
        <f t="shared" ref="E53:E58" si="3">C53/$Q$2</f>
        <v>0</v>
      </c>
      <c r="F53" s="73">
        <v>0</v>
      </c>
      <c r="G53" s="24">
        <f>E53+'23'!G53</f>
        <v>0</v>
      </c>
      <c r="H53" s="24">
        <f>F53+'23'!H53</f>
        <v>0</v>
      </c>
      <c r="I53" s="957">
        <f t="shared" ref="I53:I58" si="4">IFERROR((H53/G53),0)</f>
        <v>0</v>
      </c>
      <c r="J53" s="624"/>
      <c r="K53" s="67">
        <f>J53+'23'!K53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'23'!C54</f>
        <v>10000</v>
      </c>
      <c r="D54" s="20">
        <f>'23'!D54</f>
        <v>13684.915881223626</v>
      </c>
      <c r="E54" s="240">
        <f t="shared" si="3"/>
        <v>322.58064516129031</v>
      </c>
      <c r="F54" s="73">
        <v>0</v>
      </c>
      <c r="G54" s="18">
        <f>E54+'23'!G54</f>
        <v>7741.9354838709714</v>
      </c>
      <c r="H54" s="18">
        <f>F54+'23'!H54</f>
        <v>0</v>
      </c>
      <c r="I54" s="957">
        <f t="shared" si="4"/>
        <v>0</v>
      </c>
      <c r="J54" s="754">
        <v>0</v>
      </c>
      <c r="K54" s="67">
        <f>J54+'23'!K54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'23'!C55</f>
        <v>17000</v>
      </c>
      <c r="D55" s="20">
        <f>'23'!D55</f>
        <v>3999.5665967852347</v>
      </c>
      <c r="E55" s="240">
        <f t="shared" si="3"/>
        <v>548.38709677419354</v>
      </c>
      <c r="F55" s="73">
        <v>0</v>
      </c>
      <c r="G55" s="18">
        <f>E55+'23'!G55</f>
        <v>13161.29032258064</v>
      </c>
      <c r="H55" s="18">
        <f>F55+'23'!H55</f>
        <v>0</v>
      </c>
      <c r="I55" s="957">
        <f t="shared" si="4"/>
        <v>0</v>
      </c>
      <c r="J55" s="754">
        <v>0</v>
      </c>
      <c r="K55" s="67">
        <f>J55+'23'!K55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'23'!C56</f>
        <v>0</v>
      </c>
      <c r="D56" s="20">
        <f>'23'!D56</f>
        <v>0</v>
      </c>
      <c r="E56" s="240">
        <f t="shared" si="3"/>
        <v>0</v>
      </c>
      <c r="F56" s="73">
        <v>0</v>
      </c>
      <c r="G56" s="18">
        <f>E56+'23'!G56</f>
        <v>0</v>
      </c>
      <c r="H56" s="18">
        <f>F56+'23'!H56</f>
        <v>0</v>
      </c>
      <c r="I56" s="957">
        <f t="shared" si="4"/>
        <v>0</v>
      </c>
      <c r="J56" s="624"/>
      <c r="K56" s="67">
        <f>J56+'23'!K56</f>
        <v>0</v>
      </c>
      <c r="L56" s="60">
        <f t="shared" si="5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/>
      <c r="C57" s="20">
        <f>'23'!C57</f>
        <v>0</v>
      </c>
      <c r="D57" s="20">
        <f>'23'!D57</f>
        <v>178.07499999999999</v>
      </c>
      <c r="E57" s="240">
        <f t="shared" si="3"/>
        <v>0</v>
      </c>
      <c r="F57" s="73">
        <v>0</v>
      </c>
      <c r="G57" s="18">
        <f>E57+'23'!G57</f>
        <v>0</v>
      </c>
      <c r="H57" s="18">
        <f>F57+'23'!H57</f>
        <v>0</v>
      </c>
      <c r="I57" s="957">
        <f t="shared" si="4"/>
        <v>0</v>
      </c>
      <c r="J57" s="624"/>
      <c r="K57" s="67">
        <f>J57+'23'!K57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'23'!C58</f>
        <v>0</v>
      </c>
      <c r="D58" s="20">
        <f>'23'!D58</f>
        <v>3480.6937513418743</v>
      </c>
      <c r="E58" s="240">
        <f t="shared" si="3"/>
        <v>0</v>
      </c>
      <c r="F58" s="73">
        <v>0</v>
      </c>
      <c r="G58" s="18">
        <f>E58+'23'!G58</f>
        <v>0</v>
      </c>
      <c r="H58" s="18">
        <f>F58+'23'!H58</f>
        <v>0</v>
      </c>
      <c r="I58" s="957">
        <f t="shared" si="4"/>
        <v>0</v>
      </c>
      <c r="J58" s="754">
        <v>0</v>
      </c>
      <c r="K58" s="67">
        <f>J58+'23'!K58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'23'!D59</f>
        <v>4269.0880030013104</v>
      </c>
      <c r="E59" s="240"/>
      <c r="F59" s="73">
        <v>0</v>
      </c>
      <c r="G59" s="18"/>
      <c r="H59" s="18">
        <f>F59+'23'!H59</f>
        <v>0</v>
      </c>
      <c r="I59" s="957"/>
      <c r="J59" s="754"/>
      <c r="K59" s="67">
        <f>J59+'23'!K59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F60+'23'!H60</f>
        <v>0</v>
      </c>
      <c r="I60" s="957"/>
      <c r="J60" s="754"/>
      <c r="K60" s="67">
        <f>J60+'23'!K60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'23'!D61</f>
        <v>1063.653</v>
      </c>
      <c r="E61" s="240"/>
      <c r="F61" s="73"/>
      <c r="G61" s="18"/>
      <c r="H61" s="18">
        <f>F61+'23'!H61</f>
        <v>0</v>
      </c>
      <c r="I61" s="957"/>
      <c r="J61" s="624">
        <f>D139+D141</f>
        <v>0</v>
      </c>
      <c r="K61" s="67">
        <f>J61+'23'!K61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'23'!D62</f>
        <v>1531.7249999999999</v>
      </c>
      <c r="E62" s="529"/>
      <c r="F62" s="530">
        <v>0</v>
      </c>
      <c r="G62" s="531"/>
      <c r="H62" s="18">
        <f>F62+'23'!H62</f>
        <v>0</v>
      </c>
      <c r="I62" s="532"/>
      <c r="J62" s="754">
        <v>0</v>
      </c>
      <c r="K62" s="528">
        <f>J62+'23'!K62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'23'!C63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F63+'23'!H63</f>
        <v>3329.1499999999996</v>
      </c>
      <c r="I63" s="1064"/>
      <c r="J63" s="1065">
        <v>0</v>
      </c>
      <c r="K63" s="1066">
        <f>J63+'23'!K63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'23'!D64</f>
        <v>452.58776173652768</v>
      </c>
      <c r="E64" s="529"/>
      <c r="F64" s="530"/>
      <c r="G64" s="531"/>
      <c r="H64" s="18">
        <f>F64+'23'!H64</f>
        <v>0</v>
      </c>
      <c r="I64" s="532"/>
      <c r="J64" s="951"/>
      <c r="K64" s="528">
        <f>J64+'23'!K64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'23'!D65</f>
        <v>0</v>
      </c>
      <c r="E65" s="240"/>
      <c r="F65" s="73"/>
      <c r="G65" s="18"/>
      <c r="H65" s="18">
        <f>F65+'23'!H65</f>
        <v>0</v>
      </c>
      <c r="I65" s="957"/>
      <c r="J65" s="951"/>
      <c r="K65" s="67">
        <f>J65+'23'!K65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'23'!D66</f>
        <v>0</v>
      </c>
      <c r="E66" s="240"/>
      <c r="F66" s="73"/>
      <c r="G66" s="18"/>
      <c r="H66" s="18">
        <f>F66+'23'!H66</f>
        <v>0</v>
      </c>
      <c r="I66" s="957"/>
      <c r="J66" s="951"/>
      <c r="K66" s="67">
        <f>J66+'23'!K66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'23'!D67</f>
        <v>243.8</v>
      </c>
      <c r="E67" s="240"/>
      <c r="F67" s="73"/>
      <c r="G67" s="18"/>
      <c r="H67" s="18">
        <f>F67+'23'!H67</f>
        <v>0</v>
      </c>
      <c r="I67" s="957"/>
      <c r="J67" s="951"/>
      <c r="K67" s="67">
        <f>J67+'23'!K67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t="15" hidden="1" customHeight="1">
      <c r="A68" s="890" t="s">
        <v>220</v>
      </c>
      <c r="B68" s="59" t="s">
        <v>9</v>
      </c>
      <c r="C68" s="20"/>
      <c r="D68" s="20">
        <f>'23'!D68</f>
        <v>0</v>
      </c>
      <c r="E68" s="240"/>
      <c r="F68" s="73"/>
      <c r="G68" s="18"/>
      <c r="H68" s="18">
        <f>F68+'23'!H68</f>
        <v>0</v>
      </c>
      <c r="I68" s="957"/>
      <c r="J68" s="951"/>
      <c r="K68" s="67">
        <f>J68+'23'!K68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idden="1">
      <c r="A69" s="890" t="s">
        <v>242</v>
      </c>
      <c r="B69" s="59" t="s">
        <v>9</v>
      </c>
      <c r="C69" s="20"/>
      <c r="D69" s="20">
        <f>'23'!D69</f>
        <v>-14212.944176010715</v>
      </c>
      <c r="E69" s="240"/>
      <c r="F69" s="73">
        <v>0</v>
      </c>
      <c r="G69" s="18"/>
      <c r="H69" s="18">
        <f>F69+'23'!H69</f>
        <v>0</v>
      </c>
      <c r="I69" s="957"/>
      <c r="J69" s="755">
        <v>0</v>
      </c>
      <c r="K69" s="67">
        <f>J69+'23'!K69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t="15" hidden="1" customHeight="1">
      <c r="A70" s="890" t="s">
        <v>205</v>
      </c>
      <c r="B70" s="59" t="s">
        <v>9</v>
      </c>
      <c r="C70" s="20"/>
      <c r="D70" s="20">
        <f>'23'!D70</f>
        <v>17922.173606304772</v>
      </c>
      <c r="E70" s="240"/>
      <c r="F70" s="73"/>
      <c r="G70" s="18"/>
      <c r="H70" s="18">
        <f>F70+'23'!H70</f>
        <v>3329.1499999999996</v>
      </c>
      <c r="I70" s="957"/>
      <c r="J70" s="951"/>
      <c r="K70" s="67">
        <f>J70+'23'!K70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t="15" hidden="1" customHeight="1">
      <c r="A71" s="890" t="s">
        <v>228</v>
      </c>
      <c r="B71" s="59" t="s">
        <v>9</v>
      </c>
      <c r="C71" s="20"/>
      <c r="D71" s="20">
        <f>'23'!D71</f>
        <v>0</v>
      </c>
      <c r="E71" s="240"/>
      <c r="F71" s="73"/>
      <c r="G71" s="18"/>
      <c r="H71" s="18">
        <f>F71+'23'!H71</f>
        <v>0</v>
      </c>
      <c r="I71" s="957"/>
      <c r="J71" s="624"/>
      <c r="K71" s="67">
        <f>J71+'23'!K71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5" customHeight="1" thickBot="1">
      <c r="A72" s="383" t="s">
        <v>170</v>
      </c>
      <c r="B72" s="572" t="s">
        <v>9</v>
      </c>
      <c r="C72" s="557"/>
      <c r="D72" s="557">
        <f>'23'!D72</f>
        <v>145.84215184813729</v>
      </c>
      <c r="E72" s="389"/>
      <c r="F72" s="390">
        <f>N82</f>
        <v>0</v>
      </c>
      <c r="G72" s="391"/>
      <c r="H72" s="391">
        <f>F72+'23'!H72</f>
        <v>1911.376034856974</v>
      </c>
      <c r="I72" s="392"/>
      <c r="J72" s="952">
        <f>K131</f>
        <v>0</v>
      </c>
      <c r="K72" s="396">
        <f>J72+'23'!K72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'23'!D73</f>
        <v>0</v>
      </c>
      <c r="E73" s="814"/>
      <c r="F73" s="815"/>
      <c r="G73" s="816"/>
      <c r="H73" s="816">
        <f>F73+'23'!H73</f>
        <v>0</v>
      </c>
      <c r="I73" s="817"/>
      <c r="J73" s="814"/>
      <c r="K73" s="818">
        <f>J73+'23'!K73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287" t="s">
        <v>30</v>
      </c>
      <c r="B77" s="1288"/>
      <c r="C77" s="1288"/>
      <c r="D77" s="1288"/>
      <c r="E77" s="1288"/>
      <c r="F77" s="1288"/>
      <c r="G77" s="1288"/>
      <c r="H77" s="1288"/>
      <c r="I77" s="1288"/>
      <c r="J77" s="1288"/>
      <c r="K77" s="1288"/>
      <c r="L77" s="1288"/>
      <c r="M77" s="1288"/>
      <c r="N77" s="1288"/>
      <c r="O77" s="1288"/>
      <c r="P77" s="1289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8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8">
        <f>24*24-K80</f>
        <v>576</v>
      </c>
      <c r="M80" s="36">
        <f>K80/(24*24)</f>
        <v>0</v>
      </c>
      <c r="N80" s="965"/>
      <c r="O80" s="302">
        <f>N80+'23'!O80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8">
        <f>24*24-K81</f>
        <v>576</v>
      </c>
      <c r="M81" s="36">
        <f t="shared" ref="M81:M94" si="11">K81/(24*24)</f>
        <v>0</v>
      </c>
      <c r="N81" s="965"/>
      <c r="O81" s="302">
        <f>N81+'23'!O81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127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F82+'23'!K82</f>
        <v>43.903888888888886</v>
      </c>
      <c r="L82" s="192">
        <f>24*24-K82</f>
        <v>532.0961111111111</v>
      </c>
      <c r="M82" s="36">
        <f t="shared" si="11"/>
        <v>7.622202932098765E-2</v>
      </c>
      <c r="N82" s="716">
        <v>0</v>
      </c>
      <c r="O82" s="303">
        <f>N82+'23'!O82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F83+'23'!K83</f>
        <v>64.575555555555553</v>
      </c>
      <c r="L83" s="192">
        <f>G83+'23'!L83</f>
        <v>511.42444444444448</v>
      </c>
      <c r="M83" s="36">
        <f t="shared" si="11"/>
        <v>0.11211033950617283</v>
      </c>
      <c r="N83" s="716">
        <v>0</v>
      </c>
      <c r="O83" s="303">
        <f>N83+'23'!O83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F84+'23'!K84</f>
        <v>64.977499999999992</v>
      </c>
      <c r="L84" s="192">
        <f>G84+'23'!L84</f>
        <v>511.02250000000004</v>
      </c>
      <c r="M84" s="36">
        <f t="shared" si="11"/>
        <v>0.1128081597222222</v>
      </c>
      <c r="N84" s="716">
        <v>0</v>
      </c>
      <c r="O84" s="303">
        <f>N84+'23'!O84</f>
        <v>16874.071396806572</v>
      </c>
      <c r="P84" s="711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>
        <f>F85+'23'!K85</f>
        <v>0</v>
      </c>
      <c r="L85" s="192">
        <f>G85+'23'!L85</f>
        <v>576</v>
      </c>
      <c r="M85" s="36">
        <f>K85/(24*12)</f>
        <v>0</v>
      </c>
      <c r="N85" s="965">
        <v>0</v>
      </c>
      <c r="O85" s="302">
        <f>N85+'23'!O85</f>
        <v>0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F86+'23'!K86</f>
        <v>0</v>
      </c>
      <c r="L86" s="192">
        <f>G86+'23'!L86</f>
        <v>552</v>
      </c>
      <c r="M86" s="36">
        <f>K86/(24*12)</f>
        <v>0</v>
      </c>
      <c r="N86" s="965">
        <v>0</v>
      </c>
      <c r="O86" s="303">
        <f>N86+'23'!O86</f>
        <v>0</v>
      </c>
      <c r="P86" s="71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 t="shared" si="7"/>
        <v>0</v>
      </c>
      <c r="F87" s="134">
        <v>0</v>
      </c>
      <c r="G87" s="8">
        <f t="shared" si="8"/>
        <v>24</v>
      </c>
      <c r="H87" s="17">
        <f t="shared" si="9"/>
        <v>0</v>
      </c>
      <c r="I87" s="134">
        <f t="shared" si="13"/>
        <v>0</v>
      </c>
      <c r="J87" s="17">
        <f t="shared" si="10"/>
        <v>0</v>
      </c>
      <c r="K87" s="19">
        <f>F87+'23'!K87</f>
        <v>0</v>
      </c>
      <c r="L87" s="192">
        <f>G87+'23'!L87</f>
        <v>552</v>
      </c>
      <c r="M87" s="36">
        <f>K87/(24*12)</f>
        <v>0</v>
      </c>
      <c r="N87" s="965">
        <v>0</v>
      </c>
      <c r="O87" s="302">
        <f>N87+'23'!O87</f>
        <v>0</v>
      </c>
      <c r="P87" s="71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9"/>
        <v>0</v>
      </c>
      <c r="I88" s="134">
        <f t="shared" si="13"/>
        <v>0</v>
      </c>
      <c r="J88" s="17">
        <f t="shared" si="10"/>
        <v>0</v>
      </c>
      <c r="K88" s="19">
        <f>F88+'23'!K88</f>
        <v>0</v>
      </c>
      <c r="L88" s="192">
        <f>G88+'23'!L88</f>
        <v>552</v>
      </c>
      <c r="M88" s="36">
        <f>K88/(24*12)</f>
        <v>0</v>
      </c>
      <c r="N88" s="716">
        <v>0</v>
      </c>
      <c r="O88" s="303">
        <f>N88+'23'!O88</f>
        <v>0</v>
      </c>
      <c r="P88" s="71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'23'!C89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F89+'23'!K89</f>
        <v>1.6950000000000001</v>
      </c>
      <c r="L89" s="192">
        <f>G89+'23'!L89</f>
        <v>574.30500000000006</v>
      </c>
      <c r="M89" s="36">
        <f t="shared" si="11"/>
        <v>2.9427083333333336E-3</v>
      </c>
      <c r="N89" s="1001">
        <v>0</v>
      </c>
      <c r="O89" s="303">
        <f>N89+'23'!O89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'23'!C90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F90+'23'!K90</f>
        <v>32.664166666666674</v>
      </c>
      <c r="L90" s="192">
        <f>G90+'23'!L90</f>
        <v>543.33583333333331</v>
      </c>
      <c r="M90" s="36">
        <f t="shared" si="11"/>
        <v>5.67086226851852E-2</v>
      </c>
      <c r="N90" s="1001">
        <v>0</v>
      </c>
      <c r="O90" s="303">
        <f>N90+'23'!O90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F91+'23'!K91</f>
        <v>0</v>
      </c>
      <c r="L91" s="192">
        <f>G91+'23'!L91</f>
        <v>576</v>
      </c>
      <c r="M91" s="36">
        <f t="shared" si="11"/>
        <v>0</v>
      </c>
      <c r="N91" s="716">
        <v>0</v>
      </c>
      <c r="O91" s="303">
        <f>N91+'23'!O91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19">
        <f>F92+'23'!K92</f>
        <v>71.521666666666675</v>
      </c>
      <c r="L92" s="192">
        <f>G92+'23'!L92</f>
        <v>504.47833333333335</v>
      </c>
      <c r="M92" s="36">
        <f t="shared" si="11"/>
        <v>0.1241695601851852</v>
      </c>
      <c r="N92" s="716">
        <v>0</v>
      </c>
      <c r="O92" s="303">
        <f>N92+'23'!O92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19">
        <f>F93+'23'!K93</f>
        <v>64.288611111111109</v>
      </c>
      <c r="L93" s="192">
        <f>G93+'23'!L93</f>
        <v>511.71138888888891</v>
      </c>
      <c r="M93" s="36">
        <f t="shared" si="11"/>
        <v>0.11161217206790124</v>
      </c>
      <c r="N93" s="716">
        <v>0</v>
      </c>
      <c r="O93" s="303">
        <f>N93+'23'!O93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F94+'23'!K94</f>
        <v>32</v>
      </c>
      <c r="L94" s="874">
        <f>G94+'23'!L94</f>
        <v>544</v>
      </c>
      <c r="M94" s="873">
        <f t="shared" si="11"/>
        <v>5.5555555555555552E-2</v>
      </c>
      <c r="N94" s="966">
        <f>E111+E120+E121+E122</f>
        <v>0</v>
      </c>
      <c r="O94" s="871">
        <f>N94+'23'!O94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F95+'23'!K95</f>
        <v>7</v>
      </c>
      <c r="L95" s="709">
        <f>G95+'23'!L95</f>
        <v>569</v>
      </c>
      <c r="M95" s="712">
        <f>K95/(24*24)</f>
        <v>1.2152777777777778E-2</v>
      </c>
      <c r="N95" s="967">
        <f>E112+E114+E115+E118+E119</f>
        <v>0</v>
      </c>
      <c r="O95" s="713">
        <f>N95+'23'!O95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247"/>
      <c r="N96" s="247"/>
      <c r="O96" s="247"/>
      <c r="P96" s="247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47"/>
      <c r="N97" s="247"/>
      <c r="O97" s="247"/>
      <c r="P97" s="247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47"/>
      <c r="N98" s="247"/>
      <c r="O98" s="247"/>
      <c r="P98" s="247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05" t="s">
        <v>3</v>
      </c>
      <c r="H99" s="12" t="s">
        <v>2</v>
      </c>
      <c r="I99" s="806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4921</v>
      </c>
      <c r="E100" s="30">
        <f>E101+E110</f>
        <v>0</v>
      </c>
      <c r="F100" s="29">
        <f t="shared" ref="F100:F114" si="15">IFERROR((E100/D100),0)</f>
        <v>0</v>
      </c>
      <c r="G100" s="51">
        <f>G101+G110</f>
        <v>151788</v>
      </c>
      <c r="H100" s="30">
        <f>H101+H110</f>
        <v>19708.249999999993</v>
      </c>
      <c r="I100" s="29">
        <f t="shared" ref="I100:I114" si="16">IFERROR((H100/G100),0)</f>
        <v>0.12984063298811496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4921</v>
      </c>
      <c r="E101" s="24">
        <f>SUM(E102:E109)</f>
        <v>0</v>
      </c>
      <c r="F101" s="23">
        <f t="shared" si="15"/>
        <v>0</v>
      </c>
      <c r="G101" s="555">
        <f>SUM(G102:G109)</f>
        <v>109834</v>
      </c>
      <c r="H101" s="24">
        <f>SUM(H102:H109)</f>
        <v>15844.349999999995</v>
      </c>
      <c r="I101" s="23">
        <f t="shared" si="16"/>
        <v>0.14425724274814716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D102+'23'!G102</f>
        <v>0</v>
      </c>
      <c r="H102" s="192">
        <f>E102+'23'!H102</f>
        <v>0</v>
      </c>
      <c r="I102" s="17">
        <f t="shared" si="16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345</v>
      </c>
      <c r="E103" s="166">
        <v>0</v>
      </c>
      <c r="F103" s="17">
        <f t="shared" si="15"/>
        <v>0</v>
      </c>
      <c r="G103" s="741">
        <f>D103+'23'!G103</f>
        <v>8940</v>
      </c>
      <c r="H103" s="64">
        <f>E103+'23'!H103</f>
        <v>0</v>
      </c>
      <c r="I103" s="17">
        <f t="shared" si="16"/>
        <v>0</v>
      </c>
      <c r="J103" s="1341"/>
      <c r="K103" s="1343"/>
      <c r="L103" s="247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4438</v>
      </c>
      <c r="E104" s="110">
        <v>0</v>
      </c>
      <c r="F104" s="17">
        <f t="shared" si="15"/>
        <v>0</v>
      </c>
      <c r="G104" s="19">
        <f>D104+'23'!G104</f>
        <v>97268</v>
      </c>
      <c r="H104" s="192">
        <f>E104+'23'!H104</f>
        <v>12980.249999999995</v>
      </c>
      <c r="I104" s="17">
        <f t="shared" si="16"/>
        <v>0.13344830776822794</v>
      </c>
      <c r="J104" s="1341"/>
      <c r="K104" s="1343"/>
      <c r="L104" s="247"/>
      <c r="M104" s="247"/>
      <c r="N104" s="247"/>
      <c r="O104" s="247"/>
      <c r="P104" s="16"/>
      <c r="T104" s="2"/>
    </row>
    <row r="105" spans="1:20">
      <c r="A105" s="254" t="s">
        <v>191</v>
      </c>
      <c r="B105" s="9" t="s">
        <v>9</v>
      </c>
      <c r="C105" s="20">
        <f>'01'!C105</f>
        <v>0</v>
      </c>
      <c r="D105" s="19">
        <v>0</v>
      </c>
      <c r="E105" s="110">
        <v>0</v>
      </c>
      <c r="F105" s="17">
        <f t="shared" si="15"/>
        <v>0</v>
      </c>
      <c r="G105" s="19">
        <f>D105+'23'!G105</f>
        <v>0</v>
      </c>
      <c r="H105" s="192">
        <f>E105+'23'!H105</f>
        <v>475.6</v>
      </c>
      <c r="I105" s="17">
        <f t="shared" si="16"/>
        <v>0</v>
      </c>
      <c r="J105" s="1341"/>
      <c r="K105" s="1343"/>
      <c r="L105" s="16"/>
      <c r="M105" s="16"/>
      <c r="N105" s="247"/>
      <c r="O105" s="247"/>
      <c r="P105" s="16"/>
      <c r="Q105" s="6"/>
      <c r="T105" s="2"/>
    </row>
    <row r="106" spans="1:20" outlineLevel="1">
      <c r="A106" s="44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5"/>
        <v>0</v>
      </c>
      <c r="G106" s="19">
        <f>D106+'23'!G106</f>
        <v>0</v>
      </c>
      <c r="H106" s="192">
        <f>E106+'23'!H106</f>
        <v>1280.3</v>
      </c>
      <c r="I106" s="17">
        <f t="shared" si="16"/>
        <v>0</v>
      </c>
      <c r="J106" s="1341"/>
      <c r="K106" s="1343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9">
        <f>D107+'23'!G107</f>
        <v>0</v>
      </c>
      <c r="H107" s="192">
        <f>E107+'23'!H107</f>
        <v>0</v>
      </c>
      <c r="I107" s="17">
        <f t="shared" si="16"/>
        <v>0</v>
      </c>
      <c r="J107" s="1341"/>
      <c r="K107" s="1343"/>
      <c r="L107" s="247"/>
      <c r="M107" s="24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9">
        <v>113</v>
      </c>
      <c r="E108" s="110">
        <v>0</v>
      </c>
      <c r="F108" s="17">
        <f t="shared" si="15"/>
        <v>0</v>
      </c>
      <c r="G108" s="19">
        <f>D108+'23'!G108</f>
        <v>2701</v>
      </c>
      <c r="H108" s="192">
        <f>E108+'23'!H108</f>
        <v>826.59999999999991</v>
      </c>
      <c r="I108" s="17">
        <f t="shared" si="16"/>
        <v>0.30603480192521287</v>
      </c>
      <c r="J108" s="807"/>
      <c r="K108" s="808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9">
        <v>25</v>
      </c>
      <c r="E109" s="110">
        <v>0</v>
      </c>
      <c r="F109" s="17">
        <f t="shared" si="15"/>
        <v>0</v>
      </c>
      <c r="G109" s="19">
        <f>D109+'23'!G109</f>
        <v>925</v>
      </c>
      <c r="H109" s="192">
        <f>E109+'23'!H109</f>
        <v>281.59999999999997</v>
      </c>
      <c r="I109" s="17">
        <f t="shared" si="16"/>
        <v>0.3044324324324324</v>
      </c>
      <c r="J109" s="807"/>
      <c r="K109" s="808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1811</v>
      </c>
      <c r="E110" s="24">
        <f>SUM(E111:E122)</f>
        <v>0</v>
      </c>
      <c r="F110" s="1054">
        <f>IFERROR((E110/D110),0)</f>
        <v>0</v>
      </c>
      <c r="G110" s="735">
        <f>SUM(G111:G122)</f>
        <v>41954</v>
      </c>
      <c r="H110" s="24">
        <f>SUM(H111:H122)</f>
        <v>3863.8999999999996</v>
      </c>
      <c r="I110" s="1054">
        <f>IFERROR((H110/G110),0)</f>
        <v>9.2098488821089758E-2</v>
      </c>
      <c r="J110" s="807"/>
      <c r="K110" s="808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D111+'23'!G111</f>
        <v>0</v>
      </c>
      <c r="H111" s="18">
        <f>E111+'23'!H111</f>
        <v>1026.1499999999999</v>
      </c>
      <c r="I111" s="17">
        <f>IFERROR((H111/G111),0)</f>
        <v>0</v>
      </c>
      <c r="J111" s="1341"/>
      <c r="K111" s="1343"/>
      <c r="L111" s="16"/>
      <c r="M111" s="15"/>
      <c r="N111" s="16"/>
      <c r="O111" s="16"/>
      <c r="P111" s="16"/>
      <c r="Q111" s="28"/>
      <c r="S111" s="1"/>
      <c r="T111" s="2"/>
    </row>
    <row r="112" spans="1:20" outlineLevel="1">
      <c r="A112" s="254" t="s">
        <v>252</v>
      </c>
      <c r="B112" s="9" t="s">
        <v>9</v>
      </c>
      <c r="C112" s="297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D112+'23'!G112</f>
        <v>0</v>
      </c>
      <c r="H112" s="18">
        <f>E112+'23'!H112</f>
        <v>994.39999999999986</v>
      </c>
      <c r="I112" s="17">
        <f>IFERROR((H112/G112),0)</f>
        <v>0</v>
      </c>
      <c r="J112" s="1319"/>
      <c r="K112" s="1321"/>
      <c r="L112" s="16"/>
      <c r="M112" s="15"/>
      <c r="N112" s="247"/>
      <c r="O112" s="247"/>
      <c r="P112" s="16"/>
      <c r="T112" s="2"/>
    </row>
    <row r="113" spans="1:20" outlineLevel="1">
      <c r="A113" s="254" t="s">
        <v>253</v>
      </c>
      <c r="B113" s="9" t="s">
        <v>9</v>
      </c>
      <c r="C113" s="297">
        <f>'01'!C113</f>
        <v>0</v>
      </c>
      <c r="D113" s="134">
        <v>0</v>
      </c>
      <c r="E113" s="110">
        <v>0</v>
      </c>
      <c r="F113" s="17">
        <f t="shared" si="15"/>
        <v>0</v>
      </c>
      <c r="G113" s="19">
        <f>D113+'23'!G113</f>
        <v>0</v>
      </c>
      <c r="H113" s="18">
        <f>E113+'23'!H113</f>
        <v>20</v>
      </c>
      <c r="I113" s="17">
        <f t="shared" si="16"/>
        <v>0</v>
      </c>
      <c r="J113" s="803"/>
      <c r="K113" s="804"/>
      <c r="L113" s="7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767" t="s">
        <v>9</v>
      </c>
      <c r="C114" s="297">
        <f>'01'!C114</f>
        <v>500</v>
      </c>
      <c r="D114" s="134">
        <v>16</v>
      </c>
      <c r="E114" s="166">
        <v>0</v>
      </c>
      <c r="F114" s="739">
        <f t="shared" si="15"/>
        <v>0</v>
      </c>
      <c r="G114" s="19">
        <f>D114+'23'!G114</f>
        <v>384</v>
      </c>
      <c r="H114" s="18">
        <f>E114+'23'!H114</f>
        <v>0</v>
      </c>
      <c r="I114" s="739">
        <f t="shared" si="16"/>
        <v>0</v>
      </c>
      <c r="J114" s="1365"/>
      <c r="K114" s="1366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>
        <f>IFERROR((E115/D115),0)</f>
        <v>0</v>
      </c>
      <c r="G115" s="19">
        <f>D115+'23'!G115</f>
        <v>0</v>
      </c>
      <c r="H115" s="18">
        <f>E115+'23'!H115</f>
        <v>0</v>
      </c>
      <c r="I115" s="17">
        <f>IFERROR((H115/G115),0)</f>
        <v>0</v>
      </c>
      <c r="J115" s="803"/>
      <c r="K115" s="804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ref="F116:F122" si="17">IFERROR((E116/D116),0)</f>
        <v>0</v>
      </c>
      <c r="G116" s="19">
        <f>D116+'23'!G116</f>
        <v>0</v>
      </c>
      <c r="H116" s="18">
        <f>E116+'23'!H116</f>
        <v>0</v>
      </c>
      <c r="I116" s="17">
        <f t="shared" ref="I116:I122" si="18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7"/>
        <v>0</v>
      </c>
      <c r="G117" s="19">
        <f>D117+'23'!G117</f>
        <v>0</v>
      </c>
      <c r="H117" s="18">
        <f>E117+'23'!H117</f>
        <v>0</v>
      </c>
      <c r="I117" s="17">
        <f t="shared" si="18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345</v>
      </c>
      <c r="E118" s="110">
        <v>0</v>
      </c>
      <c r="F118" s="17">
        <f t="shared" si="17"/>
        <v>0</v>
      </c>
      <c r="G118" s="19">
        <f>D118+'23'!G118</f>
        <v>8330</v>
      </c>
      <c r="H118" s="18">
        <f>E118+'23'!H118</f>
        <v>0</v>
      </c>
      <c r="I118" s="17">
        <f t="shared" si="18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7"/>
        <v>0</v>
      </c>
      <c r="G119" s="19">
        <f>D119+'23'!G119</f>
        <v>0</v>
      </c>
      <c r="H119" s="18">
        <f>E119+'23'!H119</f>
        <v>0</v>
      </c>
      <c r="I119" s="17">
        <f t="shared" si="18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1118</v>
      </c>
      <c r="E120" s="110">
        <v>0</v>
      </c>
      <c r="F120" s="17">
        <f t="shared" si="17"/>
        <v>0</v>
      </c>
      <c r="G120" s="19">
        <f>D120+'23'!G120</f>
        <v>17588</v>
      </c>
      <c r="H120" s="18">
        <f>E120+'23'!H120</f>
        <v>0</v>
      </c>
      <c r="I120" s="17">
        <f t="shared" si="18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272</v>
      </c>
      <c r="E121" s="110">
        <v>0</v>
      </c>
      <c r="F121" s="17">
        <f t="shared" si="17"/>
        <v>0</v>
      </c>
      <c r="G121" s="19">
        <f>D121+'23'!G121</f>
        <v>1088</v>
      </c>
      <c r="H121" s="18">
        <f>E121+'23'!H121</f>
        <v>0</v>
      </c>
      <c r="I121" s="17">
        <f t="shared" si="18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60</v>
      </c>
      <c r="E122" s="110">
        <v>0</v>
      </c>
      <c r="F122" s="17">
        <f t="shared" si="17"/>
        <v>0</v>
      </c>
      <c r="G122" s="19">
        <f>D122+'23'!G122</f>
        <v>14564</v>
      </c>
      <c r="H122" s="18">
        <f>E122+'23'!H122</f>
        <v>1823.35</v>
      </c>
      <c r="I122" s="17">
        <f t="shared" si="18"/>
        <v>0.12519568799780278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3" t="s">
        <v>4</v>
      </c>
      <c r="H124" s="1303"/>
      <c r="I124" s="1304"/>
      <c r="J124" s="792" t="s">
        <v>89</v>
      </c>
      <c r="K124" s="354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268"/>
      <c r="C125" s="1334"/>
      <c r="D125" s="1023" t="s">
        <v>3</v>
      </c>
      <c r="E125" s="12" t="s">
        <v>2</v>
      </c>
      <c r="F125" s="1024" t="s">
        <v>1</v>
      </c>
      <c r="G125" s="13" t="s">
        <v>3</v>
      </c>
      <c r="H125" s="12" t="s">
        <v>2</v>
      </c>
      <c r="I125" s="793" t="s">
        <v>1</v>
      </c>
      <c r="J125" s="824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47.511876430833958</v>
      </c>
      <c r="F126" s="356">
        <f>IFERROR(E126/D126,0)</f>
        <v>1.1731327513786163</v>
      </c>
      <c r="G126" s="204">
        <v>40.5</v>
      </c>
      <c r="H126" s="200">
        <v>43.004494866638758</v>
      </c>
      <c r="I126" s="356">
        <f>IFERROR(H126/G126,0)</f>
        <v>1.0618393794231793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17.508499833876641</v>
      </c>
      <c r="F127" s="356">
        <f t="shared" ref="F127:F132" si="19">IFERROR(E127/D127,0)</f>
        <v>1.0299117549339201</v>
      </c>
      <c r="G127" s="204">
        <v>17</v>
      </c>
      <c r="H127" s="200">
        <v>17.857912834970772</v>
      </c>
      <c r="I127" s="356">
        <f t="shared" ref="I127:I132" si="20">IFERROR(H127/G127,0)</f>
        <v>1.0504654608806336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9"/>
        <v>0</v>
      </c>
      <c r="G128" s="267">
        <v>3</v>
      </c>
      <c r="H128" s="256">
        <f>P132</f>
        <v>2.7306506005953359</v>
      </c>
      <c r="I128" s="157">
        <f t="shared" si="20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24.09194621432227</v>
      </c>
      <c r="F129" s="157">
        <f t="shared" si="19"/>
        <v>1.1472355340153462</v>
      </c>
      <c r="G129" s="204">
        <v>21</v>
      </c>
      <c r="H129" s="200">
        <v>21.056429568095503</v>
      </c>
      <c r="I129" s="157">
        <f t="shared" si="20"/>
        <v>1.002687122290262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1.5073637934680346</v>
      </c>
      <c r="F130" s="157">
        <f t="shared" si="19"/>
        <v>3.5889614130191302E-2</v>
      </c>
      <c r="G130" s="204">
        <v>42</v>
      </c>
      <c r="H130" s="200">
        <v>9.2733476954960281</v>
      </c>
      <c r="I130" s="157">
        <f t="shared" si="20"/>
        <v>0.22079399274990544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24.819794494339263</v>
      </c>
      <c r="F131" s="157">
        <f t="shared" si="19"/>
        <v>0.70913698555255034</v>
      </c>
      <c r="G131" s="204">
        <v>35</v>
      </c>
      <c r="H131" s="200">
        <v>33.172425614100803</v>
      </c>
      <c r="I131" s="157">
        <f t="shared" si="20"/>
        <v>0.9477835889743087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1025">
        <v>70.471216992008763</v>
      </c>
      <c r="F132" s="684">
        <f t="shared" si="19"/>
        <v>0.69988297737619187</v>
      </c>
      <c r="G132" s="688">
        <v>100.69</v>
      </c>
      <c r="H132" s="683">
        <v>83.832869961665068</v>
      </c>
      <c r="I132" s="684">
        <f t="shared" si="20"/>
        <v>0.83258387090738972</v>
      </c>
      <c r="N132" s="727" t="s">
        <v>188</v>
      </c>
      <c r="O132" s="704">
        <f>O131+'23'!O132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130859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1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2">IFERROR(C139/$B$139,0)</f>
        <v>0</v>
      </c>
      <c r="D140" s="335">
        <f t="shared" si="22"/>
        <v>0</v>
      </c>
      <c r="E140" s="335">
        <f t="shared" si="22"/>
        <v>0</v>
      </c>
      <c r="F140" s="335">
        <f t="shared" si="22"/>
        <v>0</v>
      </c>
      <c r="G140" s="335">
        <f t="shared" si="22"/>
        <v>0</v>
      </c>
      <c r="H140" s="335">
        <f t="shared" si="22"/>
        <v>0</v>
      </c>
      <c r="I140" s="326">
        <f t="shared" si="21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1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3">IFERROR(C141/$B$141,0)</f>
        <v>0</v>
      </c>
      <c r="D142" s="335">
        <f t="shared" si="23"/>
        <v>0</v>
      </c>
      <c r="E142" s="335">
        <f t="shared" si="23"/>
        <v>0</v>
      </c>
      <c r="F142" s="335">
        <f t="shared" si="23"/>
        <v>0</v>
      </c>
      <c r="G142" s="335">
        <f t="shared" si="23"/>
        <v>0</v>
      </c>
      <c r="H142" s="335">
        <f t="shared" si="23"/>
        <v>0</v>
      </c>
      <c r="I142" s="326">
        <f t="shared" si="21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1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154833</v>
      </c>
    </row>
    <row r="144" spans="1:20" ht="16.5" thickBot="1">
      <c r="A144" s="321"/>
      <c r="B144" s="336"/>
      <c r="C144" s="335">
        <f t="shared" ref="C144:H144" si="24">IFERROR(C143/$B$143,0)</f>
        <v>0</v>
      </c>
      <c r="D144" s="335">
        <f t="shared" si="24"/>
        <v>0</v>
      </c>
      <c r="E144" s="335">
        <f t="shared" si="24"/>
        <v>0</v>
      </c>
      <c r="F144" s="335">
        <f t="shared" si="24"/>
        <v>0</v>
      </c>
      <c r="G144" s="335">
        <f t="shared" si="24"/>
        <v>0</v>
      </c>
      <c r="H144" s="335">
        <f t="shared" si="24"/>
        <v>0</v>
      </c>
      <c r="I144" s="326">
        <f t="shared" si="21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1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5">IFERROR(C145/$B$145,0)</f>
        <v>0</v>
      </c>
      <c r="D146" s="335">
        <f t="shared" si="25"/>
        <v>0</v>
      </c>
      <c r="E146" s="335">
        <f t="shared" si="25"/>
        <v>0</v>
      </c>
      <c r="F146" s="335">
        <f t="shared" si="25"/>
        <v>0</v>
      </c>
      <c r="G146" s="335">
        <f t="shared" si="25"/>
        <v>0</v>
      </c>
      <c r="H146" s="335">
        <f t="shared" si="25"/>
        <v>0</v>
      </c>
      <c r="I146" s="326">
        <f t="shared" si="21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1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6">IFERROR(C147/$B$147,0)</f>
        <v>0</v>
      </c>
      <c r="D148" s="335">
        <f t="shared" si="26"/>
        <v>0</v>
      </c>
      <c r="E148" s="335">
        <f t="shared" si="26"/>
        <v>0</v>
      </c>
      <c r="F148" s="335">
        <f t="shared" si="26"/>
        <v>0</v>
      </c>
      <c r="G148" s="335">
        <f t="shared" si="26"/>
        <v>0</v>
      </c>
      <c r="H148" s="335">
        <f t="shared" si="26"/>
        <v>0</v>
      </c>
      <c r="I148" s="326">
        <f t="shared" si="21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7">B139+B141+B143+B145+B147</f>
        <v>0</v>
      </c>
      <c r="C149" s="349">
        <f t="shared" si="27"/>
        <v>0</v>
      </c>
      <c r="D149" s="349">
        <f t="shared" si="27"/>
        <v>0</v>
      </c>
      <c r="E149" s="349">
        <f>E139+E141+E143+E145+E147</f>
        <v>0</v>
      </c>
      <c r="F149" s="349">
        <f t="shared" si="27"/>
        <v>0</v>
      </c>
      <c r="G149" s="349">
        <f t="shared" si="27"/>
        <v>0</v>
      </c>
      <c r="H149" s="349">
        <f t="shared" si="27"/>
        <v>0</v>
      </c>
      <c r="I149" s="324">
        <f t="shared" si="27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8">IFERROR(C149/$B$149,0)</f>
        <v>0</v>
      </c>
      <c r="D150" s="346">
        <f t="shared" si="28"/>
        <v>0</v>
      </c>
      <c r="E150" s="346">
        <f t="shared" si="28"/>
        <v>0</v>
      </c>
      <c r="F150" s="346">
        <f t="shared" si="28"/>
        <v>0</v>
      </c>
      <c r="G150" s="346">
        <f t="shared" si="28"/>
        <v>0</v>
      </c>
      <c r="H150" s="346">
        <f t="shared" si="28"/>
        <v>0</v>
      </c>
      <c r="I150" s="481">
        <f>SUM(C150:H150)</f>
        <v>0</v>
      </c>
      <c r="K150" s="374"/>
      <c r="L150" s="375"/>
      <c r="M150" s="372"/>
      <c r="N150" s="373"/>
    </row>
  </sheetData>
  <mergeCells count="112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6383" man="1"/>
  </rowBreaks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14999847407452621"/>
    <pageSetUpPr fitToPage="1"/>
  </sheetPr>
  <dimension ref="A1:AF150"/>
  <sheetViews>
    <sheetView view="pageBreakPreview" zoomScale="70" zoomScaleNormal="80" zoomScaleSheetLayoutView="70" workbookViewId="0">
      <pane xSplit="2" ySplit="4" topLeftCell="C120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2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27" width="9.140625" style="1"/>
    <col min="28" max="28" width="15.28515625" style="1" customWidth="1"/>
    <col min="29" max="29" width="14.85546875" style="1" bestFit="1" customWidth="1"/>
    <col min="30" max="30" width="13.42578125" style="1" bestFit="1" customWidth="1"/>
    <col min="31" max="31" width="9.140625" style="1"/>
    <col min="32" max="32" width="13.42578125" style="1" bestFit="1" customWidth="1"/>
    <col min="33" max="16384" width="9.140625" style="1"/>
  </cols>
  <sheetData>
    <row r="1" spans="1:32" ht="20.25">
      <c r="A1" s="1264" t="str">
        <f>CONCATENATE("Ежедневный отчет производства и отгрузки за 25 ",Q1)</f>
        <v>Ежедневный отчет производства и отгрузки за 25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32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32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32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32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 t="shared" si="0"/>
        <v>0</v>
      </c>
      <c r="G5" s="30">
        <f t="shared" si="0"/>
        <v>120600</v>
      </c>
      <c r="H5" s="30">
        <f t="shared" si="0"/>
        <v>16874.071396806572</v>
      </c>
      <c r="I5" s="29">
        <f>IFERROR((H5/G5),0)</f>
        <v>0.13991767327368634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32">
      <c r="A6" s="41" t="s">
        <v>218</v>
      </c>
      <c r="B6" s="26" t="s">
        <v>9</v>
      </c>
      <c r="C6" s="25">
        <f>'01'!C6</f>
        <v>0</v>
      </c>
      <c r="D6" s="20">
        <f>'01'!D6</f>
        <v>15952.919765534218</v>
      </c>
      <c r="E6" s="19">
        <v>0</v>
      </c>
      <c r="F6" s="18"/>
      <c r="G6" s="18">
        <f>E6+'24'!G6</f>
        <v>0</v>
      </c>
      <c r="H6" s="18">
        <f>F6+'24'!H6</f>
        <v>6671.6154299884374</v>
      </c>
      <c r="I6" s="17"/>
      <c r="J6" s="949"/>
      <c r="K6" s="67">
        <f>J6+'24'!K6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32" hidden="1" outlineLevel="1">
      <c r="A7" s="79" t="s">
        <v>219</v>
      </c>
      <c r="B7" s="26" t="s">
        <v>9</v>
      </c>
      <c r="C7" s="25"/>
      <c r="D7" s="149">
        <f>'01'!D7</f>
        <v>0</v>
      </c>
      <c r="E7" s="19"/>
      <c r="F7" s="18">
        <v>0</v>
      </c>
      <c r="G7" s="24"/>
      <c r="H7" s="18">
        <f>F7+'24'!H7</f>
        <v>0</v>
      </c>
      <c r="I7" s="17"/>
      <c r="J7" s="949"/>
      <c r="K7" s="67">
        <f>J7+'24'!K7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32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F8+'24'!H8</f>
        <v>0</v>
      </c>
      <c r="I8" s="17"/>
      <c r="J8" s="949"/>
      <c r="K8" s="67">
        <f>J8+'24'!K8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32" collapsed="1">
      <c r="A9" s="41" t="s">
        <v>65</v>
      </c>
      <c r="B9" s="26" t="s">
        <v>9</v>
      </c>
      <c r="C9" s="25">
        <f>'01'!C9</f>
        <v>160800</v>
      </c>
      <c r="D9" s="25">
        <f>'01'!D9</f>
        <v>127072.29376141207</v>
      </c>
      <c r="E9" s="97">
        <v>6700</v>
      </c>
      <c r="F9" s="24">
        <f>F10+F11+F12+F13</f>
        <v>0</v>
      </c>
      <c r="G9" s="24">
        <f>E9+'24'!G9</f>
        <v>120600</v>
      </c>
      <c r="H9" s="24">
        <f>F9+'24'!H9</f>
        <v>10202.455966818135</v>
      </c>
      <c r="I9" s="17">
        <f>IFERROR((H9/G9),0)</f>
        <v>8.4597478995175251E-2</v>
      </c>
      <c r="J9" s="946">
        <f>J10+J11+J12+J13</f>
        <v>0</v>
      </c>
      <c r="K9" s="47">
        <f>J9+'24'!K9</f>
        <v>17027.103675312697</v>
      </c>
      <c r="L9" s="25">
        <f>D9+H9-K9+M9+N9</f>
        <v>120247.64605291751</v>
      </c>
      <c r="M9" s="53"/>
      <c r="N9" s="53">
        <f>N10</f>
        <v>0</v>
      </c>
      <c r="O9" s="1246"/>
      <c r="P9" s="1247"/>
      <c r="Q9" s="604">
        <v>-23266.571785975502</v>
      </c>
      <c r="R9" s="602">
        <f>J9-Q9</f>
        <v>23266.571785975502</v>
      </c>
      <c r="S9" s="614"/>
      <c r="T9" s="2"/>
    </row>
    <row r="10" spans="1:32">
      <c r="A10" s="74" t="s">
        <v>64</v>
      </c>
      <c r="B10" s="26" t="s">
        <v>9</v>
      </c>
      <c r="C10" s="25">
        <f>'01'!C10</f>
        <v>0</v>
      </c>
      <c r="D10" s="20">
        <f>'01'!D10</f>
        <v>56300.273909357406</v>
      </c>
      <c r="E10" s="48"/>
      <c r="F10" s="110">
        <v>0</v>
      </c>
      <c r="G10" s="24">
        <f>E10+'24'!G10</f>
        <v>0</v>
      </c>
      <c r="H10" s="18">
        <f>F10+'24'!H10</f>
        <v>10202.455966818135</v>
      </c>
      <c r="I10" s="17"/>
      <c r="J10" s="178">
        <v>0</v>
      </c>
      <c r="K10" s="67">
        <f>J10+'24'!K10</f>
        <v>17027.103675312697</v>
      </c>
      <c r="L10" s="149">
        <f>D10+H10-K10+M10+N10</f>
        <v>49475.62620086284</v>
      </c>
      <c r="M10" s="53"/>
      <c r="N10" s="101"/>
      <c r="O10" s="1246"/>
      <c r="P10" s="1247"/>
      <c r="Q10" s="604"/>
      <c r="R10" s="602"/>
      <c r="Z10" s="1" t="s">
        <v>236</v>
      </c>
      <c r="AA10" s="1">
        <f>2921.177+11806.423+753.24+11800+824.182</f>
        <v>28105.022000000001</v>
      </c>
      <c r="AB10" s="1035">
        <v>45811</v>
      </c>
      <c r="AC10" s="1037">
        <v>706.55499999999995</v>
      </c>
      <c r="AD10" s="1" t="s">
        <v>237</v>
      </c>
      <c r="AF10" s="1">
        <v>15782.84</v>
      </c>
    </row>
    <row r="11" spans="1:32">
      <c r="A11" s="74" t="s">
        <v>244</v>
      </c>
      <c r="B11" s="26" t="s">
        <v>9</v>
      </c>
      <c r="C11" s="25">
        <f>'01'!C11</f>
        <v>0</v>
      </c>
      <c r="D11" s="20">
        <f>'01'!D11</f>
        <v>18224.01726010743</v>
      </c>
      <c r="E11" s="48"/>
      <c r="F11" s="18"/>
      <c r="G11" s="24">
        <f>E11+'24'!G11</f>
        <v>0</v>
      </c>
      <c r="H11" s="18">
        <f>F11+'24'!H11</f>
        <v>0</v>
      </c>
      <c r="I11" s="17"/>
      <c r="J11" s="178">
        <v>0</v>
      </c>
      <c r="K11" s="67">
        <f>J11+'24'!K11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  <c r="AA11" s="1037"/>
      <c r="AB11" s="1" t="s">
        <v>237</v>
      </c>
    </row>
    <row r="12" spans="1:32" outlineLevel="1">
      <c r="A12" s="79" t="s">
        <v>154</v>
      </c>
      <c r="B12" s="26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E12+'24'!G12</f>
        <v>0</v>
      </c>
      <c r="H12" s="18">
        <f>F12+'24'!H12</f>
        <v>0</v>
      </c>
      <c r="I12" s="955">
        <f>IFERROR((H12/G12),0)</f>
        <v>0</v>
      </c>
      <c r="J12" s="949"/>
      <c r="K12" s="67">
        <f>J12+'24'!K12</f>
        <v>0</v>
      </c>
      <c r="L12" s="149">
        <f>D12+H12-K12</f>
        <v>52548.002591947239</v>
      </c>
      <c r="M12" s="53"/>
      <c r="N12" s="53"/>
      <c r="O12" s="1246"/>
      <c r="P12" s="1247"/>
      <c r="Q12" s="604"/>
      <c r="R12" s="602"/>
      <c r="AA12" s="1037"/>
      <c r="AB12" s="1" t="s">
        <v>237</v>
      </c>
    </row>
    <row r="13" spans="1:32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E13+'24'!G13</f>
        <v>0</v>
      </c>
      <c r="H13" s="110">
        <f>F13+'24'!H13</f>
        <v>0</v>
      </c>
      <c r="I13" s="17"/>
      <c r="J13" s="178"/>
      <c r="K13" s="124">
        <f>J13+'24'!K13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  <c r="AA13" s="1037"/>
      <c r="AB13" s="1" t="s">
        <v>237</v>
      </c>
    </row>
    <row r="14" spans="1:32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6508.9999999999991</v>
      </c>
      <c r="F14" s="30">
        <f>SUM(F15:F21)</f>
        <v>0</v>
      </c>
      <c r="G14" s="30">
        <f>SUM(G15:G21)</f>
        <v>157372</v>
      </c>
      <c r="H14" s="30">
        <f>SUM(H15:H21)</f>
        <v>18857.68830004807</v>
      </c>
      <c r="I14" s="29">
        <f t="shared" ref="I14:I21" si="1">IFERROR((H14/G14),0)</f>
        <v>0.11982873891192887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  <c r="Y14" s="1">
        <f>706.555+569.039+858.869</f>
        <v>2134.4630000000002</v>
      </c>
      <c r="Z14" s="1035">
        <v>45817</v>
      </c>
      <c r="AA14" s="1037">
        <v>569.03899999999999</v>
      </c>
      <c r="AB14" s="1" t="s">
        <v>237</v>
      </c>
    </row>
    <row r="15" spans="1:32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8"/>
      <c r="G15" s="24">
        <f>E15+'24'!G15</f>
        <v>0</v>
      </c>
      <c r="H15" s="24">
        <f>F15+'24'!H15</f>
        <v>0</v>
      </c>
      <c r="I15" s="17">
        <f t="shared" si="1"/>
        <v>0</v>
      </c>
      <c r="J15" s="192">
        <v>0</v>
      </c>
      <c r="K15" s="67">
        <f>J15+'24'!K15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  <c r="AA15" s="1037"/>
      <c r="AB15" s="1" t="s">
        <v>237</v>
      </c>
    </row>
    <row r="16" spans="1:32" outlineLevel="1">
      <c r="A16" s="44" t="s">
        <v>254</v>
      </c>
      <c r="B16" s="9" t="s">
        <v>9</v>
      </c>
      <c r="C16" s="68">
        <f>'01'!C16</f>
        <v>44352</v>
      </c>
      <c r="D16" s="68">
        <f>'01'!D16</f>
        <v>6069.3572595923979</v>
      </c>
      <c r="E16" s="134">
        <v>1480.143396226415</v>
      </c>
      <c r="F16" s="171">
        <v>0</v>
      </c>
      <c r="G16" s="18">
        <f>E16+'24'!G16</f>
        <v>35786.315340442983</v>
      </c>
      <c r="H16" s="18">
        <f>F16+'24'!H16</f>
        <v>3228.5002277343951</v>
      </c>
      <c r="I16" s="956">
        <f t="shared" si="1"/>
        <v>9.0216055970584616E-2</v>
      </c>
      <c r="J16" s="751">
        <f>IFERROR(SUMIF(A101:A114,A16,E101:E114),0)+E111+E112+E113</f>
        <v>0</v>
      </c>
      <c r="K16" s="67">
        <f>J16+'24'!K16</f>
        <v>3320.85</v>
      </c>
      <c r="L16" s="398">
        <f t="shared" ref="L16:L37" si="2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  <c r="AA16" s="1037"/>
      <c r="AB16" s="1" t="s">
        <v>237</v>
      </c>
    </row>
    <row r="17" spans="1:30" ht="18" customHeight="1">
      <c r="A17" s="733" t="s">
        <v>262</v>
      </c>
      <c r="B17" s="9" t="s">
        <v>9</v>
      </c>
      <c r="C17" s="68">
        <f>'01'!C17</f>
        <v>0</v>
      </c>
      <c r="D17" s="68">
        <f>'01'!D17</f>
        <v>483.23739591927495</v>
      </c>
      <c r="E17" s="108">
        <v>0</v>
      </c>
      <c r="F17" s="173">
        <v>0</v>
      </c>
      <c r="G17" s="18">
        <f>E17+'24'!G17</f>
        <v>0</v>
      </c>
      <c r="H17" s="18">
        <f>F17+'24'!H17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J17+'24'!K17</f>
        <v>0</v>
      </c>
      <c r="L17" s="398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  <c r="Z17" s="1035">
        <v>45818</v>
      </c>
      <c r="AA17" s="1037">
        <v>858.86900000000003</v>
      </c>
      <c r="AB17" s="1" t="s">
        <v>237</v>
      </c>
    </row>
    <row r="18" spans="1:30" ht="15" customHeight="1">
      <c r="A18" s="44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E18+'24'!G18</f>
        <v>0</v>
      </c>
      <c r="H18" s="18">
        <f>F18+'24'!H18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J18+'24'!K18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  <c r="Z18" s="1035">
        <v>45820</v>
      </c>
      <c r="AA18" s="1037">
        <v>450.46899999999999</v>
      </c>
      <c r="AB18" s="1" t="s">
        <v>237</v>
      </c>
    </row>
    <row r="19" spans="1:30" s="56" customFormat="1">
      <c r="A19" s="123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4864.7299528301883</v>
      </c>
      <c r="F19" s="131">
        <v>0</v>
      </c>
      <c r="G19" s="18">
        <f>E19+'24'!G19</f>
        <v>117617.4961033634</v>
      </c>
      <c r="H19" s="18">
        <f>F19+'24'!H19</f>
        <v>15629.188072313675</v>
      </c>
      <c r="I19" s="957">
        <f t="shared" si="1"/>
        <v>0.13288148949012307</v>
      </c>
      <c r="J19" s="751">
        <f>IFERROR(SUMIF(A102:A115,A19,E102:E115),0)+E117+E115+E122</f>
        <v>0</v>
      </c>
      <c r="K19" s="67">
        <f>J19+'24'!K19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  <c r="Z19" s="1036">
        <v>45826</v>
      </c>
      <c r="AA19" s="1038">
        <v>537.56399999999996</v>
      </c>
      <c r="AB19" s="1" t="s">
        <v>237</v>
      </c>
      <c r="AD19" s="567">
        <f>AF10-AC38</f>
        <v>7837.29</v>
      </c>
    </row>
    <row r="20" spans="1:30">
      <c r="A20" s="4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118.73985849056604</v>
      </c>
      <c r="F20" s="110">
        <v>0</v>
      </c>
      <c r="G20" s="18">
        <f>E20+'24'!G20</f>
        <v>2870.8448318293686</v>
      </c>
      <c r="H20" s="18">
        <f>F20+'24'!H20</f>
        <v>0</v>
      </c>
      <c r="I20" s="17">
        <f t="shared" si="1"/>
        <v>0</v>
      </c>
      <c r="J20" s="751">
        <f>IFERROR(SUMIF(A102:A115,A20,E102:E115),0)</f>
        <v>0</v>
      </c>
      <c r="K20" s="67">
        <f>J20+'24'!K20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  <c r="AA20" s="1037"/>
      <c r="AB20" s="1" t="s">
        <v>237</v>
      </c>
    </row>
    <row r="21" spans="1:30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45.386792452830186</v>
      </c>
      <c r="F21" s="110">
        <v>0</v>
      </c>
      <c r="G21" s="18">
        <f>E21+'24'!G21</f>
        <v>1097.3437243642329</v>
      </c>
      <c r="H21" s="18">
        <f>F21+'24'!H21</f>
        <v>0</v>
      </c>
      <c r="I21" s="17">
        <f t="shared" si="1"/>
        <v>0</v>
      </c>
      <c r="J21" s="751">
        <f>IFERROR(SUMIF(A102:A115,A21,E102:E115),0)</f>
        <v>0</v>
      </c>
      <c r="K21" s="67">
        <f>J21+'24'!K21</f>
        <v>0</v>
      </c>
      <c r="L21" s="60">
        <f t="shared" si="2"/>
        <v>8.7766238721087575E-11</v>
      </c>
      <c r="M21" s="409"/>
      <c r="N21" s="429"/>
      <c r="O21" s="1252"/>
      <c r="P21" s="1253"/>
      <c r="Q21" s="602"/>
      <c r="R21" s="602"/>
      <c r="Z21" s="1035">
        <v>45827</v>
      </c>
      <c r="AA21" s="1037">
        <v>767.19100000000003</v>
      </c>
      <c r="AB21" s="1" t="s">
        <v>237</v>
      </c>
    </row>
    <row r="22" spans="1:30">
      <c r="A22" s="733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98">
        <v>0</v>
      </c>
      <c r="G22" s="18">
        <f>E22+'24'!G22</f>
        <v>1100</v>
      </c>
      <c r="H22" s="18">
        <f>F22+'24'!H22</f>
        <v>2130.1044634377968</v>
      </c>
      <c r="I22" s="23"/>
      <c r="J22" s="751">
        <f>IFERROR(SUMIF(A103:A123,A22,E103:E123),0)+E109</f>
        <v>0</v>
      </c>
      <c r="K22" s="67">
        <f>J22+'24'!K22</f>
        <v>757.20000000000016</v>
      </c>
      <c r="L22" s="60">
        <f t="shared" si="2"/>
        <v>4206.655098319975</v>
      </c>
      <c r="M22" s="409"/>
      <c r="N22" s="429"/>
      <c r="O22" s="1325"/>
      <c r="P22" s="1253"/>
      <c r="Q22" s="602"/>
      <c r="R22" s="602"/>
      <c r="Z22" s="1035">
        <v>45828</v>
      </c>
      <c r="AA22" s="1037">
        <f>523.125+694.88</f>
        <v>1218.0050000000001</v>
      </c>
      <c r="AB22" s="1" t="s">
        <v>237</v>
      </c>
    </row>
    <row r="23" spans="1:30" s="4" customFormat="1">
      <c r="A23" s="24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E23+'24'!G23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J23+'24'!K23</f>
        <v>20</v>
      </c>
      <c r="L23" s="584">
        <f>D23+H23-K23+M23</f>
        <v>32</v>
      </c>
      <c r="M23" s="416"/>
      <c r="N23" s="432"/>
      <c r="O23" s="1256"/>
      <c r="P23" s="1257"/>
      <c r="Q23" s="606"/>
      <c r="R23" s="606"/>
      <c r="S23" s="616"/>
      <c r="T23" s="3"/>
      <c r="AB23" s="1035">
        <v>45831</v>
      </c>
      <c r="AC23" s="1037">
        <v>495.49900000000002</v>
      </c>
      <c r="AD23" s="1" t="s">
        <v>237</v>
      </c>
    </row>
    <row r="24" spans="1:30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E24+'24'!G24</f>
        <v>0</v>
      </c>
      <c r="H24" s="18">
        <f>F24+'24'!H24</f>
        <v>0</v>
      </c>
      <c r="I24" s="23"/>
      <c r="J24" s="752">
        <v>0</v>
      </c>
      <c r="K24" s="67">
        <f>J24+'24'!K24</f>
        <v>0</v>
      </c>
      <c r="L24" s="60">
        <f t="shared" si="2"/>
        <v>0</v>
      </c>
      <c r="M24" s="416"/>
      <c r="N24" s="432"/>
      <c r="O24" s="921"/>
      <c r="P24" s="922"/>
      <c r="Q24" s="606"/>
      <c r="R24" s="606"/>
      <c r="S24" s="616"/>
      <c r="T24" s="3"/>
      <c r="AB24" s="1"/>
      <c r="AC24" s="1037"/>
      <c r="AD24" s="1" t="s">
        <v>237</v>
      </c>
    </row>
    <row r="25" spans="1:30" s="4" customFormat="1" hidden="1" outlineLevel="1">
      <c r="A25" s="4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E25+'24'!G25</f>
        <v>0</v>
      </c>
      <c r="H25" s="18">
        <f>F25+'24'!H25</f>
        <v>0</v>
      </c>
      <c r="I25" s="23"/>
      <c r="J25" s="752">
        <v>0</v>
      </c>
      <c r="K25" s="67">
        <f>J25+'24'!K25</f>
        <v>20</v>
      </c>
      <c r="L25" s="60">
        <f t="shared" si="2"/>
        <v>-4</v>
      </c>
      <c r="M25" s="416"/>
      <c r="N25" s="432"/>
      <c r="O25" s="921"/>
      <c r="P25" s="922"/>
      <c r="Q25" s="606"/>
      <c r="R25" s="606"/>
      <c r="S25" s="616"/>
      <c r="T25" s="3"/>
      <c r="AB25" s="1"/>
      <c r="AC25" s="1037"/>
      <c r="AD25" s="1" t="s">
        <v>237</v>
      </c>
    </row>
    <row r="26" spans="1:30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E26+'24'!G26</f>
        <v>0</v>
      </c>
      <c r="H26" s="18">
        <f>F26+'24'!H26</f>
        <v>0</v>
      </c>
      <c r="I26" s="23"/>
      <c r="J26" s="752">
        <v>0</v>
      </c>
      <c r="K26" s="67">
        <f>J26+'24'!K26</f>
        <v>0</v>
      </c>
      <c r="L26" s="60">
        <f t="shared" si="2"/>
        <v>36</v>
      </c>
      <c r="M26" s="416"/>
      <c r="N26" s="432"/>
      <c r="O26" s="921"/>
      <c r="P26" s="922"/>
      <c r="Q26" s="606"/>
      <c r="R26" s="606"/>
      <c r="S26" s="616"/>
      <c r="T26" s="3"/>
      <c r="AB26" s="1"/>
      <c r="AC26" s="1037"/>
      <c r="AD26" s="1" t="s">
        <v>237</v>
      </c>
    </row>
    <row r="27" spans="1:30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E27+'24'!G27</f>
        <v>0</v>
      </c>
      <c r="H27" s="18">
        <f>F27+'24'!H27</f>
        <v>0</v>
      </c>
      <c r="I27" s="23"/>
      <c r="J27" s="752"/>
      <c r="K27" s="67">
        <f>J27+'24'!K27</f>
        <v>0</v>
      </c>
      <c r="L27" s="60">
        <f t="shared" si="2"/>
        <v>0</v>
      </c>
      <c r="M27" s="416"/>
      <c r="N27" s="432"/>
      <c r="O27" s="921"/>
      <c r="P27" s="922"/>
      <c r="Q27" s="606"/>
      <c r="R27" s="606"/>
      <c r="S27" s="616"/>
      <c r="T27" s="3"/>
      <c r="AB27" s="1"/>
      <c r="AC27" s="1037"/>
      <c r="AD27" s="1" t="s">
        <v>237</v>
      </c>
    </row>
    <row r="28" spans="1:30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E28+'24'!G28</f>
        <v>0</v>
      </c>
      <c r="H28" s="18">
        <f>F28+'24'!H28</f>
        <v>0</v>
      </c>
      <c r="I28" s="23"/>
      <c r="J28" s="752"/>
      <c r="K28" s="67">
        <f>J28+'24'!K28</f>
        <v>0</v>
      </c>
      <c r="L28" s="60">
        <f t="shared" si="2"/>
        <v>0</v>
      </c>
      <c r="M28" s="416"/>
      <c r="N28" s="432"/>
      <c r="O28" s="921"/>
      <c r="P28" s="922"/>
      <c r="Q28" s="606"/>
      <c r="R28" s="606"/>
      <c r="S28" s="616"/>
      <c r="T28" s="3"/>
      <c r="AB28" s="1"/>
      <c r="AC28" s="1037"/>
      <c r="AD28" s="1" t="s">
        <v>237</v>
      </c>
    </row>
    <row r="29" spans="1:30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E29+'24'!G29</f>
        <v>0</v>
      </c>
      <c r="H29" s="18">
        <f>F29+'24'!H29</f>
        <v>0</v>
      </c>
      <c r="I29" s="23"/>
      <c r="J29" s="752"/>
      <c r="K29" s="67">
        <f>J29+'24'!K29</f>
        <v>0</v>
      </c>
      <c r="L29" s="60">
        <f t="shared" si="2"/>
        <v>0</v>
      </c>
      <c r="M29" s="416"/>
      <c r="N29" s="432"/>
      <c r="O29" s="921"/>
      <c r="P29" s="922"/>
      <c r="Q29" s="606"/>
      <c r="R29" s="606"/>
      <c r="S29" s="616"/>
      <c r="T29" s="3"/>
      <c r="AB29" s="1"/>
      <c r="AC29" s="1037"/>
      <c r="AD29" s="1" t="s">
        <v>237</v>
      </c>
    </row>
    <row r="30" spans="1:30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E30+'24'!G30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J30+'24'!K30</f>
        <v>994.39999999999986</v>
      </c>
      <c r="L30" s="584">
        <f t="shared" si="2"/>
        <v>1073.6000000000001</v>
      </c>
      <c r="M30" s="416"/>
      <c r="N30" s="432"/>
      <c r="O30" s="1375"/>
      <c r="P30" s="1257"/>
      <c r="Q30" s="606"/>
      <c r="R30" s="606"/>
      <c r="S30" s="616"/>
      <c r="T30" s="3"/>
      <c r="AB30" s="1035">
        <v>45832</v>
      </c>
      <c r="AC30" s="1037">
        <v>533.61500000000001</v>
      </c>
      <c r="AD30" s="1" t="s">
        <v>237</v>
      </c>
    </row>
    <row r="31" spans="1:30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E31+'24'!G31</f>
        <v>0</v>
      </c>
      <c r="H31" s="18">
        <f>F31+'24'!H31</f>
        <v>0</v>
      </c>
      <c r="I31" s="23"/>
      <c r="J31" s="865">
        <v>0</v>
      </c>
      <c r="K31" s="67">
        <f>J31+'24'!K31</f>
        <v>0</v>
      </c>
      <c r="L31" s="60">
        <f t="shared" si="2"/>
        <v>0</v>
      </c>
      <c r="M31" s="416"/>
      <c r="N31" s="432"/>
      <c r="O31" s="921"/>
      <c r="P31" s="922"/>
      <c r="Q31" s="606"/>
      <c r="R31" s="606"/>
      <c r="S31" s="616"/>
      <c r="T31" s="3"/>
      <c r="AB31" s="1"/>
      <c r="AC31" s="1037"/>
      <c r="AD31" s="1" t="s">
        <v>237</v>
      </c>
    </row>
    <row r="32" spans="1:30" s="4" customFormat="1" hidden="1" outlineLevel="1">
      <c r="A32" s="44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E32+'24'!G32</f>
        <v>0</v>
      </c>
      <c r="H32" s="18">
        <f>F32+'24'!H32</f>
        <v>554.40000000000009</v>
      </c>
      <c r="I32" s="23"/>
      <c r="J32" s="865">
        <v>0</v>
      </c>
      <c r="K32" s="67">
        <f>J32+'24'!K32</f>
        <v>994.39999999999986</v>
      </c>
      <c r="L32" s="60">
        <f t="shared" si="2"/>
        <v>1068.3200000000004</v>
      </c>
      <c r="M32" s="416"/>
      <c r="N32" s="432"/>
      <c r="O32" s="921"/>
      <c r="P32" s="922"/>
      <c r="Q32" s="606"/>
      <c r="R32" s="606"/>
      <c r="S32" s="616"/>
      <c r="T32" s="3"/>
      <c r="AB32" s="1"/>
      <c r="AC32" s="1037"/>
      <c r="AD32" s="1" t="s">
        <v>237</v>
      </c>
    </row>
    <row r="33" spans="1:30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E33+'24'!G33</f>
        <v>0</v>
      </c>
      <c r="H33" s="18">
        <f>F33+'24'!H33</f>
        <v>0</v>
      </c>
      <c r="I33" s="23"/>
      <c r="J33" s="865">
        <v>0</v>
      </c>
      <c r="K33" s="67">
        <f>J33+'24'!K33</f>
        <v>0</v>
      </c>
      <c r="L33" s="60">
        <f t="shared" si="2"/>
        <v>5.28</v>
      </c>
      <c r="M33" s="416"/>
      <c r="N33" s="432"/>
      <c r="O33" s="921"/>
      <c r="P33" s="922"/>
      <c r="Q33" s="606"/>
      <c r="R33" s="606"/>
      <c r="S33" s="616"/>
      <c r="T33" s="3"/>
      <c r="AB33" s="1"/>
      <c r="AC33" s="1037"/>
      <c r="AD33" s="1" t="s">
        <v>237</v>
      </c>
    </row>
    <row r="34" spans="1:30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E34+'24'!G34</f>
        <v>0</v>
      </c>
      <c r="H34" s="18">
        <f>F34+'24'!H34</f>
        <v>0</v>
      </c>
      <c r="I34" s="23"/>
      <c r="J34" s="865"/>
      <c r="K34" s="67">
        <f>J34+'24'!K34</f>
        <v>0</v>
      </c>
      <c r="L34" s="60">
        <f t="shared" si="2"/>
        <v>0</v>
      </c>
      <c r="M34" s="416"/>
      <c r="N34" s="432"/>
      <c r="O34" s="921"/>
      <c r="P34" s="922"/>
      <c r="Q34" s="606"/>
      <c r="R34" s="606"/>
      <c r="S34" s="616"/>
      <c r="T34" s="3"/>
      <c r="AB34" s="1"/>
      <c r="AC34" s="1037"/>
      <c r="AD34" s="1" t="s">
        <v>237</v>
      </c>
    </row>
    <row r="35" spans="1:30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E35+'24'!G35</f>
        <v>0</v>
      </c>
      <c r="H35" s="18">
        <f>F35+'24'!H35</f>
        <v>0</v>
      </c>
      <c r="I35" s="23"/>
      <c r="J35" s="865"/>
      <c r="K35" s="67">
        <f>J35+'24'!K35</f>
        <v>0</v>
      </c>
      <c r="L35" s="60">
        <f t="shared" si="2"/>
        <v>0</v>
      </c>
      <c r="M35" s="416"/>
      <c r="N35" s="432"/>
      <c r="O35" s="921"/>
      <c r="P35" s="922"/>
      <c r="Q35" s="606"/>
      <c r="R35" s="606"/>
      <c r="S35" s="616"/>
      <c r="T35" s="3"/>
      <c r="AB35" s="1"/>
      <c r="AC35" s="1037"/>
      <c r="AD35" s="1" t="s">
        <v>237</v>
      </c>
    </row>
    <row r="36" spans="1:30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E36+'24'!G36</f>
        <v>0</v>
      </c>
      <c r="H36" s="18">
        <f>F36+'24'!H36</f>
        <v>0</v>
      </c>
      <c r="I36" s="23"/>
      <c r="J36" s="110">
        <v>0</v>
      </c>
      <c r="K36" s="67">
        <f>J36+'24'!K36</f>
        <v>0</v>
      </c>
      <c r="L36" s="60">
        <f t="shared" si="2"/>
        <v>1673.24</v>
      </c>
      <c r="M36" s="416"/>
      <c r="N36" s="432"/>
      <c r="O36" s="921"/>
      <c r="P36" s="922"/>
      <c r="Q36" s="606"/>
      <c r="R36" s="606"/>
      <c r="S36" s="616"/>
      <c r="T36" s="3"/>
      <c r="AB36" s="1035">
        <v>45834</v>
      </c>
      <c r="AC36" s="1037">
        <v>679.05600000000004</v>
      </c>
      <c r="AD36" s="1" t="s">
        <v>237</v>
      </c>
    </row>
    <row r="37" spans="1:30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E37+'24'!G37</f>
        <v>0</v>
      </c>
      <c r="H37" s="18">
        <f>F37+'24'!H37</f>
        <v>0</v>
      </c>
      <c r="I37" s="23"/>
      <c r="J37" s="110">
        <v>0</v>
      </c>
      <c r="K37" s="67">
        <f>J37+'24'!K37</f>
        <v>0</v>
      </c>
      <c r="L37" s="60">
        <f t="shared" si="2"/>
        <v>294.63999999999987</v>
      </c>
      <c r="M37" s="416"/>
      <c r="N37" s="432"/>
      <c r="O37" s="921"/>
      <c r="P37" s="922"/>
      <c r="Q37" s="606"/>
      <c r="R37" s="606"/>
      <c r="S37" s="616"/>
      <c r="T37" s="3"/>
      <c r="AB37" s="1035">
        <v>45835</v>
      </c>
      <c r="AC37" s="1037">
        <v>272.572</v>
      </c>
      <c r="AD37" s="1" t="s">
        <v>237</v>
      </c>
    </row>
    <row r="38" spans="1:30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E38+'24'!G38</f>
        <v>124159.76375629062</v>
      </c>
      <c r="H38" s="671">
        <f>F38+'24'!H38</f>
        <v>9132.5707721894778</v>
      </c>
      <c r="I38" s="958">
        <f>IFERROR((H38/G38),0)</f>
        <v>7.3554994757524833E-2</v>
      </c>
      <c r="J38" s="753">
        <f>SUM(J39:J40)</f>
        <v>0</v>
      </c>
      <c r="K38" s="672">
        <f>J38+'24'!K38</f>
        <v>9083.5707721894778</v>
      </c>
      <c r="L38" s="310">
        <f>D38+H38-K38</f>
        <v>1805.9829593932955</v>
      </c>
      <c r="M38" s="76"/>
      <c r="N38" s="45"/>
      <c r="O38" s="1256"/>
      <c r="P38" s="1257"/>
      <c r="Q38" s="607"/>
      <c r="R38" s="602"/>
      <c r="S38" s="614"/>
      <c r="T38" s="33"/>
      <c r="AB38" s="1035">
        <v>45838</v>
      </c>
      <c r="AC38" s="1037">
        <f>2690.557+5254.993</f>
        <v>7945.55</v>
      </c>
      <c r="AD38" s="1" t="s">
        <v>236</v>
      </c>
    </row>
    <row r="39" spans="1:30" ht="15.75" customHeight="1">
      <c r="A39" s="74" t="s">
        <v>91</v>
      </c>
      <c r="B39" s="9" t="s">
        <v>9</v>
      </c>
      <c r="C39" s="20"/>
      <c r="D39" s="20"/>
      <c r="E39" s="48"/>
      <c r="F39" s="110">
        <v>0</v>
      </c>
      <c r="G39" s="18"/>
      <c r="H39" s="18">
        <f>F39+'24'!H39</f>
        <v>6840.5707721894778</v>
      </c>
      <c r="I39" s="17"/>
      <c r="J39" s="750">
        <f>F39</f>
        <v>0</v>
      </c>
      <c r="K39" s="67">
        <f>J39+'24'!K39</f>
        <v>6840.5707721894778</v>
      </c>
      <c r="L39" s="25"/>
      <c r="M39" s="76"/>
      <c r="N39" s="45"/>
      <c r="O39" s="1256"/>
      <c r="P39" s="1257"/>
      <c r="Q39" s="607"/>
      <c r="R39" s="602"/>
      <c r="S39" s="614"/>
      <c r="T39" s="2"/>
      <c r="AB39" s="4" t="s">
        <v>100</v>
      </c>
      <c r="AC39" s="1039">
        <f>SUM(AC10:AC38)</f>
        <v>10632.847000000002</v>
      </c>
    </row>
    <row r="40" spans="1:30" ht="15.75" customHeight="1">
      <c r="A40" s="74" t="s">
        <v>109</v>
      </c>
      <c r="B40" s="9" t="s">
        <v>9</v>
      </c>
      <c r="C40" s="20"/>
      <c r="D40" s="20"/>
      <c r="E40" s="48"/>
      <c r="F40" s="110">
        <v>0</v>
      </c>
      <c r="G40" s="18"/>
      <c r="H40" s="18">
        <f>F40+'24'!H40</f>
        <v>2292</v>
      </c>
      <c r="I40" s="17"/>
      <c r="J40" s="178">
        <v>0</v>
      </c>
      <c r="K40" s="67">
        <f>J40+'24'!K40</f>
        <v>2243</v>
      </c>
      <c r="L40" s="25"/>
      <c r="M40" s="76"/>
      <c r="N40" s="45"/>
      <c r="O40" s="1256"/>
      <c r="P40" s="1257"/>
      <c r="Q40" s="607"/>
      <c r="R40" s="602"/>
      <c r="S40" s="614"/>
      <c r="T40" s="2"/>
    </row>
    <row r="41" spans="1:30" ht="15.75" hidden="1" customHeight="1" outlineLevel="1">
      <c r="A41" s="74" t="s">
        <v>67</v>
      </c>
      <c r="B41" s="9" t="s">
        <v>9</v>
      </c>
      <c r="C41" s="20"/>
      <c r="D41" s="20"/>
      <c r="E41" s="48"/>
      <c r="F41" s="18"/>
      <c r="G41" s="18"/>
      <c r="H41" s="18">
        <f>F41+'24'!H41</f>
        <v>0</v>
      </c>
      <c r="I41" s="17"/>
      <c r="J41" s="192"/>
      <c r="K41" s="67">
        <f>J41+'24'!K41</f>
        <v>0</v>
      </c>
      <c r="L41" s="25"/>
      <c r="M41" s="76"/>
      <c r="N41" s="45"/>
      <c r="O41" s="1256"/>
      <c r="P41" s="1257"/>
      <c r="Q41" s="607"/>
      <c r="R41" s="602"/>
      <c r="S41" s="614"/>
      <c r="T41" s="2"/>
    </row>
    <row r="42" spans="1:30" ht="15.75" hidden="1" customHeight="1" outlineLevel="1">
      <c r="A42" s="74" t="s">
        <v>68</v>
      </c>
      <c r="B42" s="9" t="s">
        <v>9</v>
      </c>
      <c r="C42" s="20"/>
      <c r="D42" s="20"/>
      <c r="E42" s="48"/>
      <c r="F42" s="18"/>
      <c r="G42" s="18"/>
      <c r="H42" s="18">
        <f>F42+'24'!H42</f>
        <v>0</v>
      </c>
      <c r="I42" s="17"/>
      <c r="J42" s="192"/>
      <c r="K42" s="67">
        <f>J42+'24'!K42</f>
        <v>0</v>
      </c>
      <c r="L42" s="25"/>
      <c r="M42" s="76"/>
      <c r="N42" s="45"/>
      <c r="O42" s="1256"/>
      <c r="P42" s="1257"/>
      <c r="Q42" s="607"/>
      <c r="R42" s="602"/>
      <c r="S42" s="614"/>
      <c r="T42" s="2"/>
    </row>
    <row r="43" spans="1:30" ht="15.75" customHeight="1" collapsed="1">
      <c r="A43" s="74" t="s">
        <v>63</v>
      </c>
      <c r="B43" s="9" t="s">
        <v>9</v>
      </c>
      <c r="C43" s="20">
        <f>'24'!C43</f>
        <v>96601.878796744204</v>
      </c>
      <c r="D43" s="20"/>
      <c r="E43" s="312">
        <f>C43/30</f>
        <v>3220.06262655814</v>
      </c>
      <c r="F43" s="110">
        <v>0</v>
      </c>
      <c r="G43" s="18">
        <f>E43+'24'!G43</f>
        <v>80501.565663953472</v>
      </c>
      <c r="H43" s="18">
        <f>F43+'24'!H43</f>
        <v>8403.7999999999993</v>
      </c>
      <c r="I43" s="17">
        <f>IFERROR((H43/G43),0)</f>
        <v>0.10439300069120276</v>
      </c>
      <c r="J43" s="192">
        <f>F43</f>
        <v>0</v>
      </c>
      <c r="K43" s="67">
        <f>J43+'24'!K43</f>
        <v>8403.7999999999993</v>
      </c>
      <c r="L43" s="20">
        <f>D43+H43-K43</f>
        <v>0</v>
      </c>
      <c r="M43" s="76"/>
      <c r="N43" s="42"/>
      <c r="O43" s="1332"/>
      <c r="P43" s="1333"/>
      <c r="Q43" s="607"/>
      <c r="R43" s="602"/>
      <c r="S43" s="614"/>
      <c r="T43" s="2"/>
    </row>
    <row r="44" spans="1:30" s="4" customFormat="1">
      <c r="A44" s="74" t="s">
        <v>40</v>
      </c>
      <c r="B44" s="9" t="s">
        <v>9</v>
      </c>
      <c r="C44" s="20">
        <f>'24'!C44</f>
        <v>40846.933088751408</v>
      </c>
      <c r="D44" s="20">
        <f>'24'!D44</f>
        <v>3759.4565289122183</v>
      </c>
      <c r="E44" s="707">
        <f>C44/30</f>
        <v>1361.5644362917135</v>
      </c>
      <c r="F44" s="110">
        <v>0</v>
      </c>
      <c r="G44" s="18">
        <f>E44+'24'!G44</f>
        <v>34039.110907292823</v>
      </c>
      <c r="H44" s="18">
        <f>F44+'24'!H44</f>
        <v>7255</v>
      </c>
      <c r="I44" s="17">
        <f>IFERROR((H44/G44),0)</f>
        <v>0.21313717681285349</v>
      </c>
      <c r="J44" s="178">
        <v>0</v>
      </c>
      <c r="K44" s="67">
        <f>J44+'24'!K44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2"/>
    </row>
    <row r="45" spans="1:30" s="4" customFormat="1" hidden="1" outlineLevel="2">
      <c r="A45" s="74" t="s">
        <v>70</v>
      </c>
      <c r="B45" s="26"/>
      <c r="C45" s="20"/>
      <c r="D45" s="20"/>
      <c r="E45" s="48"/>
      <c r="F45" s="24">
        <v>0</v>
      </c>
      <c r="G45" s="24"/>
      <c r="H45" s="18">
        <f>F45+'24'!H45</f>
        <v>0</v>
      </c>
      <c r="I45" s="17"/>
      <c r="J45" s="192"/>
      <c r="K45" s="67">
        <f>J45+'24'!K45</f>
        <v>0</v>
      </c>
      <c r="L45" s="25"/>
      <c r="M45" s="76"/>
      <c r="N45" s="45"/>
      <c r="O45" s="1256"/>
      <c r="P45" s="1257"/>
      <c r="Q45" s="607"/>
      <c r="R45" s="606"/>
      <c r="S45" s="614"/>
      <c r="T45" s="2"/>
    </row>
    <row r="46" spans="1:30" s="4" customFormat="1" hidden="1" outlineLevel="2">
      <c r="A46" s="74" t="s">
        <v>71</v>
      </c>
      <c r="B46" s="26"/>
      <c r="C46" s="20"/>
      <c r="D46" s="20"/>
      <c r="E46" s="48"/>
      <c r="F46" s="18"/>
      <c r="G46" s="18"/>
      <c r="H46" s="18">
        <f>F46+'24'!H46</f>
        <v>0</v>
      </c>
      <c r="I46" s="17"/>
      <c r="J46" s="192"/>
      <c r="K46" s="67">
        <f>J46+'24'!K46</f>
        <v>0</v>
      </c>
      <c r="L46" s="25"/>
      <c r="M46" s="418"/>
      <c r="N46" s="262"/>
      <c r="O46" s="1369"/>
      <c r="P46" s="1370"/>
      <c r="Q46" s="607"/>
      <c r="R46" s="606"/>
      <c r="S46" s="614"/>
      <c r="T46" s="2"/>
    </row>
    <row r="47" spans="1:30" s="4" customFormat="1" hidden="1" outlineLevel="1">
      <c r="A47" s="74" t="s">
        <v>72</v>
      </c>
      <c r="B47" s="26"/>
      <c r="C47" s="20"/>
      <c r="D47" s="20"/>
      <c r="E47" s="48"/>
      <c r="F47" s="24"/>
      <c r="G47" s="24"/>
      <c r="H47" s="24">
        <f>F47+'24'!H47</f>
        <v>0</v>
      </c>
      <c r="I47" s="23"/>
      <c r="J47" s="192"/>
      <c r="K47" s="67">
        <f>J47+'24'!K47</f>
        <v>0</v>
      </c>
      <c r="L47" s="25"/>
      <c r="M47" s="418"/>
      <c r="N47" s="262"/>
      <c r="O47" s="1369"/>
      <c r="P47" s="1370"/>
      <c r="Q47" s="607"/>
      <c r="R47" s="606"/>
      <c r="S47" s="614"/>
      <c r="T47" s="2"/>
    </row>
    <row r="48" spans="1:30" s="4" customFormat="1" collapsed="1">
      <c r="A48" s="74" t="s">
        <v>106</v>
      </c>
      <c r="B48" s="9" t="s">
        <v>9</v>
      </c>
      <c r="C48" s="20">
        <f>'24'!C48</f>
        <v>238663.46526254449</v>
      </c>
      <c r="D48" s="20">
        <f>'24'!D48</f>
        <v>14554.971764167974</v>
      </c>
      <c r="E48" s="19">
        <f>C48/30</f>
        <v>7955.4488420848165</v>
      </c>
      <c r="F48" s="110">
        <v>0</v>
      </c>
      <c r="G48" s="18">
        <f>E48+'24'!G48</f>
        <v>198886.22105212047</v>
      </c>
      <c r="H48" s="18">
        <f>F48+'24'!H48</f>
        <v>15244.370772189477</v>
      </c>
      <c r="I48" s="17">
        <f>IFERROR((H48/G48),0)</f>
        <v>7.6648702416616935E-2</v>
      </c>
      <c r="J48" s="750">
        <v>0</v>
      </c>
      <c r="K48" s="67">
        <f>J48+'24'!K48</f>
        <v>27730.381517661059</v>
      </c>
      <c r="L48" s="20">
        <f>D48+H48-K48</f>
        <v>2068.961018696391</v>
      </c>
      <c r="M48" s="418"/>
      <c r="N48" s="262"/>
      <c r="O48" s="1369"/>
      <c r="P48" s="1370"/>
      <c r="Q48" s="607"/>
      <c r="R48" s="606"/>
      <c r="S48" s="614"/>
      <c r="T48" s="2"/>
    </row>
    <row r="49" spans="1:30" s="4" customFormat="1">
      <c r="A49" s="74" t="s">
        <v>107</v>
      </c>
      <c r="B49" s="9" t="s">
        <v>9</v>
      </c>
      <c r="C49" s="20">
        <f>'24'!C49</f>
        <v>256898.95024371953</v>
      </c>
      <c r="D49" s="20">
        <f>'24'!D49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195898.95024371953</v>
      </c>
      <c r="H49" s="18">
        <f>SUM(H50:H51)</f>
        <v>32176.186994748638</v>
      </c>
      <c r="I49" s="17">
        <f>IFERROR((H49/G49),0)</f>
        <v>0.16424889952048222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3"/>
      <c r="N49" s="263"/>
      <c r="O49" s="1373"/>
      <c r="P49" s="1374"/>
      <c r="Q49" s="608"/>
      <c r="R49" s="606"/>
      <c r="S49" s="602"/>
      <c r="T49" s="2"/>
      <c r="AC49" s="1040" t="s">
        <v>240</v>
      </c>
      <c r="AD49" s="1040" t="s">
        <v>241</v>
      </c>
    </row>
    <row r="50" spans="1:30">
      <c r="A50" s="123" t="s">
        <v>61</v>
      </c>
      <c r="B50" s="9" t="s">
        <v>9</v>
      </c>
      <c r="C50" s="20">
        <f>'24'!C50</f>
        <v>0</v>
      </c>
      <c r="D50" s="20">
        <f>'24'!D50</f>
        <v>2323.23</v>
      </c>
      <c r="E50" s="19">
        <v>0</v>
      </c>
      <c r="F50" s="18"/>
      <c r="G50" s="24">
        <f>E50+'24'!G50</f>
        <v>0</v>
      </c>
      <c r="H50" s="24">
        <f>F50+'24'!H50</f>
        <v>0</v>
      </c>
      <c r="I50" s="17">
        <f>IFERROR((H50/G50),0)</f>
        <v>0</v>
      </c>
      <c r="J50" s="192"/>
      <c r="K50" s="47">
        <f>J50+'24'!K50</f>
        <v>0</v>
      </c>
      <c r="L50" s="20">
        <f>D50+H50-K50+M50</f>
        <v>2323.23</v>
      </c>
      <c r="M50" s="419"/>
      <c r="N50" s="263"/>
      <c r="O50" s="1373"/>
      <c r="P50" s="1374"/>
      <c r="Q50" s="608"/>
      <c r="R50" s="602"/>
      <c r="S50" s="614"/>
      <c r="T50" s="2"/>
      <c r="AB50" s="4" t="s">
        <v>238</v>
      </c>
      <c r="AC50" s="22">
        <f>SUM(AC10:AC37)</f>
        <v>2687.2970000000005</v>
      </c>
      <c r="AD50" s="22">
        <v>7837.29</v>
      </c>
    </row>
    <row r="51" spans="1:30">
      <c r="A51" s="123" t="s">
        <v>62</v>
      </c>
      <c r="B51" s="9" t="s">
        <v>9</v>
      </c>
      <c r="C51" s="20">
        <f>'24'!C51</f>
        <v>256898.95024371953</v>
      </c>
      <c r="D51" s="20">
        <f>'24'!D51</f>
        <v>4567.1619969842723</v>
      </c>
      <c r="E51" s="134">
        <v>11000</v>
      </c>
      <c r="F51" s="110">
        <v>0</v>
      </c>
      <c r="G51" s="18">
        <f>E51+'24'!G51</f>
        <v>195898.95024371953</v>
      </c>
      <c r="H51" s="18">
        <f>F51+'24'!H51</f>
        <v>32176.186994748638</v>
      </c>
      <c r="I51" s="17">
        <f>IFERROR((H51/G51),0)</f>
        <v>0.16424889952048222</v>
      </c>
      <c r="J51" s="192">
        <f>O51-P51</f>
        <v>0</v>
      </c>
      <c r="K51" s="67">
        <f>J51+'24'!K51</f>
        <v>26069.180673341318</v>
      </c>
      <c r="L51" s="20">
        <f>D51+H51-K51+M51</f>
        <v>10674.168318391596</v>
      </c>
      <c r="M51" s="413"/>
      <c r="N51" s="26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  <c r="AB51" s="4" t="s">
        <v>239</v>
      </c>
      <c r="AC51" s="22">
        <f>AC38</f>
        <v>7945.55</v>
      </c>
      <c r="AD51" s="22">
        <f>AC51</f>
        <v>7945.55</v>
      </c>
    </row>
    <row r="52" spans="1:30" s="4" customFormat="1">
      <c r="A52" s="41" t="s">
        <v>41</v>
      </c>
      <c r="B52" s="26" t="s">
        <v>9</v>
      </c>
      <c r="C52" s="20">
        <f>'24'!C52</f>
        <v>0</v>
      </c>
      <c r="D52" s="20">
        <f>'24'!D52</f>
        <v>0</v>
      </c>
      <c r="E52" s="48"/>
      <c r="F52" s="24"/>
      <c r="G52" s="18"/>
      <c r="H52" s="18"/>
      <c r="I52" s="23"/>
      <c r="J52" s="946"/>
      <c r="K52" s="67"/>
      <c r="L52" s="25"/>
      <c r="M52" s="418"/>
      <c r="N52" s="262"/>
      <c r="O52" s="1369"/>
      <c r="P52" s="1370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30" s="56" customFormat="1" hidden="1">
      <c r="A53" s="61" t="s">
        <v>43</v>
      </c>
      <c r="B53" s="59" t="s">
        <v>9</v>
      </c>
      <c r="C53" s="20">
        <f>'24'!C53</f>
        <v>0</v>
      </c>
      <c r="D53" s="20">
        <f>'24'!D53</f>
        <v>0</v>
      </c>
      <c r="E53" s="240">
        <f t="shared" ref="E53:E58" si="3">C53/$Q$2</f>
        <v>0</v>
      </c>
      <c r="F53" s="73">
        <v>0</v>
      </c>
      <c r="G53" s="18">
        <f>E53+'24'!G53</f>
        <v>0</v>
      </c>
      <c r="H53" s="18">
        <f>F53+'24'!H53</f>
        <v>0</v>
      </c>
      <c r="I53" s="957">
        <f t="shared" ref="I53:I58" si="4">IFERROR((H53/G53),0)</f>
        <v>0</v>
      </c>
      <c r="J53" s="624"/>
      <c r="K53" s="67">
        <f>J53+'24'!K53</f>
        <v>0</v>
      </c>
      <c r="L53" s="60">
        <f t="shared" ref="L53:L63" si="5">D53+H53-K53</f>
        <v>0</v>
      </c>
      <c r="M53" s="414"/>
      <c r="N53" s="265"/>
      <c r="O53" s="1371"/>
      <c r="P53" s="1372"/>
      <c r="Q53" s="609"/>
      <c r="R53" s="7"/>
      <c r="S53" s="615"/>
      <c r="T53" s="2"/>
      <c r="Y53" s="1075"/>
      <c r="Z53" s="1076"/>
    </row>
    <row r="54" spans="1:30" s="56" customFormat="1">
      <c r="A54" s="61" t="s">
        <v>42</v>
      </c>
      <c r="B54" s="59" t="s">
        <v>9</v>
      </c>
      <c r="C54" s="20">
        <f>'24'!C54</f>
        <v>10000</v>
      </c>
      <c r="D54" s="20">
        <f>'24'!D54</f>
        <v>13684.915881223626</v>
      </c>
      <c r="E54" s="240">
        <f t="shared" si="3"/>
        <v>322.58064516129031</v>
      </c>
      <c r="F54" s="73">
        <v>0</v>
      </c>
      <c r="G54" s="18">
        <f>E54+'24'!G54</f>
        <v>8064.5161290322621</v>
      </c>
      <c r="H54" s="18">
        <f>F54+'24'!H54</f>
        <v>0</v>
      </c>
      <c r="I54" s="957">
        <f t="shared" si="4"/>
        <v>0</v>
      </c>
      <c r="J54" s="754">
        <v>0</v>
      </c>
      <c r="K54" s="67">
        <f>J54+'24'!K54</f>
        <v>1475.3367227920221</v>
      </c>
      <c r="L54" s="60">
        <f t="shared" si="5"/>
        <v>12209.579158431603</v>
      </c>
      <c r="M54" s="414"/>
      <c r="N54" s="265"/>
      <c r="O54" s="1371"/>
      <c r="P54" s="1372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30" s="56" customFormat="1">
      <c r="A55" s="61" t="s">
        <v>149</v>
      </c>
      <c r="B55" s="59" t="s">
        <v>9</v>
      </c>
      <c r="C55" s="20">
        <f>'24'!C55</f>
        <v>17000</v>
      </c>
      <c r="D55" s="20">
        <f>'24'!D55</f>
        <v>3999.5665967852347</v>
      </c>
      <c r="E55" s="240">
        <f t="shared" si="3"/>
        <v>548.38709677419354</v>
      </c>
      <c r="F55" s="73">
        <v>0</v>
      </c>
      <c r="G55" s="18">
        <f>E55+'24'!G55</f>
        <v>13709.677419354834</v>
      </c>
      <c r="H55" s="18">
        <f>F55+'24'!H55</f>
        <v>0</v>
      </c>
      <c r="I55" s="957">
        <f t="shared" si="4"/>
        <v>0</v>
      </c>
      <c r="J55" s="754">
        <v>0</v>
      </c>
      <c r="K55" s="67">
        <f>J55+'24'!K55</f>
        <v>1358.9626219234012</v>
      </c>
      <c r="L55" s="60">
        <f t="shared" si="5"/>
        <v>2640.6039748618332</v>
      </c>
      <c r="M55" s="414"/>
      <c r="N55" s="265"/>
      <c r="O55" s="1371"/>
      <c r="P55" s="1372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30" s="56" customFormat="1" hidden="1">
      <c r="A56" s="61" t="s">
        <v>194</v>
      </c>
      <c r="B56" s="59" t="s">
        <v>9</v>
      </c>
      <c r="C56" s="20">
        <f>'24'!C56</f>
        <v>0</v>
      </c>
      <c r="D56" s="20">
        <f>'24'!D56</f>
        <v>0</v>
      </c>
      <c r="E56" s="240">
        <f t="shared" si="3"/>
        <v>0</v>
      </c>
      <c r="F56" s="73">
        <v>0</v>
      </c>
      <c r="G56" s="18">
        <f>E56+'24'!G56</f>
        <v>0</v>
      </c>
      <c r="H56" s="18">
        <f>F56+'24'!H56</f>
        <v>0</v>
      </c>
      <c r="I56" s="957">
        <f t="shared" si="4"/>
        <v>0</v>
      </c>
      <c r="J56" s="624"/>
      <c r="K56" s="67">
        <f>J56+'24'!K56</f>
        <v>0</v>
      </c>
      <c r="L56" s="60">
        <f t="shared" si="5"/>
        <v>0</v>
      </c>
      <c r="M56" s="414"/>
      <c r="N56" s="265"/>
      <c r="O56" s="1371"/>
      <c r="P56" s="1372"/>
      <c r="Q56" s="609"/>
      <c r="R56" s="7"/>
      <c r="S56" s="615"/>
      <c r="T56" s="2"/>
      <c r="Y56" s="1075"/>
      <c r="Z56" s="1076"/>
    </row>
    <row r="57" spans="1:30" s="56" customFormat="1">
      <c r="A57" s="61" t="s">
        <v>52</v>
      </c>
      <c r="B57" s="59"/>
      <c r="C57" s="20">
        <f>'24'!C57</f>
        <v>0</v>
      </c>
      <c r="D57" s="20">
        <f>'24'!D57</f>
        <v>178.07499999999999</v>
      </c>
      <c r="E57" s="240">
        <f t="shared" si="3"/>
        <v>0</v>
      </c>
      <c r="F57" s="73">
        <v>0</v>
      </c>
      <c r="G57" s="18">
        <f>E57+'24'!G57</f>
        <v>0</v>
      </c>
      <c r="H57" s="18">
        <f>F57+'24'!H57</f>
        <v>0</v>
      </c>
      <c r="I57" s="957">
        <f t="shared" si="4"/>
        <v>0</v>
      </c>
      <c r="J57" s="624"/>
      <c r="K57" s="67">
        <f>J57+'24'!K57</f>
        <v>0</v>
      </c>
      <c r="L57" s="60">
        <f t="shared" si="5"/>
        <v>178.07499999999999</v>
      </c>
      <c r="M57" s="414"/>
      <c r="N57" s="265"/>
      <c r="O57" s="1371"/>
      <c r="P57" s="1372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30" s="56" customFormat="1">
      <c r="A58" s="61" t="s">
        <v>59</v>
      </c>
      <c r="B58" s="59" t="s">
        <v>9</v>
      </c>
      <c r="C58" s="20">
        <f>'24'!C58</f>
        <v>0</v>
      </c>
      <c r="D58" s="20">
        <f>'24'!D58</f>
        <v>3480.6937513418743</v>
      </c>
      <c r="E58" s="240">
        <f t="shared" si="3"/>
        <v>0</v>
      </c>
      <c r="F58" s="73">
        <v>0</v>
      </c>
      <c r="G58" s="18">
        <f>E58+'24'!G58</f>
        <v>0</v>
      </c>
      <c r="H58" s="18">
        <f>F58+'24'!H58</f>
        <v>0</v>
      </c>
      <c r="I58" s="957">
        <f t="shared" si="4"/>
        <v>0</v>
      </c>
      <c r="J58" s="754">
        <v>0</v>
      </c>
      <c r="K58" s="67">
        <f>J58+'24'!K58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30" s="56" customFormat="1">
      <c r="A59" s="61" t="s">
        <v>243</v>
      </c>
      <c r="B59" s="59" t="s">
        <v>9</v>
      </c>
      <c r="C59" s="20"/>
      <c r="D59" s="20">
        <f>'24'!D59</f>
        <v>4269.0880030013104</v>
      </c>
      <c r="E59" s="240"/>
      <c r="F59" s="73">
        <v>0</v>
      </c>
      <c r="G59" s="18"/>
      <c r="H59" s="18">
        <f>F59+'24'!H59</f>
        <v>0</v>
      </c>
      <c r="I59" s="957"/>
      <c r="J59" s="754"/>
      <c r="K59" s="67">
        <f>J59+'24'!K59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30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F60+'24'!H60</f>
        <v>0</v>
      </c>
      <c r="I60" s="957"/>
      <c r="J60" s="754"/>
      <c r="K60" s="67">
        <f>J60+'24'!K60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30" s="56" customFormat="1">
      <c r="A61" s="61" t="s">
        <v>83</v>
      </c>
      <c r="B61" s="59" t="s">
        <v>9</v>
      </c>
      <c r="C61" s="20"/>
      <c r="D61" s="20">
        <f>'24'!D61</f>
        <v>1063.653</v>
      </c>
      <c r="E61" s="240"/>
      <c r="F61" s="73"/>
      <c r="G61" s="18"/>
      <c r="H61" s="18">
        <f>F61+'24'!H61</f>
        <v>0</v>
      </c>
      <c r="I61" s="957"/>
      <c r="J61" s="624">
        <f>D139+D141</f>
        <v>0</v>
      </c>
      <c r="K61" s="67">
        <f>J61+'24'!K61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30" s="56" customFormat="1">
      <c r="A62" s="61" t="s">
        <v>250</v>
      </c>
      <c r="B62" s="59" t="s">
        <v>9</v>
      </c>
      <c r="C62" s="574"/>
      <c r="D62" s="20">
        <f>'24'!D62</f>
        <v>1531.7249999999999</v>
      </c>
      <c r="E62" s="529"/>
      <c r="F62" s="530">
        <v>0</v>
      </c>
      <c r="G62" s="531"/>
      <c r="H62" s="18">
        <f>F62+'24'!H62</f>
        <v>0</v>
      </c>
      <c r="I62" s="532"/>
      <c r="J62" s="754">
        <v>0</v>
      </c>
      <c r="K62" s="528">
        <f>J62+'24'!K62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30" s="56" customFormat="1">
      <c r="A63" s="1061" t="s">
        <v>255</v>
      </c>
      <c r="B63" s="59" t="s">
        <v>9</v>
      </c>
      <c r="C63" s="68">
        <f>'24'!C63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F63+'24'!H63</f>
        <v>3329.1499999999996</v>
      </c>
      <c r="I63" s="1064"/>
      <c r="J63" s="1065">
        <v>0</v>
      </c>
      <c r="K63" s="1066">
        <f>J63+'24'!K63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30" s="56" customFormat="1" hidden="1">
      <c r="A64" s="889" t="s">
        <v>224</v>
      </c>
      <c r="B64" s="59" t="s">
        <v>9</v>
      </c>
      <c r="C64" s="574"/>
      <c r="D64" s="20">
        <f>'24'!D64</f>
        <v>452.58776173652768</v>
      </c>
      <c r="E64" s="529"/>
      <c r="F64" s="530"/>
      <c r="G64" s="531"/>
      <c r="H64" s="18">
        <f>F64+'24'!H64</f>
        <v>0</v>
      </c>
      <c r="I64" s="532"/>
      <c r="J64" s="624"/>
      <c r="K64" s="528">
        <f>J64+'24'!K64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'24'!D65</f>
        <v>0</v>
      </c>
      <c r="E65" s="240"/>
      <c r="F65" s="73"/>
      <c r="G65" s="18"/>
      <c r="H65" s="18">
        <f>F65+'24'!H65</f>
        <v>0</v>
      </c>
      <c r="I65" s="957"/>
      <c r="J65" s="624"/>
      <c r="K65" s="67">
        <f>J65+'24'!K65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'24'!D66</f>
        <v>0</v>
      </c>
      <c r="E66" s="240"/>
      <c r="F66" s="73"/>
      <c r="G66" s="18"/>
      <c r="H66" s="18">
        <f>F66+'24'!H66</f>
        <v>0</v>
      </c>
      <c r="I66" s="957"/>
      <c r="J66" s="624"/>
      <c r="K66" s="67">
        <f>J66+'24'!K66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'24'!D67</f>
        <v>243.8</v>
      </c>
      <c r="E67" s="240"/>
      <c r="F67" s="73"/>
      <c r="G67" s="18"/>
      <c r="H67" s="18">
        <f>F67+'24'!H67</f>
        <v>0</v>
      </c>
      <c r="I67" s="957"/>
      <c r="J67" s="624"/>
      <c r="K67" s="67">
        <f>J67+'24'!K67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'24'!D68</f>
        <v>0</v>
      </c>
      <c r="E68" s="240"/>
      <c r="F68" s="73"/>
      <c r="G68" s="18"/>
      <c r="H68" s="18">
        <f>F68+'24'!H68</f>
        <v>0</v>
      </c>
      <c r="I68" s="957"/>
      <c r="J68" s="624"/>
      <c r="K68" s="67">
        <f>J68+'24'!K68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'24'!D69</f>
        <v>-14212.944176010715</v>
      </c>
      <c r="E69" s="240"/>
      <c r="F69" s="73"/>
      <c r="G69" s="18"/>
      <c r="H69" s="18">
        <f>F69+'24'!H69</f>
        <v>0</v>
      </c>
      <c r="I69" s="957"/>
      <c r="J69" s="755">
        <v>0</v>
      </c>
      <c r="K69" s="67">
        <f>J69+'24'!K69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'24'!D70</f>
        <v>17922.173606304772</v>
      </c>
      <c r="E70" s="240"/>
      <c r="F70" s="73">
        <v>0</v>
      </c>
      <c r="G70" s="18"/>
      <c r="H70" s="18">
        <f>F70+'24'!H70</f>
        <v>3329.1499999999996</v>
      </c>
      <c r="I70" s="957"/>
      <c r="J70" s="624"/>
      <c r="K70" s="67">
        <f>J70+'24'!K70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'24'!D71</f>
        <v>0</v>
      </c>
      <c r="E71" s="240"/>
      <c r="F71" s="73"/>
      <c r="G71" s="18"/>
      <c r="H71" s="18">
        <f>F71+'24'!H71</f>
        <v>0</v>
      </c>
      <c r="I71" s="957"/>
      <c r="J71" s="624"/>
      <c r="K71" s="67">
        <f>J71+'24'!K71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'24'!D72</f>
        <v>145.84215184813729</v>
      </c>
      <c r="E72" s="389"/>
      <c r="F72" s="390">
        <f>N82</f>
        <v>0</v>
      </c>
      <c r="G72" s="391"/>
      <c r="H72" s="391">
        <f>F72+'24'!H72</f>
        <v>1911.376034856974</v>
      </c>
      <c r="I72" s="392"/>
      <c r="J72" s="952">
        <f>K131</f>
        <v>0</v>
      </c>
      <c r="K72" s="396">
        <f>J72+'24'!K72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'24'!D73</f>
        <v>0</v>
      </c>
      <c r="E73" s="814"/>
      <c r="F73" s="815"/>
      <c r="G73" s="816"/>
      <c r="H73" s="816">
        <f>F73+'24'!H73</f>
        <v>0</v>
      </c>
      <c r="I73" s="817"/>
      <c r="J73" s="814"/>
      <c r="K73" s="818">
        <f>J73+'24'!K73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287" t="s">
        <v>30</v>
      </c>
      <c r="B77" s="1288"/>
      <c r="C77" s="1288"/>
      <c r="D77" s="1288"/>
      <c r="E77" s="1288"/>
      <c r="F77" s="1288"/>
      <c r="G77" s="1288"/>
      <c r="H77" s="1288"/>
      <c r="I77" s="1288"/>
      <c r="J77" s="1288"/>
      <c r="K77" s="1288"/>
      <c r="L77" s="1288"/>
      <c r="M77" s="1288"/>
      <c r="N77" s="1288"/>
      <c r="O77" s="1288"/>
      <c r="P77" s="1289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8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8">
        <f>24*25-K80</f>
        <v>600</v>
      </c>
      <c r="M80" s="36">
        <f>K80/(24*25)</f>
        <v>0</v>
      </c>
      <c r="N80" s="965"/>
      <c r="O80" s="302">
        <f>N80+'24'!O80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8">
        <f>24*25-K81</f>
        <v>600</v>
      </c>
      <c r="M81" s="36">
        <f t="shared" ref="M81:M94" si="11">K81/(24*25)</f>
        <v>0</v>
      </c>
      <c r="N81" s="965"/>
      <c r="O81" s="302">
        <f>N81+'24'!O81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127">
        <f>'01'!C82</f>
        <v>45</v>
      </c>
      <c r="D82" s="134">
        <f t="shared" ref="D82:D95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4" si="13">IFERROR(O82/K82,0)</f>
        <v>43.535460826585258</v>
      </c>
      <c r="J82" s="17">
        <f t="shared" si="10"/>
        <v>0.96745468503522791</v>
      </c>
      <c r="K82" s="19">
        <f>F82+'24'!K82</f>
        <v>43.903888888888886</v>
      </c>
      <c r="L82" s="18">
        <f>24*25-K82</f>
        <v>556.0961111111111</v>
      </c>
      <c r="M82" s="36">
        <f t="shared" si="11"/>
        <v>7.317314814814814E-2</v>
      </c>
      <c r="N82" s="716">
        <v>0</v>
      </c>
      <c r="O82" s="303">
        <f>N82+'24'!O82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F83+'24'!K83</f>
        <v>64.575555555555553</v>
      </c>
      <c r="L83" s="19">
        <f>G83+'24'!L83</f>
        <v>535.42444444444448</v>
      </c>
      <c r="M83" s="36">
        <f t="shared" si="11"/>
        <v>0.10762592592592592</v>
      </c>
      <c r="N83" s="716">
        <v>0</v>
      </c>
      <c r="O83" s="303">
        <f>N83+'24'!O83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F84+'24'!K84</f>
        <v>64.977499999999992</v>
      </c>
      <c r="L84" s="19">
        <f>G84+'24'!L84</f>
        <v>535.02250000000004</v>
      </c>
      <c r="M84" s="36">
        <f t="shared" si="11"/>
        <v>0.10829583333333331</v>
      </c>
      <c r="N84" s="716">
        <v>0</v>
      </c>
      <c r="O84" s="303">
        <f>N84+'24'!O84</f>
        <v>16874.071396806572</v>
      </c>
      <c r="P84" s="711"/>
      <c r="Q84" s="34">
        <v>127.08333333333333</v>
      </c>
      <c r="R84" s="34">
        <v>127.08333333333333</v>
      </c>
      <c r="T84" s="2"/>
    </row>
    <row r="85" spans="1:20" hidden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1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66">
        <f>F85+'23'!K85</f>
        <v>0</v>
      </c>
      <c r="L85" s="66">
        <f>G85+'23'!L85</f>
        <v>576</v>
      </c>
      <c r="M85" s="36">
        <f>K85/(24*12)</f>
        <v>0</v>
      </c>
      <c r="N85" s="965">
        <v>0</v>
      </c>
      <c r="O85" s="302">
        <f>N85+'23'!O85</f>
        <v>0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1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F86+'24'!K86</f>
        <v>0</v>
      </c>
      <c r="L86" s="19">
        <f>G86+'24'!L86</f>
        <v>576</v>
      </c>
      <c r="M86" s="36">
        <f>K86/(24*12)</f>
        <v>0</v>
      </c>
      <c r="N86" s="965">
        <v>0</v>
      </c>
      <c r="O86" s="303">
        <f>N86+'24'!O86</f>
        <v>0</v>
      </c>
      <c r="P86" s="71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 t="shared" si="7"/>
        <v>0</v>
      </c>
      <c r="F87" s="134">
        <v>0</v>
      </c>
      <c r="G87" s="18">
        <f t="shared" si="8"/>
        <v>24</v>
      </c>
      <c r="H87" s="17">
        <f t="shared" si="9"/>
        <v>0</v>
      </c>
      <c r="I87" s="134">
        <f t="shared" si="13"/>
        <v>0</v>
      </c>
      <c r="J87" s="17">
        <f t="shared" si="10"/>
        <v>0</v>
      </c>
      <c r="K87" s="19">
        <f>F87+'24'!K87</f>
        <v>0</v>
      </c>
      <c r="L87" s="19">
        <f>G87+'24'!L87</f>
        <v>576</v>
      </c>
      <c r="M87" s="36">
        <f>K87/(24*12)</f>
        <v>0</v>
      </c>
      <c r="N87" s="965">
        <v>0</v>
      </c>
      <c r="O87" s="302">
        <f>N87+'24'!O87</f>
        <v>0</v>
      </c>
      <c r="P87" s="71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9"/>
        <v>0</v>
      </c>
      <c r="I88" s="134">
        <f t="shared" si="13"/>
        <v>0</v>
      </c>
      <c r="J88" s="17">
        <f t="shared" si="10"/>
        <v>0</v>
      </c>
      <c r="K88" s="19">
        <f>F88+'24'!K88</f>
        <v>0</v>
      </c>
      <c r="L88" s="19">
        <f>G88+'24'!L88</f>
        <v>576</v>
      </c>
      <c r="M88" s="36">
        <f>K88/(24*12)</f>
        <v>0</v>
      </c>
      <c r="N88" s="716">
        <v>0</v>
      </c>
      <c r="O88" s="303">
        <f>N88+'24'!O88</f>
        <v>0</v>
      </c>
      <c r="P88" s="71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'24'!C89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F89+'24'!K89</f>
        <v>1.6950000000000001</v>
      </c>
      <c r="L89" s="19">
        <f>G89+'24'!L89</f>
        <v>598.30500000000006</v>
      </c>
      <c r="M89" s="36">
        <f t="shared" si="11"/>
        <v>2.8250000000000003E-3</v>
      </c>
      <c r="N89" s="1001">
        <v>0</v>
      </c>
      <c r="O89" s="303">
        <f>N89+'24'!O89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'24'!C90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F90+'24'!K90</f>
        <v>32.664166666666674</v>
      </c>
      <c r="L90" s="19">
        <f>G90+'24'!L90</f>
        <v>567.33583333333331</v>
      </c>
      <c r="M90" s="36">
        <f t="shared" si="11"/>
        <v>5.4440277777777789E-2</v>
      </c>
      <c r="N90" s="1001">
        <v>0</v>
      </c>
      <c r="O90" s="303">
        <f>N90+'24'!O90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 t="shared" si="12"/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 t="shared" si="13"/>
        <v>0</v>
      </c>
      <c r="J91" s="17">
        <f t="shared" si="10"/>
        <v>0</v>
      </c>
      <c r="K91" s="19">
        <f>F91+'24'!K91</f>
        <v>0</v>
      </c>
      <c r="L91" s="19">
        <f>G91+'24'!L91</f>
        <v>600</v>
      </c>
      <c r="M91" s="36">
        <f t="shared" si="11"/>
        <v>0</v>
      </c>
      <c r="N91" s="716">
        <v>0</v>
      </c>
      <c r="O91" s="303">
        <f>N91+'24'!O91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 t="shared" si="12"/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 t="shared" si="13"/>
        <v>140.11316982515353</v>
      </c>
      <c r="J92" s="17">
        <f t="shared" si="10"/>
        <v>0.89583581578868565</v>
      </c>
      <c r="K92" s="19">
        <f>F92+'24'!K92</f>
        <v>71.521666666666675</v>
      </c>
      <c r="L92" s="19">
        <f>G92+'24'!L92</f>
        <v>528.47833333333335</v>
      </c>
      <c r="M92" s="36">
        <f t="shared" si="11"/>
        <v>0.1192027777777778</v>
      </c>
      <c r="N92" s="716">
        <v>0</v>
      </c>
      <c r="O92" s="303">
        <f>N92+'24'!O92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 t="shared" si="12"/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 t="shared" si="13"/>
        <v>144.80399190974401</v>
      </c>
      <c r="J93" s="17">
        <f t="shared" si="10"/>
        <v>0.94516947445354405</v>
      </c>
      <c r="K93" s="19">
        <f>F93+'24'!K93</f>
        <v>64.288611111111109</v>
      </c>
      <c r="L93" s="19">
        <f>G93+'24'!L93</f>
        <v>535.71138888888891</v>
      </c>
      <c r="M93" s="36">
        <f t="shared" si="11"/>
        <v>0.10714768518518518</v>
      </c>
      <c r="N93" s="716">
        <v>0</v>
      </c>
      <c r="O93" s="303">
        <f>N93+'24'!O93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 t="shared" si="12"/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 t="shared" si="13"/>
        <v>89.046875</v>
      </c>
      <c r="J94" s="870">
        <f t="shared" si="10"/>
        <v>1.4841145833333333</v>
      </c>
      <c r="K94" s="878">
        <f>F94+'24'!K94</f>
        <v>32</v>
      </c>
      <c r="L94" s="878">
        <f>G94+'24'!L94</f>
        <v>568</v>
      </c>
      <c r="M94" s="873">
        <f t="shared" si="11"/>
        <v>5.3333333333333337E-2</v>
      </c>
      <c r="N94" s="966">
        <f>E111+E120+E121+E122</f>
        <v>0</v>
      </c>
      <c r="O94" s="871">
        <f>N94+'24'!O94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 t="shared" si="12"/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F95+'24'!K95</f>
        <v>7</v>
      </c>
      <c r="L95" s="866">
        <f>G95+'24'!L95</f>
        <v>593</v>
      </c>
      <c r="M95" s="712">
        <f>K95/(24*25)</f>
        <v>1.1666666666666667E-2</v>
      </c>
      <c r="N95" s="967">
        <f>E112+E114+E115+E118+E119</f>
        <v>0</v>
      </c>
      <c r="O95" s="713">
        <f>N95+'24'!O95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05" t="s">
        <v>3</v>
      </c>
      <c r="H99" s="12" t="s">
        <v>2</v>
      </c>
      <c r="I99" s="806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5078</v>
      </c>
      <c r="E100" s="30">
        <f>E101+E110</f>
        <v>0</v>
      </c>
      <c r="F100" s="29">
        <f t="shared" ref="F100:F114" si="15">IFERROR((E100/D100),0)</f>
        <v>0</v>
      </c>
      <c r="G100" s="51">
        <f>G101+G110</f>
        <v>158347</v>
      </c>
      <c r="H100" s="30">
        <f>H101+H110</f>
        <v>19708.249999999993</v>
      </c>
      <c r="I100" s="29">
        <f t="shared" ref="I100:I114" si="16">IFERROR((H100/G100),0)</f>
        <v>0.12446241482314153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5078</v>
      </c>
      <c r="E101" s="24">
        <f>SUM(E102:E109)</f>
        <v>0</v>
      </c>
      <c r="F101" s="23">
        <f t="shared" si="15"/>
        <v>0</v>
      </c>
      <c r="G101" s="555">
        <f>SUM(G102:G109)</f>
        <v>114912</v>
      </c>
      <c r="H101" s="24">
        <f>SUM(H102:H109)</f>
        <v>15844.349999999995</v>
      </c>
      <c r="I101" s="23">
        <f t="shared" si="16"/>
        <v>0.13788246658312445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 ht="16.149999999999999" customHeight="1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D102+'24'!G102</f>
        <v>0</v>
      </c>
      <c r="H102" s="18">
        <f>E102+'24'!H102</f>
        <v>0</v>
      </c>
      <c r="I102" s="17">
        <f t="shared" si="16"/>
        <v>0</v>
      </c>
      <c r="J102" s="1319"/>
      <c r="K102" s="1321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395</v>
      </c>
      <c r="E103" s="166">
        <v>0</v>
      </c>
      <c r="F103" s="17">
        <f t="shared" si="15"/>
        <v>0</v>
      </c>
      <c r="G103" s="741">
        <f>D103+'24'!G103</f>
        <v>9335</v>
      </c>
      <c r="H103" s="64">
        <f>E103+'24'!H103</f>
        <v>0</v>
      </c>
      <c r="I103" s="17">
        <f t="shared" si="16"/>
        <v>0</v>
      </c>
      <c r="J103" s="1341"/>
      <c r="K103" s="1343"/>
      <c r="L103" s="247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4496</v>
      </c>
      <c r="E104" s="110">
        <v>0</v>
      </c>
      <c r="F104" s="17">
        <f t="shared" si="15"/>
        <v>0</v>
      </c>
      <c r="G104" s="19">
        <f>D104+'24'!G104</f>
        <v>101764</v>
      </c>
      <c r="H104" s="18">
        <f>E104+'24'!H104</f>
        <v>12980.249999999995</v>
      </c>
      <c r="I104" s="17">
        <f t="shared" si="16"/>
        <v>0.1275524743524232</v>
      </c>
      <c r="J104" s="1319"/>
      <c r="K104" s="1321"/>
      <c r="L104" s="247"/>
      <c r="M104" s="247"/>
      <c r="N104" s="247"/>
      <c r="O104" s="247"/>
      <c r="P104" s="16"/>
      <c r="T104" s="2"/>
    </row>
    <row r="105" spans="1:20">
      <c r="A105" s="254" t="s">
        <v>191</v>
      </c>
      <c r="B105" s="9" t="s">
        <v>9</v>
      </c>
      <c r="C105" s="20">
        <f>'01'!C105</f>
        <v>0</v>
      </c>
      <c r="D105" s="19">
        <v>0</v>
      </c>
      <c r="E105" s="110">
        <v>0</v>
      </c>
      <c r="F105" s="17">
        <f t="shared" si="15"/>
        <v>0</v>
      </c>
      <c r="G105" s="19">
        <f>D105+'24'!G105</f>
        <v>0</v>
      </c>
      <c r="H105" s="18">
        <f>E105+'24'!H105</f>
        <v>475.6</v>
      </c>
      <c r="I105" s="17">
        <f t="shared" si="16"/>
        <v>0</v>
      </c>
      <c r="J105" s="1319"/>
      <c r="K105" s="1321"/>
      <c r="L105" s="16"/>
      <c r="M105" s="16"/>
      <c r="N105" s="247"/>
      <c r="O105" s="247"/>
      <c r="P105" s="16"/>
      <c r="Q105" s="6"/>
      <c r="T105" s="2"/>
    </row>
    <row r="106" spans="1:20">
      <c r="A106" s="44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5"/>
        <v>0</v>
      </c>
      <c r="G106" s="19">
        <f>D106+'24'!G106</f>
        <v>0</v>
      </c>
      <c r="H106" s="18">
        <f>E106+'24'!H106</f>
        <v>1280.3</v>
      </c>
      <c r="I106" s="17">
        <f t="shared" si="16"/>
        <v>0</v>
      </c>
      <c r="J106" s="1319"/>
      <c r="K106" s="1321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9">
        <f>D107+'24'!G107</f>
        <v>0</v>
      </c>
      <c r="H107" s="18">
        <f>E107+'24'!H107</f>
        <v>0</v>
      </c>
      <c r="I107" s="17">
        <f t="shared" si="16"/>
        <v>0</v>
      </c>
      <c r="J107" s="1319"/>
      <c r="K107" s="1321"/>
      <c r="L107" s="247"/>
      <c r="M107" s="24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9">
        <v>137</v>
      </c>
      <c r="E108" s="110">
        <v>0</v>
      </c>
      <c r="F108" s="17">
        <f t="shared" si="15"/>
        <v>0</v>
      </c>
      <c r="G108" s="19">
        <f>D108+'24'!G108</f>
        <v>2838</v>
      </c>
      <c r="H108" s="18">
        <f>E108+'24'!H108</f>
        <v>826.59999999999991</v>
      </c>
      <c r="I108" s="17">
        <f t="shared" si="16"/>
        <v>0.29126145172656798</v>
      </c>
      <c r="J108" s="803"/>
      <c r="K108" s="804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9">
        <v>50</v>
      </c>
      <c r="E109" s="110">
        <v>0</v>
      </c>
      <c r="F109" s="17">
        <f t="shared" si="15"/>
        <v>0</v>
      </c>
      <c r="G109" s="19">
        <f>D109+'24'!G109</f>
        <v>975</v>
      </c>
      <c r="H109" s="18">
        <f>E109+'24'!H109</f>
        <v>281.59999999999997</v>
      </c>
      <c r="I109" s="17">
        <f t="shared" si="16"/>
        <v>0.2888205128205128</v>
      </c>
      <c r="J109" s="803"/>
      <c r="K109" s="804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1481</v>
      </c>
      <c r="E110" s="24">
        <f>SUM(E111:E122)</f>
        <v>0</v>
      </c>
      <c r="F110" s="1054">
        <f>IFERROR((E110/D110),0)</f>
        <v>0</v>
      </c>
      <c r="G110" s="735">
        <f>SUM(G111:G122)</f>
        <v>43435</v>
      </c>
      <c r="H110" s="24">
        <f>SUM(H111:H122)</f>
        <v>3863.8999999999996</v>
      </c>
      <c r="I110" s="1054">
        <f>IFERROR((H110/G110),0)</f>
        <v>8.8958213422355228E-2</v>
      </c>
      <c r="J110" s="803"/>
      <c r="K110" s="804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D111+'24'!G111</f>
        <v>0</v>
      </c>
      <c r="H111" s="18">
        <f>E111+'24'!H111</f>
        <v>1026.1499999999999</v>
      </c>
      <c r="I111" s="17">
        <f>IFERROR((H111/G111),0)</f>
        <v>0</v>
      </c>
      <c r="J111" s="1319"/>
      <c r="K111" s="1321"/>
      <c r="L111" s="16"/>
      <c r="M111" s="15"/>
      <c r="N111" s="16"/>
      <c r="O111" s="16"/>
      <c r="P111" s="16"/>
      <c r="Q111" s="28"/>
      <c r="S111" s="1"/>
      <c r="T111" s="2"/>
    </row>
    <row r="112" spans="1:20">
      <c r="A112" s="254" t="s">
        <v>252</v>
      </c>
      <c r="B112" s="9" t="s">
        <v>9</v>
      </c>
      <c r="C112" s="297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D112+'24'!G112</f>
        <v>0</v>
      </c>
      <c r="H112" s="18">
        <f>E112+'24'!H112</f>
        <v>994.39999999999986</v>
      </c>
      <c r="I112" s="17">
        <f>IFERROR((H112/G112),0)</f>
        <v>0</v>
      </c>
      <c r="J112" s="1344"/>
      <c r="K112" s="1345"/>
      <c r="L112" s="16"/>
      <c r="M112" s="15"/>
      <c r="N112" s="247"/>
      <c r="O112" s="247"/>
      <c r="P112" s="16"/>
      <c r="T112" s="2"/>
    </row>
    <row r="113" spans="1:20">
      <c r="A113" s="254" t="s">
        <v>253</v>
      </c>
      <c r="B113" s="9" t="s">
        <v>9</v>
      </c>
      <c r="C113" s="297">
        <f>'01'!C113</f>
        <v>0</v>
      </c>
      <c r="D113" s="134">
        <v>0</v>
      </c>
      <c r="E113" s="110">
        <v>0</v>
      </c>
      <c r="F113" s="17">
        <f t="shared" si="15"/>
        <v>0</v>
      </c>
      <c r="G113" s="19">
        <f>D113+'24'!G113</f>
        <v>0</v>
      </c>
      <c r="H113" s="18">
        <f>E113+'24'!H113</f>
        <v>20</v>
      </c>
      <c r="I113" s="17">
        <f t="shared" si="16"/>
        <v>0</v>
      </c>
      <c r="J113" s="809"/>
      <c r="K113" s="810"/>
      <c r="L113" s="7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767" t="s">
        <v>9</v>
      </c>
      <c r="C114" s="297">
        <f>'01'!C114</f>
        <v>500</v>
      </c>
      <c r="D114" s="134">
        <v>16</v>
      </c>
      <c r="E114" s="166">
        <v>0</v>
      </c>
      <c r="F114" s="739">
        <f t="shared" si="15"/>
        <v>0</v>
      </c>
      <c r="G114" s="19">
        <f>D114+'24'!G114</f>
        <v>400</v>
      </c>
      <c r="H114" s="18">
        <f>E114+'24'!H114</f>
        <v>0</v>
      </c>
      <c r="I114" s="739">
        <f t="shared" si="16"/>
        <v>0</v>
      </c>
      <c r="J114" s="1346"/>
      <c r="K114" s="1347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>
        <f>IFERROR((E115/D115),0)</f>
        <v>0</v>
      </c>
      <c r="G115" s="19">
        <f>D115+'24'!G115</f>
        <v>0</v>
      </c>
      <c r="H115" s="18">
        <f>E115+'24'!H115</f>
        <v>0</v>
      </c>
      <c r="I115" s="17">
        <f>IFERROR((H115/G115),0)</f>
        <v>0</v>
      </c>
      <c r="J115" s="1376"/>
      <c r="K115" s="1377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ref="F116:F122" si="17">IFERROR((E116/D116),0)</f>
        <v>0</v>
      </c>
      <c r="G116" s="19">
        <f>D116+'24'!G116</f>
        <v>0</v>
      </c>
      <c r="H116" s="18">
        <f>E116+'24'!H116</f>
        <v>0</v>
      </c>
      <c r="I116" s="17">
        <f t="shared" ref="I116:I122" si="18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7"/>
        <v>0</v>
      </c>
      <c r="G117" s="19">
        <f>D117+'24'!G117</f>
        <v>0</v>
      </c>
      <c r="H117" s="18">
        <f>E117+'24'!H117</f>
        <v>0</v>
      </c>
      <c r="I117" s="17">
        <f t="shared" si="18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355</v>
      </c>
      <c r="E118" s="110">
        <v>0</v>
      </c>
      <c r="F118" s="17">
        <f t="shared" si="17"/>
        <v>0</v>
      </c>
      <c r="G118" s="19">
        <f>D118+'24'!G118</f>
        <v>8685</v>
      </c>
      <c r="H118" s="18">
        <f>E118+'24'!H118</f>
        <v>0</v>
      </c>
      <c r="I118" s="17">
        <f t="shared" si="18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7"/>
        <v>0</v>
      </c>
      <c r="G119" s="19">
        <f>D119+'24'!G119</f>
        <v>0</v>
      </c>
      <c r="H119" s="18">
        <f>E119+'24'!H119</f>
        <v>0</v>
      </c>
      <c r="I119" s="17">
        <f t="shared" si="18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370</v>
      </c>
      <c r="E120" s="110">
        <v>0</v>
      </c>
      <c r="F120" s="17">
        <f t="shared" si="17"/>
        <v>0</v>
      </c>
      <c r="G120" s="19">
        <f>D120+'24'!G120</f>
        <v>17958</v>
      </c>
      <c r="H120" s="18">
        <f>E120+'24'!H120</f>
        <v>0</v>
      </c>
      <c r="I120" s="17">
        <f t="shared" si="18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>
        <f t="shared" si="17"/>
        <v>0</v>
      </c>
      <c r="G121" s="19">
        <f>D121+'24'!G121</f>
        <v>1088</v>
      </c>
      <c r="H121" s="18">
        <f>E121+'24'!H121</f>
        <v>0</v>
      </c>
      <c r="I121" s="17">
        <f t="shared" si="18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740</v>
      </c>
      <c r="E122" s="110">
        <v>0</v>
      </c>
      <c r="F122" s="17">
        <f t="shared" si="17"/>
        <v>0</v>
      </c>
      <c r="G122" s="19">
        <f>D122+'24'!G122</f>
        <v>15304</v>
      </c>
      <c r="H122" s="18">
        <f>E122+'24'!H122</f>
        <v>1823.35</v>
      </c>
      <c r="I122" s="17">
        <f t="shared" si="18"/>
        <v>0.11914205436487192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3" t="s">
        <v>4</v>
      </c>
      <c r="H124" s="1303"/>
      <c r="I124" s="1304"/>
      <c r="J124" s="822" t="s">
        <v>89</v>
      </c>
      <c r="K124" s="304" t="s">
        <v>90</v>
      </c>
      <c r="L124" s="10"/>
      <c r="M124" s="7"/>
      <c r="N124" s="7"/>
      <c r="O124" s="7"/>
      <c r="P124" s="7"/>
      <c r="T124" s="2"/>
    </row>
    <row r="125" spans="1:20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13" t="s">
        <v>3</v>
      </c>
      <c r="H125" s="12" t="s">
        <v>2</v>
      </c>
      <c r="I125" s="793" t="s">
        <v>1</v>
      </c>
      <c r="J125" s="823">
        <f>SUM(N86:N91)</f>
        <v>0</v>
      </c>
      <c r="K125" s="306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45.222662107170116</v>
      </c>
      <c r="F126" s="356">
        <f>IFERROR(E126/D126,0)</f>
        <v>1.1166089409177806</v>
      </c>
      <c r="G126" s="204">
        <v>40.5</v>
      </c>
      <c r="H126" s="200">
        <v>43.089999203613161</v>
      </c>
      <c r="I126" s="356">
        <f>IFERROR(H126/G126,0)</f>
        <v>1.063950597620078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14.321020173018786</v>
      </c>
      <c r="F127" s="356">
        <f t="shared" ref="F127:F132" si="19">IFERROR(E127/D127,0)</f>
        <v>0.84241295135404626</v>
      </c>
      <c r="G127" s="204">
        <v>17</v>
      </c>
      <c r="H127" s="200">
        <v>17.660615720361047</v>
      </c>
      <c r="I127" s="356">
        <f t="shared" ref="I127:I132" si="20">IFERROR(H127/G127,0)</f>
        <v>1.0388597482565323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9"/>
        <v>0</v>
      </c>
      <c r="G128" s="267">
        <v>3</v>
      </c>
      <c r="H128" s="256">
        <f>P132</f>
        <v>2.7306506005953359</v>
      </c>
      <c r="I128" s="157">
        <f t="shared" si="20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21.392478608540454</v>
      </c>
      <c r="F129" s="157">
        <f t="shared" si="19"/>
        <v>1.0186894575495455</v>
      </c>
      <c r="G129" s="204">
        <v>21</v>
      </c>
      <c r="H129" s="200">
        <v>21.070056011458483</v>
      </c>
      <c r="I129" s="157">
        <f t="shared" si="20"/>
        <v>1.003336000545642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0.87381340193576407</v>
      </c>
      <c r="F130" s="157">
        <f t="shared" si="19"/>
        <v>2.0805080998470574E-2</v>
      </c>
      <c r="G130" s="204">
        <v>42</v>
      </c>
      <c r="H130" s="200">
        <v>7.9755053415758121</v>
      </c>
      <c r="I130" s="157">
        <f t="shared" si="20"/>
        <v>0.18989298432323362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38.015584614283782</v>
      </c>
      <c r="F131" s="157">
        <f t="shared" si="19"/>
        <v>1.086159560408108</v>
      </c>
      <c r="G131" s="204">
        <v>35</v>
      </c>
      <c r="H131" s="200">
        <v>33.392704677614148</v>
      </c>
      <c r="I131" s="157">
        <f t="shared" si="20"/>
        <v>0.95407727650326135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77.604511945831476</v>
      </c>
      <c r="F132" s="684">
        <f t="shared" si="19"/>
        <v>0.77072710245140008</v>
      </c>
      <c r="G132" s="688">
        <v>100.69</v>
      </c>
      <c r="H132" s="683">
        <v>83.281216791615037</v>
      </c>
      <c r="I132" s="684">
        <f t="shared" si="20"/>
        <v>0.8271051424333602</v>
      </c>
      <c r="N132" s="727" t="s">
        <v>188</v>
      </c>
      <c r="O132" s="704">
        <f>O131+'24'!O132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127158</v>
      </c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IFERROR(L136*$O$136/$L$135,0)</f>
        <v>0</v>
      </c>
      <c r="O136" s="377">
        <v>100</v>
      </c>
    </row>
    <row r="137" spans="1:20" ht="35.25" customHeight="1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IFERROR(L137*$O$136/$L$135,0)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IFERROR(L138*$O$136/$L$135,0)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1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IFERROR(L139*$O$136/$L$135,0)</f>
        <v>0</v>
      </c>
    </row>
    <row r="140" spans="1:20" ht="16.5" thickBot="1">
      <c r="A140" s="321"/>
      <c r="B140" s="334"/>
      <c r="C140" s="335">
        <f t="shared" ref="C140:H140" si="22">IFERROR(C139/$B$139,0)</f>
        <v>0</v>
      </c>
      <c r="D140" s="335">
        <f t="shared" si="22"/>
        <v>0</v>
      </c>
      <c r="E140" s="335">
        <f t="shared" si="22"/>
        <v>0</v>
      </c>
      <c r="F140" s="335">
        <f t="shared" si="22"/>
        <v>0</v>
      </c>
      <c r="G140" s="335">
        <f t="shared" si="22"/>
        <v>0</v>
      </c>
      <c r="H140" s="335">
        <f t="shared" si="22"/>
        <v>0</v>
      </c>
      <c r="I140" s="326">
        <f t="shared" si="21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IFERROR(L140*$O$136/$L$135,0)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1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3">IFERROR(C141/$B$141,0)</f>
        <v>0</v>
      </c>
      <c r="D142" s="335">
        <f t="shared" si="23"/>
        <v>0</v>
      </c>
      <c r="E142" s="335">
        <f t="shared" si="23"/>
        <v>0</v>
      </c>
      <c r="F142" s="335">
        <f t="shared" si="23"/>
        <v>0</v>
      </c>
      <c r="G142" s="335">
        <f t="shared" si="23"/>
        <v>0</v>
      </c>
      <c r="H142" s="335">
        <f t="shared" si="23"/>
        <v>0</v>
      </c>
      <c r="I142" s="326">
        <f t="shared" si="21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1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217555</v>
      </c>
    </row>
    <row r="144" spans="1:20" ht="16.5" thickBot="1">
      <c r="A144" s="321"/>
      <c r="B144" s="336"/>
      <c r="C144" s="335">
        <f t="shared" ref="C144:H144" si="24">IFERROR(C143/$B$143,0)</f>
        <v>0</v>
      </c>
      <c r="D144" s="335">
        <f t="shared" si="24"/>
        <v>0</v>
      </c>
      <c r="E144" s="335">
        <f t="shared" si="24"/>
        <v>0</v>
      </c>
      <c r="F144" s="335">
        <f t="shared" si="24"/>
        <v>0</v>
      </c>
      <c r="G144" s="335">
        <f t="shared" si="24"/>
        <v>0</v>
      </c>
      <c r="H144" s="335">
        <f t="shared" si="24"/>
        <v>0</v>
      </c>
      <c r="I144" s="326">
        <f t="shared" si="21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</row>
    <row r="145" spans="1:15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1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IFERROR(L145*$O$145/$L$144,0)</f>
        <v>0</v>
      </c>
      <c r="O145" s="378">
        <v>100</v>
      </c>
    </row>
    <row r="146" spans="1:15" ht="16.5" thickBot="1">
      <c r="A146" s="321"/>
      <c r="B146" s="336"/>
      <c r="C146" s="335">
        <f t="shared" ref="C146:H146" si="25">IFERROR(C145/$B$145,0)</f>
        <v>0</v>
      </c>
      <c r="D146" s="335">
        <f t="shared" si="25"/>
        <v>0</v>
      </c>
      <c r="E146" s="335">
        <f t="shared" si="25"/>
        <v>0</v>
      </c>
      <c r="F146" s="335">
        <f t="shared" si="25"/>
        <v>0</v>
      </c>
      <c r="G146" s="335">
        <f t="shared" si="25"/>
        <v>0</v>
      </c>
      <c r="H146" s="335">
        <f t="shared" si="25"/>
        <v>0</v>
      </c>
      <c r="I146" s="326">
        <f t="shared" si="21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IFERROR(L146*$O$145/$L$144,0)</f>
        <v>0</v>
      </c>
    </row>
    <row r="147" spans="1:15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1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IFERROR(L147*$O$145/$L$144,0)</f>
        <v>0</v>
      </c>
    </row>
    <row r="148" spans="1:15" ht="16.5" thickBot="1">
      <c r="A148" s="321"/>
      <c r="B148" s="334"/>
      <c r="C148" s="335">
        <f t="shared" ref="C148:H148" si="26">IFERROR(C147/$B$147,0)</f>
        <v>0</v>
      </c>
      <c r="D148" s="335">
        <f t="shared" si="26"/>
        <v>0</v>
      </c>
      <c r="E148" s="335">
        <f t="shared" si="26"/>
        <v>0</v>
      </c>
      <c r="F148" s="335">
        <f t="shared" si="26"/>
        <v>0</v>
      </c>
      <c r="G148" s="335">
        <f t="shared" si="26"/>
        <v>0</v>
      </c>
      <c r="H148" s="335">
        <f t="shared" si="26"/>
        <v>0</v>
      </c>
      <c r="I148" s="326">
        <f t="shared" si="21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IFERROR(L148*$O$145/$L$144,0)</f>
        <v>0</v>
      </c>
    </row>
    <row r="149" spans="1:15">
      <c r="A149" s="342" t="s">
        <v>81</v>
      </c>
      <c r="B149" s="345">
        <f t="shared" ref="B149:I149" si="27">B139+B141+B143+B145+B147</f>
        <v>0</v>
      </c>
      <c r="C149" s="460">
        <f t="shared" si="27"/>
        <v>0</v>
      </c>
      <c r="D149" s="460">
        <f t="shared" si="27"/>
        <v>0</v>
      </c>
      <c r="E149" s="460">
        <f>E139+E141+E143+E145+E147</f>
        <v>0</v>
      </c>
      <c r="F149" s="460">
        <f t="shared" si="27"/>
        <v>0</v>
      </c>
      <c r="G149" s="460">
        <f t="shared" si="27"/>
        <v>0</v>
      </c>
      <c r="H149" s="460">
        <f t="shared" si="27"/>
        <v>0</v>
      </c>
      <c r="I149" s="461">
        <f t="shared" si="27"/>
        <v>0</v>
      </c>
      <c r="K149" s="370"/>
      <c r="L149" s="363"/>
      <c r="M149" s="362"/>
      <c r="N149" s="369"/>
    </row>
    <row r="150" spans="1:15" ht="16.5" thickBot="1">
      <c r="A150" s="322"/>
      <c r="B150" s="325"/>
      <c r="C150" s="346">
        <f t="shared" ref="C150:H150" si="28">IFERROR(C149/$B$149,0)</f>
        <v>0</v>
      </c>
      <c r="D150" s="346">
        <f t="shared" si="28"/>
        <v>0</v>
      </c>
      <c r="E150" s="346">
        <f t="shared" si="28"/>
        <v>0</v>
      </c>
      <c r="F150" s="346">
        <f t="shared" si="28"/>
        <v>0</v>
      </c>
      <c r="G150" s="346">
        <f t="shared" si="28"/>
        <v>0</v>
      </c>
      <c r="H150" s="346">
        <f t="shared" si="28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30:P30"/>
    <mergeCell ref="O22:P22"/>
    <mergeCell ref="J143:J144"/>
    <mergeCell ref="J145:J146"/>
    <mergeCell ref="J147:J148"/>
    <mergeCell ref="J112:K112"/>
    <mergeCell ref="J105:K105"/>
    <mergeCell ref="J106:K106"/>
    <mergeCell ref="J114:K114"/>
    <mergeCell ref="J115:K115"/>
    <mergeCell ref="K133:N133"/>
    <mergeCell ref="K142:N142"/>
    <mergeCell ref="J141:J142"/>
    <mergeCell ref="J129:J130"/>
    <mergeCell ref="K129:L129"/>
    <mergeCell ref="J111:K111"/>
    <mergeCell ref="J107:K107"/>
    <mergeCell ref="J139:J140"/>
    <mergeCell ref="N129:P129"/>
    <mergeCell ref="N99:O99"/>
    <mergeCell ref="L99:M99"/>
    <mergeCell ref="J97:K98"/>
    <mergeCell ref="O50:P50"/>
    <mergeCell ref="O52:P52"/>
    <mergeCell ref="O14:P14"/>
    <mergeCell ref="O15:P15"/>
    <mergeCell ref="O17:P17"/>
    <mergeCell ref="O18:P18"/>
    <mergeCell ref="O19:P19"/>
    <mergeCell ref="O20:P20"/>
    <mergeCell ref="O16:P16"/>
    <mergeCell ref="O56:P56"/>
    <mergeCell ref="O57:P57"/>
    <mergeCell ref="O21:P21"/>
    <mergeCell ref="O23:P23"/>
    <mergeCell ref="O38:P38"/>
    <mergeCell ref="O54:P54"/>
    <mergeCell ref="O55:P55"/>
    <mergeCell ref="O49:P49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O53:P53"/>
    <mergeCell ref="O59:P59"/>
    <mergeCell ref="O61:P61"/>
    <mergeCell ref="A96:K96"/>
    <mergeCell ref="A97:A99"/>
    <mergeCell ref="C78:C79"/>
    <mergeCell ref="D78:H78"/>
    <mergeCell ref="I78:M78"/>
    <mergeCell ref="P78:P79"/>
    <mergeCell ref="N78:O78"/>
    <mergeCell ref="C97:C99"/>
    <mergeCell ref="D97:F98"/>
    <mergeCell ref="G97:I98"/>
    <mergeCell ref="O60:P60"/>
    <mergeCell ref="O62:P62"/>
    <mergeCell ref="O63:P63"/>
    <mergeCell ref="O64:P64"/>
    <mergeCell ref="O65:P65"/>
    <mergeCell ref="O69:P69"/>
    <mergeCell ref="O70:P70"/>
    <mergeCell ref="O71:P71"/>
    <mergeCell ref="O47:P47"/>
    <mergeCell ref="A77:P77"/>
    <mergeCell ref="A78:A79"/>
    <mergeCell ref="B78:B79"/>
    <mergeCell ref="B97:B99"/>
    <mergeCell ref="A123:I123"/>
    <mergeCell ref="A136:A138"/>
    <mergeCell ref="B136:B137"/>
    <mergeCell ref="C136:I136"/>
    <mergeCell ref="A124:A125"/>
    <mergeCell ref="B124:B125"/>
    <mergeCell ref="C124:C125"/>
    <mergeCell ref="D124:F124"/>
    <mergeCell ref="G124:I124"/>
    <mergeCell ref="J101:K101"/>
    <mergeCell ref="J102:K102"/>
    <mergeCell ref="J103:K103"/>
    <mergeCell ref="J104:K104"/>
    <mergeCell ref="O66:P66"/>
    <mergeCell ref="O67:P67"/>
    <mergeCell ref="O68:P68"/>
    <mergeCell ref="O72:P72"/>
    <mergeCell ref="O73:P73"/>
    <mergeCell ref="O58:P58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102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26 ",Q1)</f>
        <v>Ежедневный отчет производства и отгрузки за 26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 t="shared" si="0"/>
        <v>0</v>
      </c>
      <c r="G5" s="30">
        <f t="shared" si="0"/>
        <v>127300</v>
      </c>
      <c r="H5" s="30">
        <f t="shared" si="0"/>
        <v>16874.071396806572</v>
      </c>
      <c r="I5" s="29">
        <f>IFERROR((H5/G5),0)</f>
        <v>0.1325535852066502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0">
      <c r="A6" s="41" t="s">
        <v>218</v>
      </c>
      <c r="B6" s="26" t="s">
        <v>9</v>
      </c>
      <c r="C6" s="25">
        <f>'25'!C6</f>
        <v>0</v>
      </c>
      <c r="D6" s="20">
        <f>'25'!D6</f>
        <v>15952.919765534218</v>
      </c>
      <c r="E6" s="19">
        <v>0</v>
      </c>
      <c r="F6" s="18"/>
      <c r="G6" s="18">
        <f>E6+'25'!G6</f>
        <v>0</v>
      </c>
      <c r="H6" s="18">
        <f>F6+'25'!H6</f>
        <v>6671.6154299884374</v>
      </c>
      <c r="I6" s="17"/>
      <c r="J6" s="949"/>
      <c r="K6" s="67">
        <f>J6+'25'!K6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26" t="s">
        <v>9</v>
      </c>
      <c r="C7" s="25"/>
      <c r="D7" s="149">
        <f>'01'!D7</f>
        <v>0</v>
      </c>
      <c r="E7" s="19"/>
      <c r="F7" s="18">
        <v>0</v>
      </c>
      <c r="G7" s="24"/>
      <c r="H7" s="18">
        <f>F7+'25'!H7</f>
        <v>0</v>
      </c>
      <c r="I7" s="23"/>
      <c r="J7" s="949"/>
      <c r="K7" s="67">
        <f>J7+'25'!K7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26" t="s">
        <v>9</v>
      </c>
      <c r="C8" s="25"/>
      <c r="D8" s="96">
        <f>'01'!D8</f>
        <v>0</v>
      </c>
      <c r="E8" s="19"/>
      <c r="F8" s="24"/>
      <c r="G8" s="24"/>
      <c r="H8" s="18">
        <f>F8+'25'!H8</f>
        <v>0</v>
      </c>
      <c r="I8" s="17"/>
      <c r="J8" s="949"/>
      <c r="K8" s="67">
        <f>J8+'25'!K8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collapsed="1">
      <c r="A9" s="41" t="s">
        <v>65</v>
      </c>
      <c r="B9" s="26" t="s">
        <v>9</v>
      </c>
      <c r="C9" s="25">
        <f>'25'!C9</f>
        <v>160800</v>
      </c>
      <c r="D9" s="25">
        <f>'25'!D9</f>
        <v>127072.29376141207</v>
      </c>
      <c r="E9" s="97">
        <v>6700</v>
      </c>
      <c r="F9" s="24">
        <f>F10+F11+F13+F12</f>
        <v>0</v>
      </c>
      <c r="G9" s="24">
        <f>E9+'25'!G9</f>
        <v>127300</v>
      </c>
      <c r="H9" s="24">
        <f>F9+'25'!H9</f>
        <v>10202.455966818135</v>
      </c>
      <c r="I9" s="23">
        <f>IFERROR((H9/G9),0)</f>
        <v>8.0144980100692348E-2</v>
      </c>
      <c r="J9" s="946">
        <f>J10+J11+J12+J13</f>
        <v>0</v>
      </c>
      <c r="K9" s="47">
        <f>J9+'25'!K9</f>
        <v>17027.103675312697</v>
      </c>
      <c r="L9" s="25">
        <f>D9+H9-K9+M9+N9</f>
        <v>120247.64605291751</v>
      </c>
      <c r="M9" s="417"/>
      <c r="N9" s="53">
        <f>N10</f>
        <v>0</v>
      </c>
      <c r="O9" s="1246"/>
      <c r="P9" s="1247"/>
      <c r="Q9" s="604">
        <v>-23266.571785975502</v>
      </c>
      <c r="R9" s="602">
        <f>J9-Q9</f>
        <v>23266.571785975502</v>
      </c>
      <c r="S9" s="614"/>
      <c r="T9" s="2"/>
    </row>
    <row r="10" spans="1:20">
      <c r="A10" s="74" t="s">
        <v>64</v>
      </c>
      <c r="B10" s="26" t="s">
        <v>9</v>
      </c>
      <c r="C10" s="25">
        <f>'25'!C10</f>
        <v>0</v>
      </c>
      <c r="D10" s="20">
        <f>'25'!D10</f>
        <v>56300.273909357406</v>
      </c>
      <c r="E10" s="48"/>
      <c r="F10" s="110">
        <v>0</v>
      </c>
      <c r="G10" s="24">
        <f>E10+'25'!G10</f>
        <v>0</v>
      </c>
      <c r="H10" s="18">
        <f>F10+'25'!H10</f>
        <v>10202.455966818135</v>
      </c>
      <c r="I10" s="23"/>
      <c r="J10" s="178">
        <v>-1400</v>
      </c>
      <c r="K10" s="67">
        <f>J10+'25'!K10</f>
        <v>15627.103675312697</v>
      </c>
      <c r="L10" s="149">
        <f>D10+H10-K10+M10+N10</f>
        <v>50875.62620086284</v>
      </c>
      <c r="M10" s="53"/>
      <c r="N10" s="101"/>
      <c r="O10" s="1199"/>
      <c r="P10" s="1200"/>
      <c r="Q10" s="604"/>
      <c r="R10" s="602"/>
    </row>
    <row r="11" spans="1:20">
      <c r="A11" s="74" t="s">
        <v>244</v>
      </c>
      <c r="B11" s="26" t="s">
        <v>9</v>
      </c>
      <c r="C11" s="25">
        <f>'25'!C11</f>
        <v>0</v>
      </c>
      <c r="D11" s="20">
        <f>'25'!D11</f>
        <v>18224.01726010743</v>
      </c>
      <c r="E11" s="48"/>
      <c r="F11" s="18"/>
      <c r="G11" s="24">
        <f>E11+'25'!G11</f>
        <v>0</v>
      </c>
      <c r="H11" s="18">
        <f>F11+'25'!H11</f>
        <v>0</v>
      </c>
      <c r="I11" s="23"/>
      <c r="J11" s="178">
        <v>0</v>
      </c>
      <c r="K11" s="67">
        <f>J11+'25'!K11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</row>
    <row r="12" spans="1:20" outlineLevel="1">
      <c r="A12" s="79" t="s">
        <v>154</v>
      </c>
      <c r="B12" s="26" t="s">
        <v>9</v>
      </c>
      <c r="C12" s="310"/>
      <c r="D12" s="20">
        <f>'25'!D12</f>
        <v>52548.002591947239</v>
      </c>
      <c r="E12" s="312">
        <f>C12/31</f>
        <v>0</v>
      </c>
      <c r="F12" s="18"/>
      <c r="G12" s="18">
        <f>E12+'25'!G12</f>
        <v>0</v>
      </c>
      <c r="H12" s="18">
        <f>F12+'25'!H12</f>
        <v>0</v>
      </c>
      <c r="I12" s="955">
        <f>IFERROR((H12/G12),0)</f>
        <v>0</v>
      </c>
      <c r="J12" s="192">
        <v>1400</v>
      </c>
      <c r="K12" s="67">
        <f>J12+'25'!K12</f>
        <v>1400</v>
      </c>
      <c r="L12" s="149">
        <f>D12+H12-K12</f>
        <v>51148.002591947239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E13+'25'!G13</f>
        <v>0</v>
      </c>
      <c r="H13" s="110">
        <f>F13+'25'!H13</f>
        <v>0</v>
      </c>
      <c r="I13" s="23"/>
      <c r="J13" s="178"/>
      <c r="K13" s="124">
        <f>J13+'25'!K13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6487.0000000000009</v>
      </c>
      <c r="F14" s="30">
        <f>SUM(F15:F21)</f>
        <v>0</v>
      </c>
      <c r="G14" s="30">
        <f>SUM(G15:G21)</f>
        <v>163858.99999999997</v>
      </c>
      <c r="H14" s="30">
        <f>SUM(H15:H21)</f>
        <v>18857.68830004807</v>
      </c>
      <c r="I14" s="29">
        <f t="shared" ref="I14:I21" si="1">IFERROR((H14/G14),0)</f>
        <v>0.11508484916939608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105" t="s">
        <v>60</v>
      </c>
      <c r="B15" s="9" t="s">
        <v>9</v>
      </c>
      <c r="C15" s="20">
        <f>'25'!C15</f>
        <v>0</v>
      </c>
      <c r="D15" s="20">
        <f>'25'!D15</f>
        <v>0</v>
      </c>
      <c r="E15" s="19">
        <v>0</v>
      </c>
      <c r="F15" s="193"/>
      <c r="G15" s="24">
        <f>E15+'25'!G15</f>
        <v>0</v>
      </c>
      <c r="H15" s="24">
        <f>F15+'25'!H15</f>
        <v>0</v>
      </c>
      <c r="I15" s="17">
        <f t="shared" si="1"/>
        <v>0</v>
      </c>
      <c r="J15" s="192">
        <v>0</v>
      </c>
      <c r="K15" s="67">
        <f>J15+'25'!K15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</row>
    <row r="16" spans="1:20" ht="18" customHeight="1">
      <c r="A16" s="44" t="s">
        <v>254</v>
      </c>
      <c r="B16" s="9" t="s">
        <v>9</v>
      </c>
      <c r="C16" s="20">
        <f>'01'!C16</f>
        <v>44352</v>
      </c>
      <c r="D16" s="20">
        <f>'25'!D16</f>
        <v>6069.3572595923979</v>
      </c>
      <c r="E16" s="134">
        <v>1475.1406070549633</v>
      </c>
      <c r="F16" s="171">
        <v>0</v>
      </c>
      <c r="G16" s="18">
        <f>E16+'25'!G16</f>
        <v>37261.455947497947</v>
      </c>
      <c r="H16" s="18">
        <f>F16+'25'!H16</f>
        <v>3228.5002277343951</v>
      </c>
      <c r="I16" s="17">
        <f t="shared" si="1"/>
        <v>8.6644500211784783E-2</v>
      </c>
      <c r="J16" s="751">
        <f>IFERROR(SUMIF(A101:A114,A16,E101:E114),0)+E111+E112+E113</f>
        <v>0</v>
      </c>
      <c r="K16" s="67">
        <f>J16+'25'!K16</f>
        <v>3320.85</v>
      </c>
      <c r="L16" s="60">
        <f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0" ht="15" customHeight="1">
      <c r="A17" s="733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E17+'25'!G17</f>
        <v>0</v>
      </c>
      <c r="H17" s="18">
        <f>F17+'25'!H17</f>
        <v>0</v>
      </c>
      <c r="I17" s="17">
        <f t="shared" si="1"/>
        <v>0</v>
      </c>
      <c r="J17" s="751">
        <f>IFERROR(SUMIF(A102:A115,A17,E102:E115),0)+E116+E119+E121+E114</f>
        <v>0</v>
      </c>
      <c r="K17" s="67">
        <f>J17+'25'!K17</f>
        <v>0</v>
      </c>
      <c r="L17" s="60">
        <f>D17+H17-K17+M17</f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0" ht="15" customHeight="1">
      <c r="A18" s="44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E18+'25'!G18</f>
        <v>0</v>
      </c>
      <c r="H18" s="18">
        <f>F18+'25'!H18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J18+'25'!K18</f>
        <v>0</v>
      </c>
      <c r="L18" s="60">
        <f>D18+H18-K18-M18</f>
        <v>3183.2380657083054</v>
      </c>
      <c r="M18" s="101"/>
      <c r="N18" s="427"/>
      <c r="O18" s="1378"/>
      <c r="P18" s="1379"/>
      <c r="Q18" s="602"/>
      <c r="R18" s="602"/>
    </row>
    <row r="19" spans="1:20" s="56" customFormat="1">
      <c r="A19" s="123" t="str">
        <f>'01'!A19</f>
        <v>ЦЕМ I 52.5Н</v>
      </c>
      <c r="B19" s="59" t="s">
        <v>9</v>
      </c>
      <c r="C19" s="20">
        <f>'25'!C19</f>
        <v>145770</v>
      </c>
      <c r="D19" s="20">
        <f>'01'!D19</f>
        <v>12764.733711905967</v>
      </c>
      <c r="E19" s="250">
        <v>4848.287479491386</v>
      </c>
      <c r="F19" s="131">
        <v>0</v>
      </c>
      <c r="G19" s="18">
        <f>E19+'25'!G19</f>
        <v>122465.78358285478</v>
      </c>
      <c r="H19" s="18">
        <f>F19+'25'!H19</f>
        <v>15629.188072313675</v>
      </c>
      <c r="I19" s="957">
        <f t="shared" si="1"/>
        <v>0.1276208555162649</v>
      </c>
      <c r="J19" s="751">
        <f>IFERROR(SUMIF(A102:A115,A19,E102:E115),0)+E117+E115+E122</f>
        <v>0</v>
      </c>
      <c r="K19" s="67">
        <f>J19+'25'!K19</f>
        <v>14803.599999999995</v>
      </c>
      <c r="L19" s="60">
        <f>D19+H19-K19-M19</f>
        <v>13590.321784219646</v>
      </c>
      <c r="M19" s="403"/>
      <c r="N19" s="428"/>
      <c r="O19" s="1378"/>
      <c r="P19" s="1379"/>
      <c r="Q19" s="602"/>
      <c r="R19" s="602"/>
    </row>
    <row r="20" spans="1:20">
      <c r="A20" s="44" t="s">
        <v>245</v>
      </c>
      <c r="B20" s="9" t="s">
        <v>9</v>
      </c>
      <c r="C20" s="20">
        <f>'25'!C20</f>
        <v>3558</v>
      </c>
      <c r="D20" s="20">
        <f>'25'!D20</f>
        <v>3404.0479510608047</v>
      </c>
      <c r="E20" s="134">
        <v>118.33852543068089</v>
      </c>
      <c r="F20" s="110">
        <v>0</v>
      </c>
      <c r="G20" s="18">
        <f>E20+'25'!G20</f>
        <v>2989.1833572600494</v>
      </c>
      <c r="H20" s="18">
        <f>F20+'25'!H20</f>
        <v>0</v>
      </c>
      <c r="I20" s="17">
        <f t="shared" si="1"/>
        <v>0</v>
      </c>
      <c r="J20" s="751">
        <f>IFERROR(SUMIF(A102:A115,A20,E102:E115),0)</f>
        <v>0</v>
      </c>
      <c r="K20" s="67">
        <f>J20+'25'!K20</f>
        <v>826.59999999999991</v>
      </c>
      <c r="L20" s="60">
        <f>D20+H20-K20+M20</f>
        <v>2577.4479510608048</v>
      </c>
      <c r="M20" s="53"/>
      <c r="N20" s="427"/>
      <c r="O20" s="1378"/>
      <c r="P20" s="1379"/>
      <c r="Q20" s="602"/>
      <c r="R20" s="602"/>
      <c r="S20" s="5"/>
    </row>
    <row r="21" spans="1:20" ht="15.75" customHeight="1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45.233388022969642</v>
      </c>
      <c r="F21" s="110">
        <v>0</v>
      </c>
      <c r="G21" s="18">
        <f>E21+'25'!G21</f>
        <v>1142.5771123872025</v>
      </c>
      <c r="H21" s="18">
        <f>F21+'25'!H21</f>
        <v>0</v>
      </c>
      <c r="I21" s="17">
        <f t="shared" si="1"/>
        <v>0</v>
      </c>
      <c r="J21" s="751">
        <f>IFERROR(SUMIF(A102:A115,A21,E102:E115),0)</f>
        <v>0</v>
      </c>
      <c r="K21" s="67">
        <f>J21+'25'!K21</f>
        <v>0</v>
      </c>
      <c r="L21" s="60">
        <f>D21+H21-K21+M21</f>
        <v>8.7766238721087575E-11</v>
      </c>
      <c r="M21" s="409"/>
      <c r="N21" s="429"/>
      <c r="O21" s="1378"/>
      <c r="P21" s="1379"/>
      <c r="Q21" s="602"/>
      <c r="R21" s="602"/>
    </row>
    <row r="22" spans="1:20" ht="15.75" customHeight="1">
      <c r="A22" s="733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110">
        <v>0</v>
      </c>
      <c r="G22" s="18">
        <f>E22+'25'!G22</f>
        <v>1100</v>
      </c>
      <c r="H22" s="18">
        <f>F22+'25'!H22</f>
        <v>2130.1044634377968</v>
      </c>
      <c r="I22" s="23"/>
      <c r="J22" s="751">
        <f>IFERROR(SUMIF(A103:A123,A22,E103:E123),0)+E109</f>
        <v>0</v>
      </c>
      <c r="K22" s="67">
        <f>J22+'25'!K22</f>
        <v>757.20000000000016</v>
      </c>
      <c r="L22" s="60">
        <f>D22+H22-K22+M22</f>
        <v>4206.655098319975</v>
      </c>
      <c r="M22" s="409"/>
      <c r="N22" s="429"/>
      <c r="O22" s="1378"/>
      <c r="P22" s="1379"/>
      <c r="Q22" s="602"/>
      <c r="R22" s="602"/>
    </row>
    <row r="23" spans="1:20" s="4" customFormat="1">
      <c r="A23" s="245" t="s">
        <v>226</v>
      </c>
      <c r="B23" s="26" t="s">
        <v>9</v>
      </c>
      <c r="C23" s="25">
        <f>'25'!C23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E23+'25'!G23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J23+'25'!K23</f>
        <v>20</v>
      </c>
      <c r="L23" s="584">
        <f>D23+H23-K23+M23</f>
        <v>32</v>
      </c>
      <c r="M23" s="416"/>
      <c r="N23" s="432"/>
      <c r="O23" s="1254"/>
      <c r="P23" s="1255"/>
      <c r="Q23" s="606"/>
      <c r="R23" s="606"/>
      <c r="S23" s="616"/>
      <c r="T23" s="3"/>
    </row>
    <row r="24" spans="1:20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E24+'25'!G24</f>
        <v>0</v>
      </c>
      <c r="H24" s="18">
        <f>F24+'25'!H24</f>
        <v>0</v>
      </c>
      <c r="I24" s="23"/>
      <c r="J24" s="752">
        <v>0</v>
      </c>
      <c r="K24" s="67">
        <f>J24+'25'!K24</f>
        <v>0</v>
      </c>
      <c r="L24" s="60">
        <f t="shared" ref="L24:L37" si="2">D24+H24-K24+M24</f>
        <v>0</v>
      </c>
      <c r="M24" s="416"/>
      <c r="N24" s="432"/>
      <c r="O24" s="925"/>
      <c r="P24" s="926"/>
      <c r="Q24" s="606"/>
      <c r="R24" s="606"/>
      <c r="S24" s="616"/>
      <c r="T24" s="3"/>
    </row>
    <row r="25" spans="1:20" s="4" customFormat="1" hidden="1" outlineLevel="1">
      <c r="A25" s="4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E25+'25'!G25</f>
        <v>0</v>
      </c>
      <c r="H25" s="18">
        <f>F25+'25'!H25</f>
        <v>0</v>
      </c>
      <c r="I25" s="23"/>
      <c r="J25" s="752">
        <v>0</v>
      </c>
      <c r="K25" s="67">
        <f>J25+'25'!K25</f>
        <v>20</v>
      </c>
      <c r="L25" s="60">
        <f t="shared" si="2"/>
        <v>-4</v>
      </c>
      <c r="M25" s="416"/>
      <c r="N25" s="432"/>
      <c r="O25" s="925"/>
      <c r="P25" s="926"/>
      <c r="Q25" s="606"/>
      <c r="R25" s="606"/>
      <c r="S25" s="616"/>
      <c r="T25" s="3"/>
    </row>
    <row r="26" spans="1:20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E26+'25'!G26</f>
        <v>0</v>
      </c>
      <c r="H26" s="18">
        <f>F26+'25'!H26</f>
        <v>0</v>
      </c>
      <c r="I26" s="23"/>
      <c r="J26" s="752">
        <v>0</v>
      </c>
      <c r="K26" s="67">
        <f>J26+'25'!K26</f>
        <v>0</v>
      </c>
      <c r="L26" s="60">
        <f t="shared" si="2"/>
        <v>36</v>
      </c>
      <c r="M26" s="416"/>
      <c r="N26" s="432"/>
      <c r="O26" s="925"/>
      <c r="P26" s="926"/>
      <c r="Q26" s="606"/>
      <c r="R26" s="606"/>
      <c r="S26" s="616"/>
      <c r="T26" s="3"/>
    </row>
    <row r="27" spans="1:20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E27+'25'!G27</f>
        <v>0</v>
      </c>
      <c r="H27" s="18">
        <f>F27+'25'!H27</f>
        <v>0</v>
      </c>
      <c r="I27" s="23"/>
      <c r="J27" s="752"/>
      <c r="K27" s="67">
        <f>J27+'25'!K27</f>
        <v>0</v>
      </c>
      <c r="L27" s="60">
        <f t="shared" si="2"/>
        <v>0</v>
      </c>
      <c r="M27" s="416"/>
      <c r="N27" s="432"/>
      <c r="O27" s="925"/>
      <c r="P27" s="926"/>
      <c r="Q27" s="606"/>
      <c r="R27" s="606"/>
      <c r="S27" s="616"/>
      <c r="T27" s="3"/>
    </row>
    <row r="28" spans="1:20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E28+'25'!G28</f>
        <v>0</v>
      </c>
      <c r="H28" s="18">
        <f>F28+'25'!H28</f>
        <v>0</v>
      </c>
      <c r="I28" s="23"/>
      <c r="J28" s="752"/>
      <c r="K28" s="67">
        <f>J28+'25'!K28</f>
        <v>0</v>
      </c>
      <c r="L28" s="60">
        <f t="shared" si="2"/>
        <v>0</v>
      </c>
      <c r="M28" s="416"/>
      <c r="N28" s="432"/>
      <c r="O28" s="925"/>
      <c r="P28" s="926"/>
      <c r="Q28" s="606"/>
      <c r="R28" s="606"/>
      <c r="S28" s="616"/>
      <c r="T28" s="3"/>
    </row>
    <row r="29" spans="1:20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E29+'25'!G29</f>
        <v>0</v>
      </c>
      <c r="H29" s="18">
        <f>F29+'25'!H29</f>
        <v>0</v>
      </c>
      <c r="I29" s="23"/>
      <c r="J29" s="752"/>
      <c r="K29" s="67">
        <f>J29+'25'!K29</f>
        <v>0</v>
      </c>
      <c r="L29" s="60">
        <f t="shared" si="2"/>
        <v>0</v>
      </c>
      <c r="M29" s="416"/>
      <c r="N29" s="432"/>
      <c r="O29" s="925"/>
      <c r="P29" s="926"/>
      <c r="Q29" s="606"/>
      <c r="R29" s="606"/>
      <c r="S29" s="616"/>
      <c r="T29" s="3"/>
    </row>
    <row r="30" spans="1:20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E30+'25'!G30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J30+'25'!K30</f>
        <v>994.39999999999986</v>
      </c>
      <c r="L30" s="584">
        <f t="shared" si="2"/>
        <v>1073.6000000000001</v>
      </c>
      <c r="M30" s="416"/>
      <c r="N30" s="432"/>
      <c r="O30" s="1324"/>
      <c r="P30" s="1255"/>
      <c r="Q30" s="606"/>
      <c r="R30" s="606"/>
      <c r="S30" s="616"/>
      <c r="T30" s="3"/>
    </row>
    <row r="31" spans="1:20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E31+'25'!G31</f>
        <v>0</v>
      </c>
      <c r="H31" s="18">
        <f>F31+'25'!H31</f>
        <v>0</v>
      </c>
      <c r="I31" s="23"/>
      <c r="J31" s="865">
        <v>0</v>
      </c>
      <c r="K31" s="67">
        <f>J31+'25'!K31</f>
        <v>0</v>
      </c>
      <c r="L31" s="60">
        <f t="shared" si="2"/>
        <v>0</v>
      </c>
      <c r="M31" s="416"/>
      <c r="N31" s="432"/>
      <c r="O31" s="925"/>
      <c r="P31" s="926"/>
      <c r="Q31" s="606"/>
      <c r="R31" s="606"/>
      <c r="S31" s="616"/>
      <c r="T31" s="3"/>
    </row>
    <row r="32" spans="1:20" s="4" customFormat="1" hidden="1" outlineLevel="1">
      <c r="A32" s="44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E32+'25'!G32</f>
        <v>0</v>
      </c>
      <c r="H32" s="18">
        <f>F32+'25'!H32</f>
        <v>554.40000000000009</v>
      </c>
      <c r="I32" s="23"/>
      <c r="J32" s="865">
        <v>0</v>
      </c>
      <c r="K32" s="67">
        <f>J32+'25'!K32</f>
        <v>994.39999999999986</v>
      </c>
      <c r="L32" s="60">
        <f t="shared" si="2"/>
        <v>1068.3200000000004</v>
      </c>
      <c r="M32" s="416"/>
      <c r="N32" s="432"/>
      <c r="O32" s="925"/>
      <c r="P32" s="926"/>
      <c r="Q32" s="606"/>
      <c r="R32" s="606"/>
      <c r="S32" s="616"/>
      <c r="T32" s="3"/>
    </row>
    <row r="33" spans="1:20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E33+'25'!G33</f>
        <v>0</v>
      </c>
      <c r="H33" s="18">
        <f>F33+'25'!H33</f>
        <v>0</v>
      </c>
      <c r="I33" s="23"/>
      <c r="J33" s="865">
        <v>0</v>
      </c>
      <c r="K33" s="67">
        <f>J33+'25'!K33</f>
        <v>0</v>
      </c>
      <c r="L33" s="60">
        <f t="shared" si="2"/>
        <v>5.28</v>
      </c>
      <c r="M33" s="416"/>
      <c r="N33" s="432"/>
      <c r="O33" s="925"/>
      <c r="P33" s="926"/>
      <c r="Q33" s="606"/>
      <c r="R33" s="606"/>
      <c r="S33" s="616"/>
      <c r="T33" s="3"/>
    </row>
    <row r="34" spans="1:20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E34+'25'!G34</f>
        <v>0</v>
      </c>
      <c r="H34" s="18">
        <f>F34+'25'!H34</f>
        <v>0</v>
      </c>
      <c r="I34" s="23"/>
      <c r="J34" s="865"/>
      <c r="K34" s="67">
        <f>J34+'25'!K34</f>
        <v>0</v>
      </c>
      <c r="L34" s="60">
        <f t="shared" si="2"/>
        <v>0</v>
      </c>
      <c r="M34" s="416"/>
      <c r="N34" s="432"/>
      <c r="O34" s="925"/>
      <c r="P34" s="926"/>
      <c r="Q34" s="606"/>
      <c r="R34" s="606"/>
      <c r="S34" s="616"/>
      <c r="T34" s="3"/>
    </row>
    <row r="35" spans="1:20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E35+'25'!G35</f>
        <v>0</v>
      </c>
      <c r="H35" s="18">
        <f>F35+'25'!H35</f>
        <v>0</v>
      </c>
      <c r="I35" s="23"/>
      <c r="J35" s="865"/>
      <c r="K35" s="67">
        <f>J35+'25'!K35</f>
        <v>0</v>
      </c>
      <c r="L35" s="60">
        <f t="shared" si="2"/>
        <v>0</v>
      </c>
      <c r="M35" s="416"/>
      <c r="N35" s="432"/>
      <c r="O35" s="925"/>
      <c r="P35" s="926"/>
      <c r="Q35" s="606"/>
      <c r="R35" s="606"/>
      <c r="S35" s="616"/>
      <c r="T35" s="3"/>
    </row>
    <row r="36" spans="1:20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E36+'25'!G36</f>
        <v>0</v>
      </c>
      <c r="H36" s="18">
        <f>F36+'25'!H36</f>
        <v>0</v>
      </c>
      <c r="I36" s="23"/>
      <c r="J36" s="110">
        <v>0</v>
      </c>
      <c r="K36" s="67">
        <f>J36+'25'!K36</f>
        <v>0</v>
      </c>
      <c r="L36" s="60">
        <f t="shared" si="2"/>
        <v>1673.24</v>
      </c>
      <c r="M36" s="416"/>
      <c r="N36" s="432"/>
      <c r="O36" s="925"/>
      <c r="P36" s="926"/>
      <c r="Q36" s="606"/>
      <c r="R36" s="606"/>
      <c r="S36" s="616"/>
      <c r="T36" s="3"/>
    </row>
    <row r="37" spans="1:20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E37+'25'!G37</f>
        <v>0</v>
      </c>
      <c r="H37" s="18">
        <f>F37+'25'!H37</f>
        <v>0</v>
      </c>
      <c r="I37" s="23"/>
      <c r="J37" s="110">
        <v>0</v>
      </c>
      <c r="K37" s="67">
        <f>J37+'25'!K37</f>
        <v>0</v>
      </c>
      <c r="L37" s="60">
        <f t="shared" si="2"/>
        <v>294.63999999999987</v>
      </c>
      <c r="M37" s="416"/>
      <c r="N37" s="432"/>
      <c r="O37" s="925"/>
      <c r="P37" s="926"/>
      <c r="Q37" s="606"/>
      <c r="R37" s="606"/>
      <c r="S37" s="616"/>
      <c r="T37" s="3"/>
    </row>
    <row r="38" spans="1:20" collapsed="1">
      <c r="A38" s="669" t="s">
        <v>66</v>
      </c>
      <c r="B38" s="670" t="s">
        <v>9</v>
      </c>
      <c r="C38" s="310">
        <f>'25'!C38</f>
        <v>153958.10705780028</v>
      </c>
      <c r="D38" s="310">
        <f>'25'!D38</f>
        <v>1756.9829593932955</v>
      </c>
      <c r="E38" s="97">
        <f>C38/31</f>
        <v>4966.3905502516218</v>
      </c>
      <c r="F38" s="671">
        <f>SUM(F39:F42)</f>
        <v>0</v>
      </c>
      <c r="G38" s="671">
        <f>E38+'25'!G38</f>
        <v>129126.15430654224</v>
      </c>
      <c r="H38" s="671">
        <f>F38+'25'!H38</f>
        <v>9132.5707721894778</v>
      </c>
      <c r="I38" s="958">
        <f>IFERROR((H38/G38),0)</f>
        <v>7.0725956497620021E-2</v>
      </c>
      <c r="J38" s="753">
        <f>SUM(J39:J40)</f>
        <v>0</v>
      </c>
      <c r="K38" s="672">
        <f>J38+'25'!K38</f>
        <v>9083.5707721894778</v>
      </c>
      <c r="L38" s="310">
        <f>D38+H38-K38</f>
        <v>1805.9829593932955</v>
      </c>
      <c r="M38" s="76"/>
      <c r="N38" s="45"/>
      <c r="O38" s="1256"/>
      <c r="P38" s="1257"/>
      <c r="Q38" s="607"/>
      <c r="R38" s="602"/>
      <c r="S38" s="614"/>
      <c r="T38" s="261"/>
    </row>
    <row r="39" spans="1:20" ht="15.75" customHeight="1">
      <c r="A39" s="74" t="s">
        <v>91</v>
      </c>
      <c r="B39" s="9" t="s">
        <v>9</v>
      </c>
      <c r="C39" s="20"/>
      <c r="D39" s="20"/>
      <c r="E39" s="48"/>
      <c r="F39" s="110">
        <v>0</v>
      </c>
      <c r="G39" s="18"/>
      <c r="H39" s="18">
        <f>F39+'25'!H39</f>
        <v>6840.5707721894778</v>
      </c>
      <c r="I39" s="17"/>
      <c r="J39" s="750">
        <f>F39</f>
        <v>0</v>
      </c>
      <c r="K39" s="67">
        <f>J39+'25'!K39</f>
        <v>6840.5707721894778</v>
      </c>
      <c r="L39" s="20"/>
      <c r="M39" s="76"/>
      <c r="N39" s="45"/>
      <c r="O39" s="1256"/>
      <c r="P39" s="1257"/>
      <c r="Q39" s="607"/>
      <c r="R39" s="602"/>
      <c r="S39" s="614"/>
      <c r="T39" s="2"/>
    </row>
    <row r="40" spans="1:20" ht="15.75" customHeight="1">
      <c r="A40" s="74" t="s">
        <v>109</v>
      </c>
      <c r="B40" s="9" t="s">
        <v>9</v>
      </c>
      <c r="C40" s="20"/>
      <c r="D40" s="20"/>
      <c r="E40" s="48"/>
      <c r="F40" s="110">
        <v>0</v>
      </c>
      <c r="G40" s="18"/>
      <c r="H40" s="18">
        <f>F40+'25'!H40</f>
        <v>2292</v>
      </c>
      <c r="I40" s="17"/>
      <c r="J40" s="178">
        <v>0</v>
      </c>
      <c r="K40" s="67">
        <f>J40+'25'!K40</f>
        <v>2243</v>
      </c>
      <c r="L40" s="20"/>
      <c r="M40" s="76"/>
      <c r="N40" s="45"/>
      <c r="O40" s="1256"/>
      <c r="P40" s="1257"/>
      <c r="Q40" s="607"/>
      <c r="R40" s="602"/>
      <c r="S40" s="614"/>
      <c r="T40" s="2"/>
    </row>
    <row r="41" spans="1:20" ht="15.75" hidden="1" customHeight="1" outlineLevel="1">
      <c r="A41" s="74" t="s">
        <v>67</v>
      </c>
      <c r="B41" s="9" t="s">
        <v>9</v>
      </c>
      <c r="C41" s="20"/>
      <c r="D41" s="20"/>
      <c r="E41" s="48"/>
      <c r="F41" s="18"/>
      <c r="G41" s="18"/>
      <c r="H41" s="18">
        <f>F41+'25'!H41</f>
        <v>0</v>
      </c>
      <c r="I41" s="17"/>
      <c r="J41" s="192"/>
      <c r="K41" s="67">
        <f>J41+'25'!K41</f>
        <v>0</v>
      </c>
      <c r="L41" s="20"/>
      <c r="M41" s="76"/>
      <c r="N41" s="45"/>
      <c r="O41" s="1256"/>
      <c r="P41" s="1257"/>
      <c r="Q41" s="607"/>
      <c r="R41" s="602"/>
      <c r="S41" s="614"/>
      <c r="T41" s="2"/>
    </row>
    <row r="42" spans="1:20" ht="15.75" hidden="1" customHeight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F42+'25'!H42</f>
        <v>0</v>
      </c>
      <c r="I42" s="17"/>
      <c r="J42" s="192"/>
      <c r="K42" s="67">
        <f>J42+'25'!K42</f>
        <v>0</v>
      </c>
      <c r="L42" s="20"/>
      <c r="M42" s="76"/>
      <c r="N42" s="45"/>
      <c r="O42" s="1256"/>
      <c r="P42" s="1257"/>
      <c r="Q42" s="607"/>
      <c r="R42" s="602"/>
      <c r="S42" s="614"/>
      <c r="T42" s="2"/>
    </row>
    <row r="43" spans="1:20" ht="15.75" customHeight="1" collapsed="1">
      <c r="A43" s="74" t="s">
        <v>63</v>
      </c>
      <c r="B43" s="9" t="s">
        <v>9</v>
      </c>
      <c r="C43" s="20">
        <f>'25'!C43</f>
        <v>96601.878796744204</v>
      </c>
      <c r="D43" s="20"/>
      <c r="E43" s="312">
        <f>C43/30</f>
        <v>3220.06262655814</v>
      </c>
      <c r="F43" s="110">
        <v>0</v>
      </c>
      <c r="G43" s="18">
        <f>E43+'25'!G43</f>
        <v>83721.62829051161</v>
      </c>
      <c r="H43" s="18">
        <f>F43+'25'!H43</f>
        <v>8403.7999999999993</v>
      </c>
      <c r="I43" s="17">
        <f>IFERROR((H43/G43),0)</f>
        <v>0.10037788528000266</v>
      </c>
      <c r="J43" s="192">
        <f>F43</f>
        <v>0</v>
      </c>
      <c r="K43" s="67">
        <f>J43+'25'!K43</f>
        <v>8403.7999999999993</v>
      </c>
      <c r="L43" s="20">
        <f>D43+H43-K43</f>
        <v>0</v>
      </c>
      <c r="M43" s="76"/>
      <c r="N43" s="45"/>
      <c r="O43" s="1256"/>
      <c r="P43" s="1257"/>
      <c r="Q43" s="607"/>
      <c r="R43" s="602"/>
      <c r="S43" s="614"/>
      <c r="T43" s="2"/>
    </row>
    <row r="44" spans="1:20" s="4" customFormat="1">
      <c r="A44" s="74" t="s">
        <v>40</v>
      </c>
      <c r="B44" s="26" t="s">
        <v>9</v>
      </c>
      <c r="C44" s="20">
        <f>'25'!C44</f>
        <v>40846.933088751408</v>
      </c>
      <c r="D44" s="20">
        <f>'25'!D44</f>
        <v>3759.4565289122183</v>
      </c>
      <c r="E44" s="707">
        <f>C44/30</f>
        <v>1361.5644362917135</v>
      </c>
      <c r="F44" s="110">
        <v>0</v>
      </c>
      <c r="G44" s="18">
        <f>E44+'25'!G44</f>
        <v>35400.675343584538</v>
      </c>
      <c r="H44" s="18">
        <f>F44+'25'!H44</f>
        <v>7255</v>
      </c>
      <c r="I44" s="17">
        <f>IFERROR((H44/G44),0)</f>
        <v>0.20493959308928217</v>
      </c>
      <c r="J44" s="178">
        <v>0</v>
      </c>
      <c r="K44" s="67">
        <f>J44+'25'!K44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33"/>
    </row>
    <row r="45" spans="1:20" s="4" customFormat="1" hidden="1" outlineLevel="1">
      <c r="A45" s="74" t="s">
        <v>70</v>
      </c>
      <c r="B45" s="26"/>
      <c r="C45" s="20"/>
      <c r="D45" s="20"/>
      <c r="E45" s="19"/>
      <c r="F45" s="18"/>
      <c r="G45" s="18"/>
      <c r="H45" s="18">
        <f>F45+'25'!H45</f>
        <v>0</v>
      </c>
      <c r="I45" s="17"/>
      <c r="J45" s="192"/>
      <c r="K45" s="67">
        <f>J45+'25'!K45</f>
        <v>0</v>
      </c>
      <c r="L45" s="20"/>
      <c r="M45" s="76"/>
      <c r="N45" s="45"/>
      <c r="O45" s="1256"/>
      <c r="P45" s="1257"/>
      <c r="Q45" s="607"/>
      <c r="R45" s="606"/>
      <c r="S45" s="614"/>
      <c r="T45" s="2"/>
    </row>
    <row r="46" spans="1:20" s="4" customFormat="1" hidden="1" outlineLevel="1">
      <c r="A46" s="74" t="s">
        <v>71</v>
      </c>
      <c r="B46" s="26"/>
      <c r="C46" s="20"/>
      <c r="D46" s="20"/>
      <c r="E46" s="19"/>
      <c r="F46" s="18"/>
      <c r="G46" s="18"/>
      <c r="H46" s="18">
        <f>F46+'25'!H46</f>
        <v>0</v>
      </c>
      <c r="I46" s="17"/>
      <c r="J46" s="192"/>
      <c r="K46" s="67">
        <f>J46+'25'!K46</f>
        <v>0</v>
      </c>
      <c r="L46" s="20"/>
      <c r="M46" s="76"/>
      <c r="N46" s="45"/>
      <c r="O46" s="1256"/>
      <c r="P46" s="1257"/>
      <c r="Q46" s="607"/>
      <c r="R46" s="606"/>
      <c r="S46" s="614"/>
      <c r="T46" s="2"/>
    </row>
    <row r="47" spans="1:20" s="4" customFormat="1" hidden="1" outlineLevel="1">
      <c r="A47" s="74" t="s">
        <v>72</v>
      </c>
      <c r="B47" s="26"/>
      <c r="C47" s="20"/>
      <c r="D47" s="20"/>
      <c r="E47" s="48"/>
      <c r="F47" s="24"/>
      <c r="G47" s="24"/>
      <c r="H47" s="18">
        <f>F47+'25'!H47</f>
        <v>0</v>
      </c>
      <c r="I47" s="23"/>
      <c r="J47" s="946"/>
      <c r="K47" s="67">
        <f>J47+'25'!K47</f>
        <v>0</v>
      </c>
      <c r="L47" s="25"/>
      <c r="M47" s="76"/>
      <c r="N47" s="45"/>
      <c r="O47" s="1256"/>
      <c r="P47" s="1257"/>
      <c r="Q47" s="607"/>
      <c r="R47" s="606"/>
      <c r="S47" s="614"/>
      <c r="T47" s="2"/>
    </row>
    <row r="48" spans="1:20" s="4" customFormat="1" collapsed="1">
      <c r="A48" s="74" t="s">
        <v>106</v>
      </c>
      <c r="B48" s="9" t="s">
        <v>9</v>
      </c>
      <c r="C48" s="20">
        <f>'25'!C48</f>
        <v>238663.46526254449</v>
      </c>
      <c r="D48" s="20">
        <f>'25'!D48</f>
        <v>14554.971764167974</v>
      </c>
      <c r="E48" s="19">
        <f>C48/30</f>
        <v>7955.4488420848165</v>
      </c>
      <c r="F48" s="110">
        <v>0</v>
      </c>
      <c r="G48" s="18">
        <f>E48+'25'!G48</f>
        <v>206841.66989420529</v>
      </c>
      <c r="H48" s="18">
        <f>F48+'25'!H48</f>
        <v>15244.370772189477</v>
      </c>
      <c r="I48" s="17">
        <f>IFERROR((H48/G48),0)</f>
        <v>7.3700675400593205E-2</v>
      </c>
      <c r="J48" s="750">
        <v>0</v>
      </c>
      <c r="K48" s="67">
        <f>J48+'25'!K48</f>
        <v>27730.381517661059</v>
      </c>
      <c r="L48" s="20">
        <f>D48+H48-K48</f>
        <v>2068.961018696391</v>
      </c>
      <c r="M48" s="76"/>
      <c r="N48" s="45"/>
      <c r="O48" s="1256"/>
      <c r="P48" s="1257"/>
      <c r="Q48" s="607"/>
      <c r="R48" s="606"/>
      <c r="S48" s="614"/>
      <c r="T48" s="2"/>
    </row>
    <row r="49" spans="1:26" s="4" customFormat="1">
      <c r="A49" s="74" t="s">
        <v>107</v>
      </c>
      <c r="B49" s="26" t="s">
        <v>9</v>
      </c>
      <c r="C49" s="20">
        <f>'25'!C49</f>
        <v>256898.95024371953</v>
      </c>
      <c r="D49" s="20">
        <f>'25'!D49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206898.95024371953</v>
      </c>
      <c r="H49" s="18">
        <f>SUM(H50:H51)</f>
        <v>32176.186994748638</v>
      </c>
      <c r="I49" s="17">
        <f>IFERROR((H49/G49),0)</f>
        <v>0.15551643426342301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76"/>
      <c r="N49" s="194"/>
      <c r="O49" s="1380"/>
      <c r="P49" s="1381"/>
      <c r="Q49" s="608"/>
      <c r="R49" s="606"/>
      <c r="S49" s="606"/>
      <c r="T49" s="3"/>
    </row>
    <row r="50" spans="1:26">
      <c r="A50" s="123" t="s">
        <v>61</v>
      </c>
      <c r="B50" s="9" t="s">
        <v>9</v>
      </c>
      <c r="C50" s="20">
        <f>'25'!C50</f>
        <v>0</v>
      </c>
      <c r="D50" s="20">
        <f>'25'!D50</f>
        <v>2323.23</v>
      </c>
      <c r="E50" s="19">
        <v>0</v>
      </c>
      <c r="F50" s="18"/>
      <c r="G50" s="18">
        <f>E50+'25'!G50</f>
        <v>0</v>
      </c>
      <c r="H50" s="18">
        <f>F50+'25'!H50</f>
        <v>0</v>
      </c>
      <c r="I50" s="17">
        <f>IFERROR((H50/G50),0)</f>
        <v>0</v>
      </c>
      <c r="J50" s="192"/>
      <c r="K50" s="67">
        <f>J50+'25'!K50</f>
        <v>0</v>
      </c>
      <c r="L50" s="20">
        <f>D50+H50-K50+M50</f>
        <v>2323.23</v>
      </c>
      <c r="M50" s="410"/>
      <c r="N50" s="43"/>
      <c r="O50" s="1244"/>
      <c r="P50" s="1245"/>
      <c r="Q50" s="608"/>
      <c r="R50" s="602"/>
      <c r="S50" s="614"/>
      <c r="T50" s="261"/>
    </row>
    <row r="51" spans="1:26">
      <c r="A51" s="123" t="s">
        <v>62</v>
      </c>
      <c r="B51" s="9" t="s">
        <v>9</v>
      </c>
      <c r="C51" s="20">
        <f>'25'!C51</f>
        <v>256898.95024371953</v>
      </c>
      <c r="D51" s="20">
        <f>'25'!D51</f>
        <v>4567.1619969842723</v>
      </c>
      <c r="E51" s="134">
        <v>11000</v>
      </c>
      <c r="F51" s="110">
        <v>0</v>
      </c>
      <c r="G51" s="18">
        <f>E51+'25'!G51</f>
        <v>206898.95024371953</v>
      </c>
      <c r="H51" s="18">
        <f>F51+'25'!H51</f>
        <v>32176.186994748638</v>
      </c>
      <c r="I51" s="17">
        <f>IFERROR((H51/G51),0)</f>
        <v>0.15551643426342301</v>
      </c>
      <c r="J51" s="192">
        <f>O51-P51</f>
        <v>0</v>
      </c>
      <c r="K51" s="67">
        <f>J51+'25'!K51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'25'!C52</f>
        <v>0</v>
      </c>
      <c r="D52" s="20">
        <f>'25'!D52</f>
        <v>0</v>
      </c>
      <c r="E52" s="48"/>
      <c r="F52" s="24"/>
      <c r="G52" s="18"/>
      <c r="H52" s="18"/>
      <c r="I52" s="23"/>
      <c r="J52" s="946"/>
      <c r="K52" s="67"/>
      <c r="L52" s="25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'25'!C53</f>
        <v>0</v>
      </c>
      <c r="D53" s="20">
        <f>'25'!D53</f>
        <v>0</v>
      </c>
      <c r="E53" s="240">
        <f t="shared" ref="E53:E58" si="3">C53/$Q$2</f>
        <v>0</v>
      </c>
      <c r="F53" s="73">
        <v>0</v>
      </c>
      <c r="G53" s="24">
        <f>E53+'25'!G53</f>
        <v>0</v>
      </c>
      <c r="H53" s="24">
        <f>F53+'25'!H53</f>
        <v>0</v>
      </c>
      <c r="I53" s="957">
        <f t="shared" ref="I53:I58" si="4">IFERROR((H53/G53),0)</f>
        <v>0</v>
      </c>
      <c r="J53" s="624"/>
      <c r="K53" s="67">
        <f>J53+'25'!K53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'25'!C54</f>
        <v>10000</v>
      </c>
      <c r="D54" s="20">
        <f>'25'!D54</f>
        <v>13684.915881223626</v>
      </c>
      <c r="E54" s="240">
        <f t="shared" si="3"/>
        <v>322.58064516129031</v>
      </c>
      <c r="F54" s="73">
        <v>0</v>
      </c>
      <c r="G54" s="18">
        <f>E54+'25'!G54</f>
        <v>8387.0967741935528</v>
      </c>
      <c r="H54" s="18">
        <f>F54+'25'!H54</f>
        <v>0</v>
      </c>
      <c r="I54" s="957">
        <f t="shared" si="4"/>
        <v>0</v>
      </c>
      <c r="J54" s="754">
        <v>0</v>
      </c>
      <c r="K54" s="67">
        <f>J54+'25'!K54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'25'!C55</f>
        <v>17000</v>
      </c>
      <c r="D55" s="20">
        <f>'25'!D55</f>
        <v>3999.5665967852347</v>
      </c>
      <c r="E55" s="240">
        <f t="shared" si="3"/>
        <v>548.38709677419354</v>
      </c>
      <c r="F55" s="73">
        <v>0</v>
      </c>
      <c r="G55" s="18">
        <f>E55+'25'!G55</f>
        <v>14258.064516129027</v>
      </c>
      <c r="H55" s="18">
        <f>F55+'25'!H55</f>
        <v>0</v>
      </c>
      <c r="I55" s="957">
        <f t="shared" si="4"/>
        <v>0</v>
      </c>
      <c r="J55" s="754">
        <v>0</v>
      </c>
      <c r="K55" s="67">
        <f>J55+'25'!K55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'25'!C56</f>
        <v>0</v>
      </c>
      <c r="D56" s="20">
        <f>'25'!D56</f>
        <v>0</v>
      </c>
      <c r="E56" s="240">
        <f t="shared" si="3"/>
        <v>0</v>
      </c>
      <c r="F56" s="73">
        <v>0</v>
      </c>
      <c r="G56" s="18">
        <f>E56+'25'!G56</f>
        <v>0</v>
      </c>
      <c r="H56" s="18">
        <f>F56+'25'!H56</f>
        <v>0</v>
      </c>
      <c r="I56" s="957">
        <f t="shared" si="4"/>
        <v>0</v>
      </c>
      <c r="J56" s="624"/>
      <c r="K56" s="67">
        <f>J56+'25'!K56</f>
        <v>0</v>
      </c>
      <c r="L56" s="60">
        <f t="shared" si="5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'25'!C57</f>
        <v>0</v>
      </c>
      <c r="D57" s="20">
        <f>'25'!D57</f>
        <v>178.07499999999999</v>
      </c>
      <c r="E57" s="240">
        <f t="shared" si="3"/>
        <v>0</v>
      </c>
      <c r="F57" s="73">
        <v>0</v>
      </c>
      <c r="G57" s="18">
        <f>E57+'25'!G57</f>
        <v>0</v>
      </c>
      <c r="H57" s="18">
        <f>F57+'25'!H57</f>
        <v>0</v>
      </c>
      <c r="I57" s="957">
        <f t="shared" si="4"/>
        <v>0</v>
      </c>
      <c r="J57" s="624"/>
      <c r="K57" s="67">
        <f>J57+'25'!K57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'25'!C58</f>
        <v>0</v>
      </c>
      <c r="D58" s="20">
        <f>'25'!D58</f>
        <v>3480.6937513418743</v>
      </c>
      <c r="E58" s="240">
        <f t="shared" si="3"/>
        <v>0</v>
      </c>
      <c r="F58" s="73">
        <v>0</v>
      </c>
      <c r="G58" s="18">
        <f>E58+'25'!G58</f>
        <v>0</v>
      </c>
      <c r="H58" s="18">
        <f>F58+'25'!H58</f>
        <v>0</v>
      </c>
      <c r="I58" s="957">
        <f t="shared" si="4"/>
        <v>0</v>
      </c>
      <c r="J58" s="754">
        <v>0</v>
      </c>
      <c r="K58" s="67">
        <f>J58+'25'!K58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'25'!D59</f>
        <v>4269.0880030013104</v>
      </c>
      <c r="E59" s="240"/>
      <c r="F59" s="73">
        <v>0</v>
      </c>
      <c r="G59" s="18"/>
      <c r="H59" s="18">
        <f>F59+'25'!H59</f>
        <v>0</v>
      </c>
      <c r="I59" s="957"/>
      <c r="J59" s="754"/>
      <c r="K59" s="67">
        <f>J59+'25'!K59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F60+'25'!H60</f>
        <v>0</v>
      </c>
      <c r="I60" s="957"/>
      <c r="J60" s="754"/>
      <c r="K60" s="67">
        <f>J60+'25'!K60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'25'!D61</f>
        <v>1063.653</v>
      </c>
      <c r="E61" s="240"/>
      <c r="F61" s="73"/>
      <c r="G61" s="18"/>
      <c r="H61" s="18">
        <f>F61+'25'!H61</f>
        <v>0</v>
      </c>
      <c r="I61" s="957"/>
      <c r="J61" s="624">
        <f>D139+D141</f>
        <v>0</v>
      </c>
      <c r="K61" s="67">
        <f>J61+'25'!K61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'25'!D62</f>
        <v>1531.7249999999999</v>
      </c>
      <c r="E62" s="529"/>
      <c r="F62" s="530">
        <v>0</v>
      </c>
      <c r="G62" s="531"/>
      <c r="H62" s="18">
        <f>F62+'25'!H62</f>
        <v>0</v>
      </c>
      <c r="I62" s="532"/>
      <c r="J62" s="754">
        <v>0</v>
      </c>
      <c r="K62" s="528">
        <f>J62+'25'!K62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'25'!C63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F63+'25'!H63</f>
        <v>3329.1499999999996</v>
      </c>
      <c r="I63" s="1064"/>
      <c r="J63" s="1065">
        <v>0</v>
      </c>
      <c r="K63" s="1066">
        <f>J63+'25'!K63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'25'!D64</f>
        <v>452.58776173652768</v>
      </c>
      <c r="E64" s="529"/>
      <c r="F64" s="530"/>
      <c r="G64" s="531"/>
      <c r="H64" s="18">
        <f>F64+'25'!H64</f>
        <v>0</v>
      </c>
      <c r="I64" s="532"/>
      <c r="J64" s="624"/>
      <c r="K64" s="528">
        <f>J64+'25'!K64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'25'!D65</f>
        <v>0</v>
      </c>
      <c r="E65" s="240"/>
      <c r="F65" s="73"/>
      <c r="G65" s="18"/>
      <c r="H65" s="18">
        <f>F65+'25'!H65</f>
        <v>0</v>
      </c>
      <c r="I65" s="957"/>
      <c r="J65" s="624"/>
      <c r="K65" s="67">
        <f>J65+'25'!K65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'25'!D66</f>
        <v>0</v>
      </c>
      <c r="E66" s="240"/>
      <c r="F66" s="530"/>
      <c r="G66" s="18"/>
      <c r="H66" s="18">
        <f>F66+'25'!H66</f>
        <v>0</v>
      </c>
      <c r="I66" s="957"/>
      <c r="J66" s="624"/>
      <c r="K66" s="67">
        <f>J66+'25'!K66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'25'!D67</f>
        <v>243.8</v>
      </c>
      <c r="E67" s="240"/>
      <c r="F67" s="73"/>
      <c r="G67" s="18"/>
      <c r="H67" s="18">
        <f>F67+'25'!H67</f>
        <v>0</v>
      </c>
      <c r="I67" s="957"/>
      <c r="J67" s="624"/>
      <c r="K67" s="67">
        <f>J67+'25'!K67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'25'!D68</f>
        <v>0</v>
      </c>
      <c r="E68" s="240"/>
      <c r="F68" s="73"/>
      <c r="G68" s="18"/>
      <c r="H68" s="18">
        <f>F68+'25'!H68</f>
        <v>0</v>
      </c>
      <c r="I68" s="957"/>
      <c r="J68" s="624"/>
      <c r="K68" s="67">
        <f>J68+'25'!K68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'25'!D69</f>
        <v>-14212.944176010715</v>
      </c>
      <c r="E69" s="240"/>
      <c r="F69" s="73">
        <v>0</v>
      </c>
      <c r="G69" s="18"/>
      <c r="H69" s="18">
        <f>F69+'25'!H69</f>
        <v>0</v>
      </c>
      <c r="I69" s="957"/>
      <c r="J69" s="755">
        <v>0</v>
      </c>
      <c r="K69" s="67">
        <f>J69+'25'!K69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'25'!D70</f>
        <v>17922.173606304772</v>
      </c>
      <c r="E70" s="240"/>
      <c r="F70" s="73"/>
      <c r="G70" s="18"/>
      <c r="H70" s="18">
        <f>F70+'25'!H70</f>
        <v>3329.1499999999996</v>
      </c>
      <c r="I70" s="957"/>
      <c r="J70" s="624"/>
      <c r="K70" s="67">
        <f>J70+'25'!K70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'25'!D71</f>
        <v>0</v>
      </c>
      <c r="E71" s="240"/>
      <c r="F71" s="73"/>
      <c r="G71" s="18"/>
      <c r="H71" s="18">
        <f>F71+'25'!H71</f>
        <v>0</v>
      </c>
      <c r="I71" s="957"/>
      <c r="J71" s="624"/>
      <c r="K71" s="67">
        <f>J71+'25'!K71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'25'!D72</f>
        <v>145.84215184813729</v>
      </c>
      <c r="E72" s="389"/>
      <c r="F72" s="390">
        <f>N82</f>
        <v>0</v>
      </c>
      <c r="G72" s="391"/>
      <c r="H72" s="391">
        <f>F72+'25'!H72</f>
        <v>1911.376034856974</v>
      </c>
      <c r="I72" s="392"/>
      <c r="J72" s="952">
        <f>K131</f>
        <v>0</v>
      </c>
      <c r="K72" s="396">
        <f>J72+'25'!K72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'25'!D73</f>
        <v>0</v>
      </c>
      <c r="E73" s="814"/>
      <c r="F73" s="815"/>
      <c r="G73" s="816"/>
      <c r="H73" s="816">
        <f>F73+'25'!H73</f>
        <v>0</v>
      </c>
      <c r="I73" s="817"/>
      <c r="J73" s="814"/>
      <c r="K73" s="818">
        <f>J73+'25'!K73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382" t="s">
        <v>30</v>
      </c>
      <c r="B77" s="1383"/>
      <c r="C77" s="1383"/>
      <c r="D77" s="1383"/>
      <c r="E77" s="1383"/>
      <c r="F77" s="1383"/>
      <c r="G77" s="1383"/>
      <c r="H77" s="1383"/>
      <c r="I77" s="1383"/>
      <c r="J77" s="1383"/>
      <c r="K77" s="1383"/>
      <c r="L77" s="1383"/>
      <c r="M77" s="1383"/>
      <c r="N77" s="1383"/>
      <c r="O77" s="1383"/>
      <c r="P77" s="1384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278" t="e">
        <v>#DIV/0!</v>
      </c>
      <c r="E80" s="17">
        <f t="shared" ref="E80:E94" si="7">IFERROR(D80/C80,0)</f>
        <v>0</v>
      </c>
      <c r="F80" s="19">
        <v>0</v>
      </c>
      <c r="G80" s="18">
        <f t="shared" ref="G80:G94" si="8">24-F80</f>
        <v>24</v>
      </c>
      <c r="H80" s="17">
        <f t="shared" ref="H80:H88" si="9">F80/24</f>
        <v>0</v>
      </c>
      <c r="I80" s="277" t="e">
        <v>#DIV/0!</v>
      </c>
      <c r="J80" s="17">
        <f t="shared" ref="J80:J94" si="10">IFERROR(I80/C80,0)</f>
        <v>0</v>
      </c>
      <c r="K80" s="19">
        <v>0</v>
      </c>
      <c r="L80" s="18">
        <f>24*26-K80</f>
        <v>624</v>
      </c>
      <c r="M80" s="36">
        <f>K80/(24*26)</f>
        <v>0</v>
      </c>
      <c r="N80" s="965"/>
      <c r="O80" s="302">
        <f>N80+'25'!O80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278" t="e">
        <v>#DIV/0!</v>
      </c>
      <c r="E81" s="17">
        <f t="shared" si="7"/>
        <v>0</v>
      </c>
      <c r="F81" s="19">
        <v>0</v>
      </c>
      <c r="G81" s="18">
        <f t="shared" si="8"/>
        <v>24</v>
      </c>
      <c r="H81" s="17">
        <f t="shared" si="9"/>
        <v>0</v>
      </c>
      <c r="I81" s="277" t="e">
        <v>#DIV/0!</v>
      </c>
      <c r="J81" s="17">
        <f t="shared" si="10"/>
        <v>0</v>
      </c>
      <c r="K81" s="19">
        <v>0</v>
      </c>
      <c r="L81" s="18">
        <f>24*26-K81</f>
        <v>624</v>
      </c>
      <c r="M81" s="36">
        <f t="shared" ref="M81:M94" si="11">K81/(24*26)</f>
        <v>0</v>
      </c>
      <c r="N81" s="965"/>
      <c r="O81" s="302">
        <f>N81+'25'!O81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127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F82+'25'!K82</f>
        <v>43.903888888888886</v>
      </c>
      <c r="L82" s="192">
        <f>24*26-K82</f>
        <v>580.0961111111111</v>
      </c>
      <c r="M82" s="36">
        <f t="shared" si="11"/>
        <v>7.0358796296296294E-2</v>
      </c>
      <c r="N82" s="716">
        <v>0</v>
      </c>
      <c r="O82" s="303">
        <f>N82+'25'!O82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F83+'25'!K83</f>
        <v>64.575555555555553</v>
      </c>
      <c r="L83" s="192">
        <f>G83+'25'!L83</f>
        <v>559.42444444444448</v>
      </c>
      <c r="M83" s="36">
        <f t="shared" si="11"/>
        <v>0.10348646723646723</v>
      </c>
      <c r="N83" s="716">
        <v>0</v>
      </c>
      <c r="O83" s="303">
        <f>N83+'25'!O83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F84+'25'!K84</f>
        <v>64.977499999999992</v>
      </c>
      <c r="L84" s="192">
        <f>G84+'25'!L84</f>
        <v>559.02250000000004</v>
      </c>
      <c r="M84" s="36">
        <f t="shared" si="11"/>
        <v>0.10413060897435897</v>
      </c>
      <c r="N84" s="716">
        <v>0</v>
      </c>
      <c r="O84" s="303">
        <f>N84+'25'!O84</f>
        <v>16874.071396806572</v>
      </c>
      <c r="P84" s="711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 t="e">
        <f>F85+'25'!#REF!</f>
        <v>#REF!</v>
      </c>
      <c r="L85" s="192" t="e">
        <f>G85+'25'!#REF!</f>
        <v>#REF!</v>
      </c>
      <c r="M85" s="36" t="e">
        <f>K85/(24*12)</f>
        <v>#REF!</v>
      </c>
      <c r="N85" s="965">
        <v>0</v>
      </c>
      <c r="O85" s="302" t="e">
        <f>N85+'25'!#REF!</f>
        <v>#REF!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F86+'25'!K86</f>
        <v>0</v>
      </c>
      <c r="L86" s="192">
        <f>G86+'25'!L86</f>
        <v>600</v>
      </c>
      <c r="M86" s="36">
        <f>K86/(24*12)</f>
        <v>0</v>
      </c>
      <c r="N86" s="965">
        <v>0</v>
      </c>
      <c r="O86" s="303">
        <f>N86+'25'!O86</f>
        <v>0</v>
      </c>
      <c r="P86" s="71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 t="shared" si="7"/>
        <v>0</v>
      </c>
      <c r="F87" s="134">
        <v>0</v>
      </c>
      <c r="G87" s="8">
        <f t="shared" si="8"/>
        <v>24</v>
      </c>
      <c r="H87" s="17">
        <f t="shared" si="9"/>
        <v>0</v>
      </c>
      <c r="I87" s="134">
        <f t="shared" si="13"/>
        <v>0</v>
      </c>
      <c r="J87" s="17">
        <f t="shared" si="10"/>
        <v>0</v>
      </c>
      <c r="K87" s="19">
        <f>F87+'25'!K87</f>
        <v>0</v>
      </c>
      <c r="L87" s="192">
        <f>G87+'25'!L87</f>
        <v>600</v>
      </c>
      <c r="M87" s="36">
        <f>K87/(24*12)</f>
        <v>0</v>
      </c>
      <c r="N87" s="965">
        <v>0</v>
      </c>
      <c r="O87" s="302">
        <f>N87+'25'!O87</f>
        <v>0</v>
      </c>
      <c r="P87" s="71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9"/>
        <v>0</v>
      </c>
      <c r="I88" s="134">
        <f t="shared" si="13"/>
        <v>0</v>
      </c>
      <c r="J88" s="17">
        <f t="shared" si="10"/>
        <v>0</v>
      </c>
      <c r="K88" s="19">
        <f>F88+'25'!K88</f>
        <v>0</v>
      </c>
      <c r="L88" s="192">
        <f>G88+'25'!L88</f>
        <v>600</v>
      </c>
      <c r="M88" s="36">
        <f>K88/(24*12)</f>
        <v>0</v>
      </c>
      <c r="N88" s="716">
        <v>0</v>
      </c>
      <c r="O88" s="303">
        <f>N88+'25'!O88</f>
        <v>0</v>
      </c>
      <c r="P88" s="71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'25'!C89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F89+'25'!K89</f>
        <v>1.6950000000000001</v>
      </c>
      <c r="L89" s="192">
        <f>G89+'25'!L89</f>
        <v>622.30500000000006</v>
      </c>
      <c r="M89" s="36">
        <f t="shared" si="11"/>
        <v>2.7163461538461538E-3</v>
      </c>
      <c r="N89" s="1001">
        <v>0</v>
      </c>
      <c r="O89" s="303">
        <f>N89+'25'!O89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'25'!C90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F90+'25'!K90</f>
        <v>32.664166666666674</v>
      </c>
      <c r="L90" s="192">
        <f>G90+'25'!L90</f>
        <v>591.33583333333331</v>
      </c>
      <c r="M90" s="36">
        <f t="shared" si="11"/>
        <v>5.2346420940170953E-2</v>
      </c>
      <c r="N90" s="1001">
        <v>0</v>
      </c>
      <c r="O90" s="303">
        <f>N90+'25'!O90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F91+'25'!K91</f>
        <v>0</v>
      </c>
      <c r="L91" s="192">
        <f>G91+'25'!L91</f>
        <v>624</v>
      </c>
      <c r="M91" s="36">
        <f t="shared" si="11"/>
        <v>0</v>
      </c>
      <c r="N91" s="716">
        <v>0</v>
      </c>
      <c r="O91" s="303">
        <f>N91+'25'!O91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19">
        <f>F92+'25'!K92</f>
        <v>71.521666666666675</v>
      </c>
      <c r="L92" s="192">
        <f>G92+'25'!L92</f>
        <v>552.47833333333335</v>
      </c>
      <c r="M92" s="36">
        <f t="shared" si="11"/>
        <v>0.11461805555555557</v>
      </c>
      <c r="N92" s="716">
        <v>0</v>
      </c>
      <c r="O92" s="303">
        <f>N92+'25'!O92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19">
        <f>F93+'25'!K93</f>
        <v>64.288611111111109</v>
      </c>
      <c r="L93" s="192">
        <f>G93+'25'!L93</f>
        <v>559.71138888888891</v>
      </c>
      <c r="M93" s="36">
        <f t="shared" si="11"/>
        <v>0.10302662037037037</v>
      </c>
      <c r="N93" s="716">
        <v>0</v>
      </c>
      <c r="O93" s="303">
        <f>N93+'25'!O93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F94+'25'!K94</f>
        <v>32</v>
      </c>
      <c r="L94" s="874">
        <f>G94+'25'!L94</f>
        <v>592</v>
      </c>
      <c r="M94" s="873">
        <f t="shared" si="11"/>
        <v>5.128205128205128E-2</v>
      </c>
      <c r="N94" s="966">
        <f>E111+E120+E121+E122</f>
        <v>0</v>
      </c>
      <c r="O94" s="871">
        <f>N94+'25'!O94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F95+'25'!K95</f>
        <v>7</v>
      </c>
      <c r="L95" s="709">
        <f>G95+'25'!L95</f>
        <v>617</v>
      </c>
      <c r="M95" s="712">
        <f>K95/(24*26)</f>
        <v>1.1217948717948718E-2</v>
      </c>
      <c r="N95" s="967">
        <f>E112+E114+E115+E118+E119</f>
        <v>0</v>
      </c>
      <c r="O95" s="713">
        <f>N95+'25'!O95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05" t="s">
        <v>3</v>
      </c>
      <c r="H99" s="12" t="s">
        <v>2</v>
      </c>
      <c r="I99" s="806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4721</v>
      </c>
      <c r="E100" s="30">
        <f>E101+E110</f>
        <v>0</v>
      </c>
      <c r="F100" s="29">
        <f t="shared" ref="F100:F114" si="15">IFERROR((E100/D100),0)</f>
        <v>0</v>
      </c>
      <c r="G100" s="51">
        <f>G101+G110</f>
        <v>164859</v>
      </c>
      <c r="H100" s="30">
        <f>H101+H110</f>
        <v>19708.249999999993</v>
      </c>
      <c r="I100" s="29">
        <f t="shared" ref="I100:I114" si="16">IFERROR((H100/G100),0)</f>
        <v>0.11954609696771176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4721</v>
      </c>
      <c r="E101" s="24">
        <f>SUM(E102:E109)</f>
        <v>0</v>
      </c>
      <c r="F101" s="23">
        <f t="shared" si="15"/>
        <v>0</v>
      </c>
      <c r="G101" s="555">
        <f>SUM(G102:G109)</f>
        <v>119633</v>
      </c>
      <c r="H101" s="24">
        <f>SUM(H102:H109)</f>
        <v>15844.349999999995</v>
      </c>
      <c r="I101" s="23">
        <f t="shared" si="16"/>
        <v>0.13244129964140325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D102+'25'!G102</f>
        <v>0</v>
      </c>
      <c r="H102" s="192">
        <f>E102+'25'!H102</f>
        <v>0</v>
      </c>
      <c r="I102" s="17">
        <f t="shared" si="16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345</v>
      </c>
      <c r="E103" s="166">
        <v>0</v>
      </c>
      <c r="F103" s="17">
        <f t="shared" si="15"/>
        <v>0</v>
      </c>
      <c r="G103" s="741">
        <f>D103+'25'!G103</f>
        <v>9680</v>
      </c>
      <c r="H103" s="64">
        <f>E103+'25'!H103</f>
        <v>0</v>
      </c>
      <c r="I103" s="17">
        <f t="shared" si="16"/>
        <v>0</v>
      </c>
      <c r="J103" s="1341"/>
      <c r="K103" s="1343"/>
      <c r="L103" s="247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4288</v>
      </c>
      <c r="E104" s="110">
        <v>0</v>
      </c>
      <c r="F104" s="17">
        <f t="shared" si="15"/>
        <v>0</v>
      </c>
      <c r="G104" s="19">
        <f>D104+'25'!G104</f>
        <v>106052</v>
      </c>
      <c r="H104" s="192">
        <f>E104+'25'!H104</f>
        <v>12980.249999999995</v>
      </c>
      <c r="I104" s="17">
        <f t="shared" si="16"/>
        <v>0.12239514577754304</v>
      </c>
      <c r="J104" s="1341"/>
      <c r="K104" s="1343"/>
      <c r="L104" s="247"/>
      <c r="M104" s="247"/>
      <c r="N104" s="247"/>
      <c r="O104" s="247"/>
      <c r="P104" s="16"/>
      <c r="T104" s="2"/>
    </row>
    <row r="105" spans="1:20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5"/>
        <v>0</v>
      </c>
      <c r="G105" s="19">
        <f>D105+'25'!G105</f>
        <v>0</v>
      </c>
      <c r="H105" s="192">
        <f>E105+'25'!H105</f>
        <v>475.6</v>
      </c>
      <c r="I105" s="17">
        <f t="shared" si="16"/>
        <v>0</v>
      </c>
      <c r="J105" s="1341"/>
      <c r="K105" s="1343"/>
      <c r="L105" s="16"/>
      <c r="M105" s="16"/>
      <c r="N105" s="247"/>
      <c r="O105" s="247"/>
      <c r="P105" s="16"/>
      <c r="Q105" s="6"/>
      <c r="T105" s="2"/>
    </row>
    <row r="106" spans="1:20">
      <c r="A106" s="44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5"/>
        <v>0</v>
      </c>
      <c r="G106" s="19">
        <f>D106+'25'!G106</f>
        <v>0</v>
      </c>
      <c r="H106" s="192">
        <f>E106+'25'!H106</f>
        <v>1280.3</v>
      </c>
      <c r="I106" s="17">
        <f t="shared" si="16"/>
        <v>0</v>
      </c>
      <c r="J106" s="1341"/>
      <c r="K106" s="1343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9">
        <f>D107+'25'!G107</f>
        <v>0</v>
      </c>
      <c r="H107" s="192">
        <f>E107+'25'!H107</f>
        <v>0</v>
      </c>
      <c r="I107" s="17">
        <f t="shared" si="16"/>
        <v>0</v>
      </c>
      <c r="J107" s="1341"/>
      <c r="K107" s="1343"/>
      <c r="L107" s="247"/>
      <c r="M107" s="24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34">
        <v>63</v>
      </c>
      <c r="E108" s="110">
        <v>0</v>
      </c>
      <c r="F108" s="17">
        <f t="shared" si="15"/>
        <v>0</v>
      </c>
      <c r="G108" s="19">
        <f>D108+'25'!G108</f>
        <v>2901</v>
      </c>
      <c r="H108" s="192">
        <f>E108+'25'!H108</f>
        <v>826.59999999999991</v>
      </c>
      <c r="I108" s="17">
        <f t="shared" si="16"/>
        <v>0.28493622888659081</v>
      </c>
      <c r="J108" s="807"/>
      <c r="K108" s="808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25</v>
      </c>
      <c r="E109" s="110">
        <v>0</v>
      </c>
      <c r="F109" s="17">
        <f t="shared" si="15"/>
        <v>0</v>
      </c>
      <c r="G109" s="19">
        <f>D109+'25'!G109</f>
        <v>1000</v>
      </c>
      <c r="H109" s="192">
        <f>E109+'25'!H109</f>
        <v>281.59999999999997</v>
      </c>
      <c r="I109" s="17">
        <f t="shared" si="16"/>
        <v>0.28159999999999996</v>
      </c>
      <c r="J109" s="807"/>
      <c r="K109" s="808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0">
        <f>SUM(C111:C122)</f>
        <v>52832</v>
      </c>
      <c r="D110" s="707">
        <f>SUM(D111:D122)</f>
        <v>1791</v>
      </c>
      <c r="E110" s="18">
        <f>SUM(E111:E122)</f>
        <v>0</v>
      </c>
      <c r="F110" s="1054">
        <f>IFERROR((E110/D110),0)</f>
        <v>0</v>
      </c>
      <c r="G110" s="707">
        <f>SUM(G111:G122)</f>
        <v>45226</v>
      </c>
      <c r="H110" s="18">
        <f>SUM(H111:H122)</f>
        <v>3863.8999999999996</v>
      </c>
      <c r="I110" s="1054">
        <f>IFERROR((H110/G110),0)</f>
        <v>8.5435369035510536E-2</v>
      </c>
      <c r="J110" s="807"/>
      <c r="K110" s="808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D111+'25'!G111</f>
        <v>0</v>
      </c>
      <c r="H111" s="18">
        <f>E111+'25'!H111</f>
        <v>1026.1499999999999</v>
      </c>
      <c r="I111" s="17">
        <f>IFERROR((H111/G111),0)</f>
        <v>0</v>
      </c>
      <c r="J111" s="1341"/>
      <c r="K111" s="1343"/>
      <c r="L111" s="16"/>
      <c r="M111" s="15"/>
      <c r="N111" s="16"/>
      <c r="O111" s="16"/>
      <c r="P111" s="16"/>
      <c r="Q111" s="28"/>
      <c r="S111" s="1"/>
      <c r="T111" s="2"/>
    </row>
    <row r="112" spans="1:20">
      <c r="A112" s="254" t="s">
        <v>252</v>
      </c>
      <c r="B112" s="9" t="s">
        <v>9</v>
      </c>
      <c r="C112" s="20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D112+'25'!G112</f>
        <v>0</v>
      </c>
      <c r="H112" s="18">
        <f>E112+'25'!H112</f>
        <v>994.39999999999986</v>
      </c>
      <c r="I112" s="17">
        <f>IFERROR((H112/G112),0)</f>
        <v>0</v>
      </c>
      <c r="J112" s="1344"/>
      <c r="K112" s="1345"/>
      <c r="L112" s="16"/>
      <c r="M112" s="15"/>
      <c r="N112" s="247"/>
      <c r="O112" s="247"/>
      <c r="P112" s="16"/>
      <c r="T112" s="2"/>
    </row>
    <row r="113" spans="1:22">
      <c r="A113" s="254" t="s">
        <v>253</v>
      </c>
      <c r="B113" s="9" t="s">
        <v>9</v>
      </c>
      <c r="C113" s="20">
        <f>'01'!C113</f>
        <v>0</v>
      </c>
      <c r="D113" s="134">
        <v>0</v>
      </c>
      <c r="E113" s="110">
        <v>0</v>
      </c>
      <c r="F113" s="17">
        <f t="shared" si="15"/>
        <v>0</v>
      </c>
      <c r="G113" s="19">
        <f>D113+'25'!G113</f>
        <v>0</v>
      </c>
      <c r="H113" s="18">
        <f>E113+'25'!H113</f>
        <v>20</v>
      </c>
      <c r="I113" s="17">
        <f t="shared" si="16"/>
        <v>0</v>
      </c>
      <c r="J113" s="809"/>
      <c r="K113" s="810"/>
      <c r="L113" s="7"/>
      <c r="M113" s="7"/>
      <c r="N113" s="247"/>
      <c r="O113" s="247"/>
      <c r="P113" s="16"/>
      <c r="T113" s="2"/>
    </row>
    <row r="114" spans="1:22" s="4" customFormat="1">
      <c r="A114" s="246" t="s">
        <v>225</v>
      </c>
      <c r="B114" s="9" t="s">
        <v>9</v>
      </c>
      <c r="C114" s="20">
        <f>'01'!C114</f>
        <v>500</v>
      </c>
      <c r="D114" s="134">
        <v>16</v>
      </c>
      <c r="E114" s="301">
        <v>0</v>
      </c>
      <c r="F114" s="17">
        <f t="shared" si="15"/>
        <v>0</v>
      </c>
      <c r="G114" s="19">
        <f>D114+'25'!G114</f>
        <v>416</v>
      </c>
      <c r="H114" s="18">
        <f>E114+'25'!H114</f>
        <v>0</v>
      </c>
      <c r="I114" s="17">
        <f t="shared" si="16"/>
        <v>0</v>
      </c>
      <c r="J114" s="1344"/>
      <c r="K114" s="1345"/>
      <c r="L114" s="7"/>
      <c r="M114" s="7"/>
      <c r="N114" s="15"/>
      <c r="O114" s="15"/>
      <c r="P114" s="15"/>
      <c r="S114" s="1"/>
      <c r="T114" s="2"/>
    </row>
    <row r="115" spans="1:22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>
        <f>IFERROR((E115/D115),0)</f>
        <v>0</v>
      </c>
      <c r="G115" s="19">
        <f>D115+'25'!G115</f>
        <v>0</v>
      </c>
      <c r="H115" s="18">
        <f>E115+'25'!H115</f>
        <v>0</v>
      </c>
      <c r="I115" s="17">
        <f>IFERROR((H115/G115),0)</f>
        <v>0</v>
      </c>
      <c r="J115" s="1376"/>
      <c r="K115" s="1377"/>
      <c r="L115" s="7"/>
      <c r="M115" s="7"/>
      <c r="N115" s="15"/>
      <c r="O115" s="15"/>
      <c r="P115" s="15"/>
      <c r="S115" s="1"/>
      <c r="T115" s="2"/>
    </row>
    <row r="116" spans="1:22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ref="F116:F122" si="17">IFERROR((E116/D116),0)</f>
        <v>0</v>
      </c>
      <c r="G116" s="19">
        <f>D116+'25'!G116</f>
        <v>0</v>
      </c>
      <c r="H116" s="18">
        <f>E116+'25'!H116</f>
        <v>0</v>
      </c>
      <c r="I116" s="17">
        <f t="shared" ref="I116:I122" si="18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2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7"/>
        <v>0</v>
      </c>
      <c r="G117" s="19">
        <f>D117+'25'!G117</f>
        <v>0</v>
      </c>
      <c r="H117" s="18">
        <f>E117+'25'!H117</f>
        <v>0</v>
      </c>
      <c r="I117" s="17">
        <f t="shared" si="18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2" s="4" customFormat="1">
      <c r="A118" s="246" t="s">
        <v>222</v>
      </c>
      <c r="B118" s="9" t="s">
        <v>9</v>
      </c>
      <c r="C118" s="149">
        <f>'01'!C118</f>
        <v>10700</v>
      </c>
      <c r="D118" s="134">
        <v>325</v>
      </c>
      <c r="E118" s="110">
        <v>0</v>
      </c>
      <c r="F118" s="17">
        <f t="shared" si="17"/>
        <v>0</v>
      </c>
      <c r="G118" s="19">
        <f>D118+'25'!G118</f>
        <v>9010</v>
      </c>
      <c r="H118" s="18">
        <f>E118+'25'!H118</f>
        <v>0</v>
      </c>
      <c r="I118" s="17">
        <f t="shared" si="18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2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7"/>
        <v>0</v>
      </c>
      <c r="G119" s="19">
        <f>D119+'25'!G119</f>
        <v>0</v>
      </c>
      <c r="H119" s="18">
        <f>E119+'25'!H119</f>
        <v>0</v>
      </c>
      <c r="I119" s="17">
        <f t="shared" si="18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2" s="4" customFormat="1">
      <c r="A120" s="246" t="s">
        <v>256</v>
      </c>
      <c r="B120" s="9" t="s">
        <v>9</v>
      </c>
      <c r="C120" s="149">
        <f>'01'!C120</f>
        <v>22152</v>
      </c>
      <c r="D120" s="134">
        <v>642</v>
      </c>
      <c r="E120" s="110">
        <v>0</v>
      </c>
      <c r="F120" s="17">
        <f t="shared" si="17"/>
        <v>0</v>
      </c>
      <c r="G120" s="19">
        <f>D120+'25'!G120</f>
        <v>18600</v>
      </c>
      <c r="H120" s="18">
        <f>E120+'25'!H120</f>
        <v>0</v>
      </c>
      <c r="I120" s="17">
        <f t="shared" si="18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2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>
        <f t="shared" si="17"/>
        <v>0</v>
      </c>
      <c r="G121" s="19">
        <f>D121+'25'!G121</f>
        <v>1088</v>
      </c>
      <c r="H121" s="18">
        <f>E121+'25'!H121</f>
        <v>0</v>
      </c>
      <c r="I121" s="17">
        <f t="shared" si="18"/>
        <v>0</v>
      </c>
      <c r="J121" s="856"/>
      <c r="K121" s="857"/>
      <c r="L121" s="7"/>
      <c r="M121" s="7"/>
      <c r="N121" s="15"/>
      <c r="O121" s="15"/>
      <c r="P121" s="15"/>
      <c r="S121" s="1"/>
      <c r="T121" s="1"/>
      <c r="U121" s="1"/>
      <c r="V121" s="1"/>
    </row>
    <row r="122" spans="1:22" s="4" customFormat="1">
      <c r="A122" s="246" t="s">
        <v>206</v>
      </c>
      <c r="B122" s="9" t="s">
        <v>9</v>
      </c>
      <c r="C122" s="149">
        <f>'01'!C122</f>
        <v>18120</v>
      </c>
      <c r="D122" s="134">
        <v>808</v>
      </c>
      <c r="E122" s="110">
        <v>0</v>
      </c>
      <c r="F122" s="17">
        <f t="shared" si="17"/>
        <v>0</v>
      </c>
      <c r="G122" s="19">
        <f>D122+'25'!G122</f>
        <v>16112</v>
      </c>
      <c r="H122" s="18">
        <f>E122+'25'!H122</f>
        <v>1823.35</v>
      </c>
      <c r="I122" s="17">
        <f t="shared" si="18"/>
        <v>0.11316720456802383</v>
      </c>
      <c r="J122" s="856"/>
      <c r="K122" s="857"/>
      <c r="L122" s="7"/>
      <c r="M122" s="7"/>
      <c r="N122" s="15"/>
      <c r="O122" s="15"/>
      <c r="P122" s="15"/>
      <c r="S122" s="1"/>
      <c r="T122" s="1"/>
      <c r="U122" s="1"/>
      <c r="V122" s="1"/>
    </row>
    <row r="123" spans="1:22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</row>
    <row r="124" spans="1:22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3" t="s">
        <v>4</v>
      </c>
      <c r="H124" s="1303"/>
      <c r="I124" s="1304"/>
      <c r="J124" s="822" t="s">
        <v>89</v>
      </c>
      <c r="K124" s="304" t="s">
        <v>90</v>
      </c>
      <c r="L124" s="10"/>
      <c r="M124" s="7"/>
      <c r="N124" s="7"/>
      <c r="O124" s="7"/>
      <c r="P124" s="7"/>
      <c r="T124" s="2"/>
    </row>
    <row r="125" spans="1:22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13" t="s">
        <v>3</v>
      </c>
      <c r="H125" s="12" t="s">
        <v>2</v>
      </c>
      <c r="I125" s="793" t="s">
        <v>1</v>
      </c>
      <c r="J125" s="823">
        <f>SUM(N85:N91)</f>
        <v>0</v>
      </c>
      <c r="K125" s="306">
        <f>N92+N93</f>
        <v>0</v>
      </c>
      <c r="L125" s="7"/>
      <c r="M125" s="7"/>
      <c r="N125" s="7"/>
      <c r="O125" s="7"/>
      <c r="P125" s="7"/>
      <c r="T125" s="2"/>
    </row>
    <row r="126" spans="1:22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42.718174979235521</v>
      </c>
      <c r="F126" s="356">
        <f>IFERROR(E126/D126,0)</f>
        <v>1.0547697525737165</v>
      </c>
      <c r="G126" s="204">
        <v>40.5</v>
      </c>
      <c r="H126" s="200">
        <v>43.075713021914204</v>
      </c>
      <c r="I126" s="356">
        <f>IFERROR(H126/G126,0)</f>
        <v>1.0635978523929432</v>
      </c>
      <c r="J126" s="698"/>
      <c r="K126" s="314"/>
      <c r="L126" s="7"/>
      <c r="M126" s="7"/>
      <c r="N126" s="7"/>
      <c r="O126" s="7"/>
      <c r="P126" s="7"/>
      <c r="T126" s="2"/>
    </row>
    <row r="127" spans="1:22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12.394067022228747</v>
      </c>
      <c r="F127" s="356">
        <f t="shared" ref="F127:F132" si="19">IFERROR(E127/D127,0)</f>
        <v>0.72906276601345565</v>
      </c>
      <c r="G127" s="204">
        <v>17</v>
      </c>
      <c r="H127" s="200">
        <v>17.48460814813032</v>
      </c>
      <c r="I127" s="356">
        <f t="shared" ref="I127:I132" si="20">IFERROR(H127/G127,0)</f>
        <v>1.0285063616547248</v>
      </c>
      <c r="J127" s="7"/>
      <c r="K127" s="7"/>
      <c r="L127" s="7"/>
      <c r="M127" s="7"/>
      <c r="N127" s="7"/>
      <c r="O127" s="7"/>
      <c r="P127" s="7"/>
      <c r="T127" s="2"/>
    </row>
    <row r="128" spans="1:22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9"/>
        <v>0</v>
      </c>
      <c r="G128" s="267">
        <v>3</v>
      </c>
      <c r="H128" s="256">
        <f>P132</f>
        <v>2.7306506005953359</v>
      </c>
      <c r="I128" s="157">
        <f t="shared" si="20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19.038534997202131</v>
      </c>
      <c r="F129" s="157">
        <f t="shared" si="19"/>
        <v>0.90659690462867293</v>
      </c>
      <c r="G129" s="204">
        <v>21</v>
      </c>
      <c r="H129" s="200">
        <v>20.983647485178714</v>
      </c>
      <c r="I129" s="157">
        <f t="shared" si="20"/>
        <v>0.99922130881803406</v>
      </c>
      <c r="J129" s="1117" t="s">
        <v>186</v>
      </c>
      <c r="K129" s="1119" t="s">
        <v>168</v>
      </c>
      <c r="L129" s="1120"/>
      <c r="M129" s="701" t="s">
        <v>163</v>
      </c>
      <c r="N129" s="1139" t="s">
        <v>187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1.8680413089689893</v>
      </c>
      <c r="F130" s="157">
        <f t="shared" si="19"/>
        <v>4.4477174023071178E-2</v>
      </c>
      <c r="G130" s="204">
        <v>42</v>
      </c>
      <c r="H130" s="200">
        <v>7.5625825124448012</v>
      </c>
      <c r="I130" s="157">
        <f t="shared" si="20"/>
        <v>0.18006148839154287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37.748306295763307</v>
      </c>
      <c r="F131" s="157">
        <f t="shared" si="19"/>
        <v>1.0785230370218089</v>
      </c>
      <c r="G131" s="204">
        <v>35</v>
      </c>
      <c r="H131" s="200">
        <v>33.595322826964463</v>
      </c>
      <c r="I131" s="157">
        <f t="shared" si="20"/>
        <v>0.95986636648469892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70.733354348903319</v>
      </c>
      <c r="F132" s="684">
        <f t="shared" si="19"/>
        <v>0.70248638741586378</v>
      </c>
      <c r="G132" s="688">
        <v>100.69</v>
      </c>
      <c r="H132" s="683">
        <v>82.471596881471598</v>
      </c>
      <c r="I132" s="684">
        <f t="shared" si="20"/>
        <v>0.81906442428713477</v>
      </c>
      <c r="N132" s="727" t="s">
        <v>188</v>
      </c>
      <c r="O132" s="704">
        <f>O131+'25'!O132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123979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1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2">IFERROR(C139/$B$139,0)</f>
        <v>0</v>
      </c>
      <c r="D140" s="335">
        <f t="shared" si="22"/>
        <v>0</v>
      </c>
      <c r="E140" s="335">
        <f t="shared" si="22"/>
        <v>0</v>
      </c>
      <c r="F140" s="335">
        <f t="shared" si="22"/>
        <v>0</v>
      </c>
      <c r="G140" s="335">
        <f t="shared" si="22"/>
        <v>0</v>
      </c>
      <c r="H140" s="335">
        <f t="shared" si="22"/>
        <v>0</v>
      </c>
      <c r="I140" s="326">
        <f t="shared" si="21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1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3">IFERROR(C141/$B$141,0)</f>
        <v>0</v>
      </c>
      <c r="D142" s="335">
        <f t="shared" si="23"/>
        <v>0</v>
      </c>
      <c r="E142" s="335">
        <f t="shared" si="23"/>
        <v>0</v>
      </c>
      <c r="F142" s="335">
        <f t="shared" si="23"/>
        <v>0</v>
      </c>
      <c r="G142" s="335">
        <f t="shared" si="23"/>
        <v>0</v>
      </c>
      <c r="H142" s="335">
        <f t="shared" si="23"/>
        <v>0</v>
      </c>
      <c r="I142" s="326">
        <f t="shared" si="21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1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231728</v>
      </c>
    </row>
    <row r="144" spans="1:20" ht="16.5" thickBot="1">
      <c r="A144" s="321"/>
      <c r="B144" s="336"/>
      <c r="C144" s="335">
        <f t="shared" ref="C144:H144" si="24">IFERROR(C143/$B$143,0)</f>
        <v>0</v>
      </c>
      <c r="D144" s="335">
        <f t="shared" si="24"/>
        <v>0</v>
      </c>
      <c r="E144" s="335">
        <f t="shared" si="24"/>
        <v>0</v>
      </c>
      <c r="F144" s="335">
        <f t="shared" si="24"/>
        <v>0</v>
      </c>
      <c r="G144" s="335">
        <f t="shared" si="24"/>
        <v>0</v>
      </c>
      <c r="H144" s="335">
        <f t="shared" si="24"/>
        <v>0</v>
      </c>
      <c r="I144" s="326">
        <f t="shared" si="21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1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5">IFERROR(C145/$B$145,0)</f>
        <v>0</v>
      </c>
      <c r="D146" s="335">
        <f t="shared" si="25"/>
        <v>0</v>
      </c>
      <c r="E146" s="335">
        <f t="shared" si="25"/>
        <v>0</v>
      </c>
      <c r="F146" s="335">
        <f t="shared" si="25"/>
        <v>0</v>
      </c>
      <c r="G146" s="335">
        <f t="shared" si="25"/>
        <v>0</v>
      </c>
      <c r="H146" s="335">
        <f t="shared" si="25"/>
        <v>0</v>
      </c>
      <c r="I146" s="326">
        <f t="shared" si="21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1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6">IFERROR(C147/$B$147,0)</f>
        <v>0</v>
      </c>
      <c r="D148" s="335">
        <f t="shared" si="26"/>
        <v>0</v>
      </c>
      <c r="E148" s="335">
        <f t="shared" si="26"/>
        <v>0</v>
      </c>
      <c r="F148" s="335">
        <f t="shared" si="26"/>
        <v>0</v>
      </c>
      <c r="G148" s="335">
        <f t="shared" si="26"/>
        <v>0</v>
      </c>
      <c r="H148" s="335">
        <f t="shared" si="26"/>
        <v>0</v>
      </c>
      <c r="I148" s="326">
        <f t="shared" si="21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7">B139+B141+B143+B145+B147</f>
        <v>0</v>
      </c>
      <c r="C149" s="349">
        <f t="shared" si="27"/>
        <v>0</v>
      </c>
      <c r="D149" s="349">
        <f t="shared" si="27"/>
        <v>0</v>
      </c>
      <c r="E149" s="349">
        <f>E139+E141+E143+E145+E147</f>
        <v>0</v>
      </c>
      <c r="F149" s="349">
        <f t="shared" si="27"/>
        <v>0</v>
      </c>
      <c r="G149" s="349">
        <f t="shared" si="27"/>
        <v>0</v>
      </c>
      <c r="H149" s="349">
        <f t="shared" si="27"/>
        <v>0</v>
      </c>
      <c r="I149" s="324">
        <f t="shared" si="27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8">IFERROR(C149/$B$149,0)</f>
        <v>0</v>
      </c>
      <c r="D150" s="346">
        <f t="shared" si="28"/>
        <v>0</v>
      </c>
      <c r="E150" s="346">
        <f t="shared" si="28"/>
        <v>0</v>
      </c>
      <c r="F150" s="346">
        <f t="shared" si="28"/>
        <v>0</v>
      </c>
      <c r="G150" s="346">
        <f t="shared" si="28"/>
        <v>0</v>
      </c>
      <c r="H150" s="346">
        <f t="shared" si="28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J143:J144"/>
    <mergeCell ref="J145:J146"/>
    <mergeCell ref="J147:J148"/>
    <mergeCell ref="A96:K96"/>
    <mergeCell ref="A97:A99"/>
    <mergeCell ref="J97:K98"/>
    <mergeCell ref="J114:K114"/>
    <mergeCell ref="A124:A125"/>
    <mergeCell ref="B124:B125"/>
    <mergeCell ref="C124:C125"/>
    <mergeCell ref="D124:F124"/>
    <mergeCell ref="G124:I124"/>
    <mergeCell ref="A123:I123"/>
    <mergeCell ref="B97:B99"/>
    <mergeCell ref="J129:J130"/>
    <mergeCell ref="K129:L129"/>
    <mergeCell ref="C97:C99"/>
    <mergeCell ref="J101:K101"/>
    <mergeCell ref="A136:A138"/>
    <mergeCell ref="B136:B137"/>
    <mergeCell ref="C136:I136"/>
    <mergeCell ref="J139:J140"/>
    <mergeCell ref="J141:J142"/>
    <mergeCell ref="J112:K112"/>
    <mergeCell ref="D97:F98"/>
    <mergeCell ref="G97:I98"/>
    <mergeCell ref="O61:P61"/>
    <mergeCell ref="A77:P77"/>
    <mergeCell ref="A78:A79"/>
    <mergeCell ref="B78:B79"/>
    <mergeCell ref="C78:C79"/>
    <mergeCell ref="D78:H78"/>
    <mergeCell ref="I78:M78"/>
    <mergeCell ref="P78:P79"/>
    <mergeCell ref="O66:P66"/>
    <mergeCell ref="O67:P67"/>
    <mergeCell ref="O68:P68"/>
    <mergeCell ref="O72:P72"/>
    <mergeCell ref="N78:O78"/>
    <mergeCell ref="O62:P62"/>
    <mergeCell ref="O63:P63"/>
    <mergeCell ref="O64:P64"/>
    <mergeCell ref="O65:P65"/>
    <mergeCell ref="O69:P69"/>
    <mergeCell ref="O70:P70"/>
    <mergeCell ref="O71:P71"/>
    <mergeCell ref="O14:P14"/>
    <mergeCell ref="O15:P15"/>
    <mergeCell ref="O17:P17"/>
    <mergeCell ref="O18:P18"/>
    <mergeCell ref="O19:P19"/>
    <mergeCell ref="O20:P20"/>
    <mergeCell ref="O16:P16"/>
    <mergeCell ref="O49:P49"/>
    <mergeCell ref="O50:P50"/>
    <mergeCell ref="O21:P21"/>
    <mergeCell ref="O23:P23"/>
    <mergeCell ref="O38:P38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47:P47"/>
    <mergeCell ref="O30:P30"/>
    <mergeCell ref="O22:P22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K142:N142"/>
    <mergeCell ref="K133:N133"/>
    <mergeCell ref="J103:K103"/>
    <mergeCell ref="J104:K104"/>
    <mergeCell ref="J105:K105"/>
    <mergeCell ref="J106:K106"/>
    <mergeCell ref="J107:K107"/>
    <mergeCell ref="O73:P73"/>
    <mergeCell ref="J115:K115"/>
    <mergeCell ref="J111:K111"/>
    <mergeCell ref="N99:O99"/>
    <mergeCell ref="L99:M99"/>
    <mergeCell ref="J102:K102"/>
    <mergeCell ref="N129:P129"/>
    <mergeCell ref="O52:P52"/>
    <mergeCell ref="O53:P53"/>
    <mergeCell ref="O59:P59"/>
    <mergeCell ref="O54:P54"/>
    <mergeCell ref="O55:P55"/>
    <mergeCell ref="O56:P56"/>
    <mergeCell ref="O57:P57"/>
    <mergeCell ref="O58:P58"/>
    <mergeCell ref="O60:P60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6" man="1"/>
  </rowBreak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42578125" style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3.28515625" style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27 ",Q1)</f>
        <v>Ежедневный отчет производства и отгрузки за 27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 t="shared" si="0"/>
        <v>0</v>
      </c>
      <c r="G5" s="30">
        <f t="shared" si="0"/>
        <v>134000</v>
      </c>
      <c r="H5" s="30">
        <f t="shared" si="0"/>
        <v>16874.071396806572</v>
      </c>
      <c r="I5" s="29">
        <f>IFERROR((H5/G5),0)</f>
        <v>0.1259259059463177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0">
      <c r="A6" s="41" t="s">
        <v>218</v>
      </c>
      <c r="B6" s="26" t="s">
        <v>9</v>
      </c>
      <c r="C6" s="25">
        <f>'26'!C6</f>
        <v>0</v>
      </c>
      <c r="D6" s="20">
        <f>'26'!D6</f>
        <v>15952.919765534218</v>
      </c>
      <c r="E6" s="19">
        <v>0</v>
      </c>
      <c r="F6" s="18"/>
      <c r="G6" s="18">
        <f>E6+'26'!G6</f>
        <v>0</v>
      </c>
      <c r="H6" s="18">
        <f>F6+'26'!H6</f>
        <v>6671.6154299884374</v>
      </c>
      <c r="I6" s="17"/>
      <c r="J6" s="949"/>
      <c r="K6" s="67">
        <f>J6+'26'!K6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26" t="s">
        <v>9</v>
      </c>
      <c r="C7" s="25"/>
      <c r="D7" s="149">
        <f>'01'!D7</f>
        <v>0</v>
      </c>
      <c r="E7" s="19"/>
      <c r="F7" s="18">
        <v>0</v>
      </c>
      <c r="G7" s="24"/>
      <c r="H7" s="18">
        <f>F7+'26'!H7</f>
        <v>0</v>
      </c>
      <c r="I7" s="23"/>
      <c r="J7" s="949"/>
      <c r="K7" s="67">
        <f>J7+'26'!K7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26" t="s">
        <v>9</v>
      </c>
      <c r="C8" s="25"/>
      <c r="D8" s="149">
        <f>'01'!D8</f>
        <v>0</v>
      </c>
      <c r="E8" s="19"/>
      <c r="F8" s="24"/>
      <c r="G8" s="24"/>
      <c r="H8" s="18">
        <f>F8+'26'!H8</f>
        <v>0</v>
      </c>
      <c r="I8" s="17"/>
      <c r="J8" s="949"/>
      <c r="K8" s="67">
        <f>J8+'26'!K8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collapsed="1">
      <c r="A9" s="41" t="s">
        <v>65</v>
      </c>
      <c r="B9" s="26" t="s">
        <v>9</v>
      </c>
      <c r="C9" s="25">
        <f>'26'!C9</f>
        <v>160800</v>
      </c>
      <c r="D9" s="25">
        <f>'26'!D9</f>
        <v>127072.29376141207</v>
      </c>
      <c r="E9" s="97">
        <v>6700</v>
      </c>
      <c r="F9" s="24">
        <f>F10+F11+F13+F12</f>
        <v>0</v>
      </c>
      <c r="G9" s="24">
        <f>E9+'26'!G9</f>
        <v>134000</v>
      </c>
      <c r="H9" s="24">
        <f>F9+'26'!H9</f>
        <v>10202.455966818135</v>
      </c>
      <c r="I9" s="23">
        <f>IFERROR((H9/G9),0)</f>
        <v>7.6137731095657732E-2</v>
      </c>
      <c r="J9" s="946">
        <f>J10+J11+J12+J13</f>
        <v>0</v>
      </c>
      <c r="K9" s="47">
        <f>J9+'26'!K9</f>
        <v>17027.103675312697</v>
      </c>
      <c r="L9" s="25">
        <f>D9+H9-K9+M9+N9</f>
        <v>120247.64605291751</v>
      </c>
      <c r="M9" s="53"/>
      <c r="N9" s="53">
        <f>N10</f>
        <v>0</v>
      </c>
      <c r="O9" s="1246"/>
      <c r="P9" s="1247"/>
      <c r="Q9" s="604">
        <v>-23266.571785975502</v>
      </c>
      <c r="R9" s="602">
        <f>J9-Q9</f>
        <v>23266.571785975502</v>
      </c>
      <c r="S9" s="614"/>
      <c r="T9" s="2"/>
    </row>
    <row r="10" spans="1:20">
      <c r="A10" s="74" t="s">
        <v>64</v>
      </c>
      <c r="B10" s="26" t="s">
        <v>9</v>
      </c>
      <c r="C10" s="25">
        <f>'26'!C10</f>
        <v>0</v>
      </c>
      <c r="D10" s="20">
        <f>'26'!D10</f>
        <v>56300.273909357406</v>
      </c>
      <c r="E10" s="48"/>
      <c r="F10" s="110">
        <v>0</v>
      </c>
      <c r="G10" s="24">
        <f>E10+'26'!G10</f>
        <v>0</v>
      </c>
      <c r="H10" s="18">
        <f>F10+'26'!H10</f>
        <v>10202.455966818135</v>
      </c>
      <c r="I10" s="23"/>
      <c r="J10" s="178">
        <v>0</v>
      </c>
      <c r="K10" s="67">
        <f>J10+'26'!K10</f>
        <v>15627.103675312697</v>
      </c>
      <c r="L10" s="149">
        <f>D10+H10-K10+M10+N10</f>
        <v>50875.62620086284</v>
      </c>
      <c r="M10" s="53"/>
      <c r="N10" s="101"/>
      <c r="O10" s="1133"/>
      <c r="P10" s="1134"/>
      <c r="Q10" s="604"/>
      <c r="R10" s="602"/>
    </row>
    <row r="11" spans="1:20">
      <c r="A11" s="74" t="s">
        <v>244</v>
      </c>
      <c r="B11" s="26" t="s">
        <v>9</v>
      </c>
      <c r="C11" s="25">
        <f>'26'!C11</f>
        <v>0</v>
      </c>
      <c r="D11" s="20">
        <f>'26'!D11</f>
        <v>18224.01726010743</v>
      </c>
      <c r="E11" s="48"/>
      <c r="F11" s="18"/>
      <c r="G11" s="24">
        <f>E11+'26'!G11</f>
        <v>0</v>
      </c>
      <c r="H11" s="18">
        <f>F11+'26'!H11</f>
        <v>0</v>
      </c>
      <c r="I11" s="23"/>
      <c r="J11" s="178">
        <v>0</v>
      </c>
      <c r="K11" s="67">
        <f>J11+'26'!K11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</row>
    <row r="12" spans="1:20" outlineLevel="1">
      <c r="A12" s="79" t="s">
        <v>154</v>
      </c>
      <c r="B12" s="26" t="s">
        <v>9</v>
      </c>
      <c r="C12" s="310"/>
      <c r="D12" s="20">
        <f>'26'!D12</f>
        <v>52548.002591947239</v>
      </c>
      <c r="E12" s="312">
        <f>C12/31</f>
        <v>0</v>
      </c>
      <c r="F12" s="18"/>
      <c r="G12" s="18">
        <f>E12+'26'!G12</f>
        <v>0</v>
      </c>
      <c r="H12" s="18">
        <f>F12+'26'!H12</f>
        <v>0</v>
      </c>
      <c r="I12" s="955">
        <f>IFERROR((H12/G12),0)</f>
        <v>0</v>
      </c>
      <c r="J12" s="949"/>
      <c r="K12" s="67">
        <f>J12+'26'!K12</f>
        <v>1400</v>
      </c>
      <c r="L12" s="149">
        <f>D12+H12-K12</f>
        <v>51148.002591947239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E13+'26'!G13</f>
        <v>0</v>
      </c>
      <c r="H13" s="110">
        <f>F13+'26'!H13</f>
        <v>0</v>
      </c>
      <c r="I13" s="23"/>
      <c r="J13" s="178"/>
      <c r="K13" s="124">
        <f>J13+'26'!K13</f>
        <v>0</v>
      </c>
      <c r="L13" s="149">
        <f>D13+H13-K13+M13-N13</f>
        <v>0</v>
      </c>
      <c r="M13" s="101"/>
      <c r="N13" s="101"/>
      <c r="O13" s="1199"/>
      <c r="P13" s="1200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7130.9999999999991</v>
      </c>
      <c r="F14" s="30">
        <f>SUM(F15:F21)</f>
        <v>0</v>
      </c>
      <c r="G14" s="30">
        <f>SUM(G15:G21)</f>
        <v>170990</v>
      </c>
      <c r="H14" s="30">
        <f>SUM(H15:H21)</f>
        <v>18857.68830004807</v>
      </c>
      <c r="I14" s="29">
        <f t="shared" ref="I14:I21" si="1">IFERROR((H14/G14),0)</f>
        <v>0.11028532838205785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254" t="s">
        <v>60</v>
      </c>
      <c r="B15" s="9" t="s">
        <v>9</v>
      </c>
      <c r="C15" s="20">
        <f>'26'!C15</f>
        <v>0</v>
      </c>
      <c r="D15" s="20">
        <f>'26'!D15</f>
        <v>0</v>
      </c>
      <c r="E15" s="19">
        <v>0</v>
      </c>
      <c r="F15" s="193"/>
      <c r="G15" s="18">
        <f>E15+'26'!G15</f>
        <v>0</v>
      </c>
      <c r="H15" s="18">
        <f>F15+'26'!H15</f>
        <v>0</v>
      </c>
      <c r="I15" s="17">
        <f t="shared" si="1"/>
        <v>0</v>
      </c>
      <c r="J15" s="192">
        <v>0</v>
      </c>
      <c r="K15" s="67">
        <f>J15+'26'!K15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</row>
    <row r="16" spans="1:20" ht="18" customHeight="1">
      <c r="A16" s="44" t="s">
        <v>254</v>
      </c>
      <c r="B16" s="9" t="s">
        <v>9</v>
      </c>
      <c r="C16" s="20">
        <f>'01'!C16</f>
        <v>44352</v>
      </c>
      <c r="D16" s="20">
        <f>'26'!D16</f>
        <v>6069.3572595923979</v>
      </c>
      <c r="E16" s="134">
        <v>1621.585890073831</v>
      </c>
      <c r="F16" s="171">
        <v>0</v>
      </c>
      <c r="G16" s="18">
        <f>E16+'26'!G16</f>
        <v>38883.041837571778</v>
      </c>
      <c r="H16" s="18">
        <f>F16+'26'!H16</f>
        <v>3228.5002277343951</v>
      </c>
      <c r="I16" s="956">
        <f t="shared" si="1"/>
        <v>8.3031061232837253E-2</v>
      </c>
      <c r="J16" s="751">
        <f>IFERROR(SUMIF(A101:A114,A16,E101:E114),0)+E111+E112+E113</f>
        <v>0</v>
      </c>
      <c r="K16" s="67">
        <f>J16+'26'!K16</f>
        <v>3320.85</v>
      </c>
      <c r="L16" s="398">
        <f t="shared" ref="L16:L37" si="2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0" ht="15" customHeight="1">
      <c r="A17" s="733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E17+'26'!G17</f>
        <v>0</v>
      </c>
      <c r="H17" s="18">
        <f>F17+'26'!H17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J17+'26'!K17</f>
        <v>0</v>
      </c>
      <c r="L17" s="398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0">
      <c r="A18" s="44" t="s">
        <v>85</v>
      </c>
      <c r="B18" s="9" t="s">
        <v>9</v>
      </c>
      <c r="C18" s="20">
        <f>'01'!C18</f>
        <v>1360</v>
      </c>
      <c r="D18" s="20">
        <f>'26'!D18</f>
        <v>3183.2380657083054</v>
      </c>
      <c r="E18" s="134"/>
      <c r="F18" s="171"/>
      <c r="G18" s="18">
        <f>E18+'26'!G18</f>
        <v>0</v>
      </c>
      <c r="H18" s="18">
        <f>F18+'26'!H18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J18+'26'!K18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0" s="56" customFormat="1">
      <c r="A19" s="123" t="str">
        <f>'01'!A19</f>
        <v>ЦЕМ I 52.5Н</v>
      </c>
      <c r="B19" s="59" t="s">
        <v>9</v>
      </c>
      <c r="C19" s="20">
        <f>'26'!C19</f>
        <v>145770</v>
      </c>
      <c r="D19" s="20">
        <f>'26'!D19</f>
        <v>12764.733711905967</v>
      </c>
      <c r="E19" s="250">
        <v>5329.603517227235</v>
      </c>
      <c r="F19" s="131">
        <v>0</v>
      </c>
      <c r="G19" s="18">
        <f>E19+'26'!G19</f>
        <v>127795.38710008202</v>
      </c>
      <c r="H19" s="18">
        <f>F19+'26'!H19</f>
        <v>15629.188072313675</v>
      </c>
      <c r="I19" s="957">
        <f t="shared" si="1"/>
        <v>0.12229853069793349</v>
      </c>
      <c r="J19" s="751">
        <f>IFERROR(SUMIF(A102:A115,A19,E102:E115),0)+E117+E115+E122</f>
        <v>0</v>
      </c>
      <c r="K19" s="67">
        <f>J19+'26'!K19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0">
      <c r="A20" s="44" t="s">
        <v>245</v>
      </c>
      <c r="B20" s="9" t="s">
        <v>9</v>
      </c>
      <c r="C20" s="20">
        <f>'26'!C20</f>
        <v>3558</v>
      </c>
      <c r="D20" s="20">
        <f>'26'!D20</f>
        <v>3404.0479510608047</v>
      </c>
      <c r="E20" s="134">
        <v>130.08663863822807</v>
      </c>
      <c r="F20" s="110">
        <v>0</v>
      </c>
      <c r="G20" s="18">
        <f>E20+'26'!G20</f>
        <v>3119.2699958982776</v>
      </c>
      <c r="H20" s="18">
        <f>F20+'26'!H20</f>
        <v>0</v>
      </c>
      <c r="I20" s="17">
        <f t="shared" si="1"/>
        <v>0</v>
      </c>
      <c r="J20" s="751">
        <f>IFERROR(SUMIF(A102:A115,A20,E102:E115),0)</f>
        <v>0</v>
      </c>
      <c r="K20" s="67">
        <f>J20+'26'!K20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</row>
    <row r="21" spans="1:20" ht="15.75" customHeight="1">
      <c r="A21" s="44" t="s">
        <v>50</v>
      </c>
      <c r="B21" s="9" t="s">
        <v>9</v>
      </c>
      <c r="C21" s="20">
        <f>'01'!C21</f>
        <v>0</v>
      </c>
      <c r="D21" s="20">
        <f>'26'!D21</f>
        <v>8.7766238721087575E-11</v>
      </c>
      <c r="E21" s="134">
        <v>49.723954060705495</v>
      </c>
      <c r="F21" s="110">
        <v>0</v>
      </c>
      <c r="G21" s="18">
        <f>E21+'26'!G21</f>
        <v>1192.3010664479079</v>
      </c>
      <c r="H21" s="18">
        <f>F21+'26'!H21</f>
        <v>0</v>
      </c>
      <c r="I21" s="17">
        <f t="shared" si="1"/>
        <v>0</v>
      </c>
      <c r="J21" s="751">
        <f>IFERROR(SUMIF(A102:A115,A21,E102:E115),0)</f>
        <v>0</v>
      </c>
      <c r="K21" s="67">
        <f>J21+'26'!K21</f>
        <v>0</v>
      </c>
      <c r="L21" s="60">
        <f t="shared" si="2"/>
        <v>8.7766238721087575E-11</v>
      </c>
      <c r="M21" s="409"/>
      <c r="N21" s="429"/>
      <c r="O21" s="1252"/>
      <c r="P21" s="1253"/>
      <c r="Q21" s="602"/>
      <c r="R21" s="602"/>
    </row>
    <row r="22" spans="1:20" ht="15.75" customHeight="1">
      <c r="A22" s="733" t="s">
        <v>191</v>
      </c>
      <c r="B22" s="26"/>
      <c r="C22" s="20">
        <f>'01'!C22</f>
        <v>1100</v>
      </c>
      <c r="D22" s="20">
        <f>'26'!D22</f>
        <v>2833.750634882178</v>
      </c>
      <c r="E22" s="134">
        <v>0</v>
      </c>
      <c r="F22" s="110">
        <v>0</v>
      </c>
      <c r="G22" s="18">
        <f>E22+'26'!G22</f>
        <v>1100</v>
      </c>
      <c r="H22" s="18">
        <f>F22+'26'!H22</f>
        <v>2130.1044634377968</v>
      </c>
      <c r="I22" s="23"/>
      <c r="J22" s="751">
        <f>IFERROR(SUMIF(A103:A123,A22,E103:E123),0)+E109</f>
        <v>0</v>
      </c>
      <c r="K22" s="67">
        <f>J22+'26'!K22</f>
        <v>757.20000000000016</v>
      </c>
      <c r="L22" s="60">
        <f t="shared" si="2"/>
        <v>4206.655098319975</v>
      </c>
      <c r="M22" s="409"/>
      <c r="N22" s="429"/>
      <c r="O22" s="1325"/>
      <c r="P22" s="1253"/>
      <c r="Q22" s="602"/>
      <c r="R22" s="602"/>
    </row>
    <row r="23" spans="1:20" s="4" customFormat="1">
      <c r="A23" s="245" t="s">
        <v>226</v>
      </c>
      <c r="B23" s="26" t="s">
        <v>9</v>
      </c>
      <c r="C23" s="25">
        <f>'26'!C23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E23+'26'!G23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J23+'26'!K23</f>
        <v>20</v>
      </c>
      <c r="L23" s="584">
        <f>D23+H23-K23+M23</f>
        <v>32</v>
      </c>
      <c r="M23" s="416"/>
      <c r="N23" s="432"/>
      <c r="O23" s="1254"/>
      <c r="P23" s="1255"/>
      <c r="Q23" s="606"/>
      <c r="R23" s="606"/>
      <c r="S23" s="616"/>
      <c r="T23" s="28"/>
    </row>
    <row r="24" spans="1:20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E24+'26'!G24</f>
        <v>0</v>
      </c>
      <c r="H24" s="18">
        <f>F24+'26'!H24</f>
        <v>0</v>
      </c>
      <c r="I24" s="23"/>
      <c r="J24" s="752">
        <v>0</v>
      </c>
      <c r="K24" s="67">
        <f>J24+'26'!K24</f>
        <v>0</v>
      </c>
      <c r="L24" s="60">
        <f t="shared" si="2"/>
        <v>0</v>
      </c>
      <c r="M24" s="416"/>
      <c r="N24" s="432"/>
      <c r="O24" s="925"/>
      <c r="P24" s="926"/>
      <c r="Q24" s="606"/>
      <c r="R24" s="606"/>
      <c r="S24" s="616"/>
      <c r="T24" s="28"/>
    </row>
    <row r="25" spans="1:20" s="4" customFormat="1" hidden="1" outlineLevel="1">
      <c r="A25" s="4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E25+'26'!G25</f>
        <v>0</v>
      </c>
      <c r="H25" s="18">
        <f>F25+'26'!H25</f>
        <v>0</v>
      </c>
      <c r="I25" s="23"/>
      <c r="J25" s="752">
        <v>0</v>
      </c>
      <c r="K25" s="67">
        <f>J25+'26'!K25</f>
        <v>20</v>
      </c>
      <c r="L25" s="60">
        <f t="shared" si="2"/>
        <v>-4</v>
      </c>
      <c r="M25" s="416"/>
      <c r="N25" s="432"/>
      <c r="O25" s="925"/>
      <c r="P25" s="926"/>
      <c r="Q25" s="606"/>
      <c r="R25" s="606"/>
      <c r="S25" s="616"/>
      <c r="T25" s="28"/>
    </row>
    <row r="26" spans="1:20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E26+'26'!G26</f>
        <v>0</v>
      </c>
      <c r="H26" s="18">
        <f>F26+'26'!H26</f>
        <v>0</v>
      </c>
      <c r="I26" s="23"/>
      <c r="J26" s="752">
        <v>0</v>
      </c>
      <c r="K26" s="67">
        <f>J26+'26'!K26</f>
        <v>0</v>
      </c>
      <c r="L26" s="60">
        <f t="shared" si="2"/>
        <v>36</v>
      </c>
      <c r="M26" s="416"/>
      <c r="N26" s="432"/>
      <c r="O26" s="925"/>
      <c r="P26" s="926"/>
      <c r="Q26" s="606"/>
      <c r="R26" s="606"/>
      <c r="S26" s="616"/>
      <c r="T26" s="28"/>
    </row>
    <row r="27" spans="1:20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E27+'26'!G27</f>
        <v>0</v>
      </c>
      <c r="H27" s="18">
        <f>F27+'26'!H27</f>
        <v>0</v>
      </c>
      <c r="I27" s="23"/>
      <c r="J27" s="752"/>
      <c r="K27" s="67">
        <f>J27+'26'!K27</f>
        <v>0</v>
      </c>
      <c r="L27" s="60">
        <f t="shared" si="2"/>
        <v>0</v>
      </c>
      <c r="M27" s="416"/>
      <c r="N27" s="432"/>
      <c r="O27" s="925"/>
      <c r="P27" s="926"/>
      <c r="Q27" s="606"/>
      <c r="R27" s="606"/>
      <c r="S27" s="616"/>
      <c r="T27" s="28"/>
    </row>
    <row r="28" spans="1:20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E28+'26'!G28</f>
        <v>0</v>
      </c>
      <c r="H28" s="18">
        <f>F28+'26'!H28</f>
        <v>0</v>
      </c>
      <c r="I28" s="23"/>
      <c r="J28" s="752"/>
      <c r="K28" s="67">
        <f>J28+'26'!K28</f>
        <v>0</v>
      </c>
      <c r="L28" s="60">
        <f t="shared" si="2"/>
        <v>0</v>
      </c>
      <c r="M28" s="416"/>
      <c r="N28" s="432"/>
      <c r="O28" s="925"/>
      <c r="P28" s="926"/>
      <c r="Q28" s="606"/>
      <c r="R28" s="606"/>
      <c r="S28" s="616"/>
      <c r="T28" s="28"/>
    </row>
    <row r="29" spans="1:20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E29+'26'!G29</f>
        <v>0</v>
      </c>
      <c r="H29" s="18">
        <f>F29+'26'!H29</f>
        <v>0</v>
      </c>
      <c r="I29" s="23"/>
      <c r="J29" s="752"/>
      <c r="K29" s="67">
        <f>J29+'26'!K29</f>
        <v>0</v>
      </c>
      <c r="L29" s="60">
        <f t="shared" si="2"/>
        <v>0</v>
      </c>
      <c r="M29" s="416"/>
      <c r="N29" s="432"/>
      <c r="O29" s="925"/>
      <c r="P29" s="926"/>
      <c r="Q29" s="606"/>
      <c r="R29" s="606"/>
      <c r="S29" s="616"/>
      <c r="T29" s="28"/>
    </row>
    <row r="30" spans="1:20" s="4" customFormat="1" collapsed="1">
      <c r="A30" s="245" t="s">
        <v>227</v>
      </c>
      <c r="B30" s="670" t="s">
        <v>9</v>
      </c>
      <c r="C30" s="25"/>
      <c r="D30" s="310">
        <f>'26'!D30</f>
        <v>1513.6</v>
      </c>
      <c r="E30" s="48"/>
      <c r="F30" s="98">
        <f>SUM(F31:F37)</f>
        <v>0</v>
      </c>
      <c r="G30" s="24">
        <f>E30+'26'!G30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J30+'26'!K30</f>
        <v>994.39999999999986</v>
      </c>
      <c r="L30" s="584">
        <f t="shared" si="2"/>
        <v>1073.6000000000001</v>
      </c>
      <c r="M30" s="416"/>
      <c r="N30" s="432"/>
      <c r="O30" s="1324"/>
      <c r="P30" s="1255"/>
      <c r="Q30" s="606"/>
      <c r="R30" s="606"/>
      <c r="S30" s="616"/>
      <c r="T30" s="28"/>
    </row>
    <row r="31" spans="1:20" s="4" customFormat="1" hidden="1" outlineLevel="1">
      <c r="A31" s="105" t="s">
        <v>153</v>
      </c>
      <c r="B31" s="9" t="s">
        <v>9</v>
      </c>
      <c r="C31" s="25"/>
      <c r="D31" s="20">
        <f>'26'!D31</f>
        <v>0</v>
      </c>
      <c r="E31" s="48"/>
      <c r="F31" s="864">
        <v>0</v>
      </c>
      <c r="G31" s="18">
        <f>E31+'26'!G31</f>
        <v>0</v>
      </c>
      <c r="H31" s="18">
        <f>F31+'26'!H31</f>
        <v>0</v>
      </c>
      <c r="I31" s="23"/>
      <c r="J31" s="865">
        <v>0</v>
      </c>
      <c r="K31" s="67">
        <f>J31+'26'!K31</f>
        <v>0</v>
      </c>
      <c r="L31" s="60">
        <f t="shared" si="2"/>
        <v>0</v>
      </c>
      <c r="M31" s="416"/>
      <c r="N31" s="432"/>
      <c r="O31" s="925"/>
      <c r="P31" s="926"/>
      <c r="Q31" s="606"/>
      <c r="R31" s="606"/>
      <c r="S31" s="616"/>
      <c r="T31" s="28"/>
    </row>
    <row r="32" spans="1:20" s="4" customFormat="1" hidden="1" outlineLevel="1">
      <c r="A32" s="44" t="s">
        <v>254</v>
      </c>
      <c r="B32" s="9" t="s">
        <v>9</v>
      </c>
      <c r="C32" s="25"/>
      <c r="D32" s="20">
        <f>'26'!D32</f>
        <v>1508.32</v>
      </c>
      <c r="E32" s="48"/>
      <c r="F32" s="864">
        <v>0</v>
      </c>
      <c r="G32" s="18">
        <f>E32+'26'!G32</f>
        <v>0</v>
      </c>
      <c r="H32" s="18">
        <f>F32+'26'!H32</f>
        <v>554.40000000000009</v>
      </c>
      <c r="I32" s="23"/>
      <c r="J32" s="865">
        <v>0</v>
      </c>
      <c r="K32" s="67">
        <f>J32+'26'!K32</f>
        <v>994.39999999999986</v>
      </c>
      <c r="L32" s="60">
        <f t="shared" si="2"/>
        <v>1068.3200000000004</v>
      </c>
      <c r="M32" s="416"/>
      <c r="N32" s="432"/>
      <c r="O32" s="925"/>
      <c r="P32" s="926"/>
      <c r="Q32" s="606"/>
      <c r="R32" s="606"/>
      <c r="S32" s="616"/>
      <c r="T32" s="28"/>
    </row>
    <row r="33" spans="1:20" s="4" customFormat="1" hidden="1" outlineLevel="1">
      <c r="A33" s="123" t="str">
        <f>'01'!A33</f>
        <v>ЦЕМ I 52.5Н</v>
      </c>
      <c r="B33" s="9" t="s">
        <v>9</v>
      </c>
      <c r="C33" s="25"/>
      <c r="D33" s="20">
        <f>'26'!D33</f>
        <v>5.28</v>
      </c>
      <c r="E33" s="48"/>
      <c r="F33" s="864">
        <v>0</v>
      </c>
      <c r="G33" s="18">
        <f>E33+'26'!G33</f>
        <v>0</v>
      </c>
      <c r="H33" s="18">
        <f>F33+'26'!H33</f>
        <v>0</v>
      </c>
      <c r="I33" s="23"/>
      <c r="J33" s="865">
        <v>0</v>
      </c>
      <c r="K33" s="67">
        <f>J33+'26'!K33</f>
        <v>0</v>
      </c>
      <c r="L33" s="60">
        <f t="shared" si="2"/>
        <v>5.28</v>
      </c>
      <c r="M33" s="416"/>
      <c r="N33" s="432"/>
      <c r="O33" s="925"/>
      <c r="P33" s="926"/>
      <c r="Q33" s="606"/>
      <c r="R33" s="606"/>
      <c r="S33" s="616"/>
      <c r="T33" s="28"/>
    </row>
    <row r="34" spans="1:20" s="4" customFormat="1" hidden="1" outlineLevel="1">
      <c r="A34" s="44" t="s">
        <v>50</v>
      </c>
      <c r="B34" s="9" t="s">
        <v>9</v>
      </c>
      <c r="C34" s="25"/>
      <c r="D34" s="20">
        <f>'26'!D34</f>
        <v>0</v>
      </c>
      <c r="E34" s="48"/>
      <c r="F34" s="864">
        <v>0</v>
      </c>
      <c r="G34" s="18">
        <f>E34+'26'!G34</f>
        <v>0</v>
      </c>
      <c r="H34" s="18">
        <f>F34+'26'!H34</f>
        <v>0</v>
      </c>
      <c r="I34" s="23"/>
      <c r="J34" s="865"/>
      <c r="K34" s="67">
        <f>J34+'26'!K34</f>
        <v>0</v>
      </c>
      <c r="L34" s="60">
        <f t="shared" si="2"/>
        <v>0</v>
      </c>
      <c r="M34" s="416"/>
      <c r="N34" s="432"/>
      <c r="O34" s="925"/>
      <c r="P34" s="926"/>
      <c r="Q34" s="606"/>
      <c r="R34" s="606"/>
      <c r="S34" s="616"/>
      <c r="T34" s="28"/>
    </row>
    <row r="35" spans="1:20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E35+'26'!G35</f>
        <v>0</v>
      </c>
      <c r="H35" s="18">
        <f>F35+'26'!H35</f>
        <v>0</v>
      </c>
      <c r="I35" s="23"/>
      <c r="J35" s="865"/>
      <c r="K35" s="67">
        <f>J35+'26'!K35</f>
        <v>0</v>
      </c>
      <c r="L35" s="60">
        <f t="shared" si="2"/>
        <v>0</v>
      </c>
      <c r="M35" s="416"/>
      <c r="N35" s="432"/>
      <c r="O35" s="925"/>
      <c r="P35" s="926"/>
      <c r="Q35" s="606"/>
      <c r="R35" s="606"/>
      <c r="S35" s="616"/>
      <c r="T35" s="28"/>
    </row>
    <row r="36" spans="1:20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E36+'26'!G36</f>
        <v>0</v>
      </c>
      <c r="H36" s="18">
        <f>F36+'26'!H36</f>
        <v>0</v>
      </c>
      <c r="I36" s="23"/>
      <c r="J36" s="110">
        <v>0</v>
      </c>
      <c r="K36" s="67">
        <f>J36+'26'!K36</f>
        <v>0</v>
      </c>
      <c r="L36" s="60">
        <f t="shared" si="2"/>
        <v>1673.24</v>
      </c>
      <c r="M36" s="416"/>
      <c r="N36" s="432"/>
      <c r="O36" s="925"/>
      <c r="P36" s="926"/>
      <c r="Q36" s="606"/>
      <c r="R36" s="606"/>
      <c r="S36" s="616"/>
      <c r="T36" s="28"/>
    </row>
    <row r="37" spans="1:20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E37+'26'!G37</f>
        <v>0</v>
      </c>
      <c r="H37" s="18">
        <f>F37+'26'!H37</f>
        <v>0</v>
      </c>
      <c r="I37" s="23"/>
      <c r="J37" s="110">
        <v>0</v>
      </c>
      <c r="K37" s="67">
        <f>J37+'26'!K37</f>
        <v>0</v>
      </c>
      <c r="L37" s="60">
        <f t="shared" si="2"/>
        <v>294.63999999999987</v>
      </c>
      <c r="M37" s="416"/>
      <c r="N37" s="432"/>
      <c r="O37" s="925"/>
      <c r="P37" s="926"/>
      <c r="Q37" s="606"/>
      <c r="R37" s="606"/>
      <c r="S37" s="616"/>
      <c r="T37" s="28"/>
    </row>
    <row r="38" spans="1:20" s="4" customFormat="1" collapsed="1">
      <c r="A38" s="669" t="s">
        <v>66</v>
      </c>
      <c r="B38" s="670" t="s">
        <v>9</v>
      </c>
      <c r="C38" s="310">
        <f>'26'!C38</f>
        <v>153958.10705780028</v>
      </c>
      <c r="D38" s="310">
        <f>'26'!D38</f>
        <v>1756.9829593932955</v>
      </c>
      <c r="E38" s="97">
        <f>C38/31</f>
        <v>4966.3905502516218</v>
      </c>
      <c r="F38" s="671">
        <f>SUM(F39:F42)</f>
        <v>0</v>
      </c>
      <c r="G38" s="671">
        <f>E38+'26'!G38</f>
        <v>134092.54485679386</v>
      </c>
      <c r="H38" s="671">
        <f>F38+'26'!H38</f>
        <v>9132.5707721894778</v>
      </c>
      <c r="I38" s="958">
        <f>IFERROR((H38/G38),0)</f>
        <v>6.8106476627337806E-2</v>
      </c>
      <c r="J38" s="753">
        <f>SUM(J39:J40)</f>
        <v>0</v>
      </c>
      <c r="K38" s="672">
        <f>J38+'26'!K38</f>
        <v>9083.5707721894778</v>
      </c>
      <c r="L38" s="310">
        <f>D38+H38-K38</f>
        <v>1805.9829593932955</v>
      </c>
      <c r="M38" s="76"/>
      <c r="N38" s="45"/>
      <c r="O38" s="1256"/>
      <c r="P38" s="1257"/>
      <c r="Q38" s="607"/>
      <c r="R38" s="602"/>
      <c r="S38" s="614"/>
      <c r="T38" s="2"/>
    </row>
    <row r="39" spans="1:20" ht="15.75" customHeight="1">
      <c r="A39" s="74" t="s">
        <v>91</v>
      </c>
      <c r="B39" s="9" t="s">
        <v>9</v>
      </c>
      <c r="C39" s="20"/>
      <c r="D39" s="20"/>
      <c r="E39" s="19"/>
      <c r="F39" s="110">
        <v>0</v>
      </c>
      <c r="G39" s="18"/>
      <c r="H39" s="18">
        <f>F39+'26'!H39</f>
        <v>6840.5707721894778</v>
      </c>
      <c r="I39" s="17"/>
      <c r="J39" s="750">
        <f>F39</f>
        <v>0</v>
      </c>
      <c r="K39" s="67">
        <f>J39+'26'!K39</f>
        <v>6840.5707721894778</v>
      </c>
      <c r="L39" s="20"/>
      <c r="M39" s="76"/>
      <c r="N39" s="45"/>
      <c r="O39" s="1256"/>
      <c r="P39" s="1257"/>
      <c r="Q39" s="607"/>
      <c r="R39" s="602"/>
      <c r="S39" s="614"/>
      <c r="T39" s="2"/>
    </row>
    <row r="40" spans="1:20" ht="15.75" customHeight="1">
      <c r="A40" s="74" t="s">
        <v>109</v>
      </c>
      <c r="B40" s="9" t="s">
        <v>9</v>
      </c>
      <c r="C40" s="20"/>
      <c r="D40" s="20"/>
      <c r="E40" s="19"/>
      <c r="F40" s="110">
        <v>0</v>
      </c>
      <c r="G40" s="18"/>
      <c r="H40" s="18">
        <f>F40+'26'!H40</f>
        <v>2292</v>
      </c>
      <c r="I40" s="17"/>
      <c r="J40" s="178">
        <v>0</v>
      </c>
      <c r="K40" s="67">
        <f>J40+'26'!K40</f>
        <v>2243</v>
      </c>
      <c r="L40" s="20"/>
      <c r="M40" s="76"/>
      <c r="N40" s="45"/>
      <c r="O40" s="1256"/>
      <c r="P40" s="1257"/>
      <c r="Q40" s="607"/>
      <c r="R40" s="602"/>
      <c r="S40" s="614"/>
      <c r="T40" s="2"/>
    </row>
    <row r="41" spans="1:20" ht="15.75" hidden="1" customHeight="1" outlineLevel="1">
      <c r="A41" s="74" t="s">
        <v>67</v>
      </c>
      <c r="B41" s="9" t="s">
        <v>9</v>
      </c>
      <c r="C41" s="20"/>
      <c r="D41" s="20"/>
      <c r="E41" s="19"/>
      <c r="F41" s="18"/>
      <c r="G41" s="18"/>
      <c r="H41" s="18">
        <f>F41+'26'!H41</f>
        <v>0</v>
      </c>
      <c r="I41" s="17"/>
      <c r="J41" s="192"/>
      <c r="K41" s="67">
        <f>J41+'26'!K41</f>
        <v>0</v>
      </c>
      <c r="L41" s="20"/>
      <c r="M41" s="76"/>
      <c r="N41" s="45"/>
      <c r="O41" s="1256"/>
      <c r="P41" s="1257"/>
      <c r="Q41" s="607"/>
      <c r="R41" s="602"/>
      <c r="S41" s="614"/>
      <c r="T41" s="2"/>
    </row>
    <row r="42" spans="1:20" ht="15.75" hidden="1" customHeight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F42+'26'!H42</f>
        <v>0</v>
      </c>
      <c r="I42" s="17"/>
      <c r="J42" s="192"/>
      <c r="K42" s="67">
        <f>J42+'26'!K42</f>
        <v>0</v>
      </c>
      <c r="L42" s="20"/>
      <c r="M42" s="76"/>
      <c r="N42" s="45"/>
      <c r="O42" s="1256"/>
      <c r="P42" s="1257"/>
      <c r="Q42" s="607"/>
      <c r="R42" s="602"/>
      <c r="S42" s="614"/>
      <c r="T42" s="2"/>
    </row>
    <row r="43" spans="1:20" ht="15.75" customHeight="1" collapsed="1">
      <c r="A43" s="74" t="s">
        <v>63</v>
      </c>
      <c r="B43" s="9" t="s">
        <v>9</v>
      </c>
      <c r="C43" s="20">
        <f>'26'!C43</f>
        <v>96601.878796744204</v>
      </c>
      <c r="D43" s="20"/>
      <c r="E43" s="312">
        <f>C43/30</f>
        <v>3220.06262655814</v>
      </c>
      <c r="F43" s="110">
        <v>0</v>
      </c>
      <c r="G43" s="18">
        <f>E43+'26'!G43</f>
        <v>86941.690917069747</v>
      </c>
      <c r="H43" s="18">
        <f>F43+'26'!H43</f>
        <v>8403.7999999999993</v>
      </c>
      <c r="I43" s="17">
        <f>IFERROR((H43/G43),0)</f>
        <v>9.6660185825187747E-2</v>
      </c>
      <c r="J43" s="192">
        <f>F43</f>
        <v>0</v>
      </c>
      <c r="K43" s="67">
        <f>J43+'26'!K43</f>
        <v>8403.7999999999993</v>
      </c>
      <c r="L43" s="20">
        <f>D43+H43-K43</f>
        <v>0</v>
      </c>
      <c r="M43" s="76"/>
      <c r="N43" s="45"/>
      <c r="O43" s="1256"/>
      <c r="P43" s="1257"/>
      <c r="Q43" s="607"/>
      <c r="R43" s="602"/>
      <c r="S43" s="614"/>
      <c r="T43" s="2"/>
    </row>
    <row r="44" spans="1:20" s="4" customFormat="1">
      <c r="A44" s="74" t="s">
        <v>40</v>
      </c>
      <c r="B44" s="9" t="s">
        <v>9</v>
      </c>
      <c r="C44" s="20">
        <f>'26'!C44</f>
        <v>40846.933088751408</v>
      </c>
      <c r="D44" s="20">
        <f>'26'!D44</f>
        <v>3759.4565289122183</v>
      </c>
      <c r="E44" s="707">
        <f>C44/30</f>
        <v>1361.5644362917135</v>
      </c>
      <c r="F44" s="110">
        <v>0</v>
      </c>
      <c r="G44" s="18">
        <f>E44+'26'!G44</f>
        <v>36762.239779876254</v>
      </c>
      <c r="H44" s="18">
        <f>F44+'26'!H44</f>
        <v>7255</v>
      </c>
      <c r="I44" s="17">
        <f>IFERROR((H44/G44),0)</f>
        <v>0.19734923778967911</v>
      </c>
      <c r="J44" s="178">
        <v>0</v>
      </c>
      <c r="K44" s="67">
        <f>J44+'26'!K44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2"/>
    </row>
    <row r="45" spans="1:20" s="4" customFormat="1" hidden="1" outlineLevel="1">
      <c r="A45" s="74" t="s">
        <v>70</v>
      </c>
      <c r="B45" s="9"/>
      <c r="C45" s="20"/>
      <c r="D45" s="20"/>
      <c r="E45" s="19"/>
      <c r="F45" s="18">
        <v>0</v>
      </c>
      <c r="G45" s="18"/>
      <c r="H45" s="18">
        <f>F45+'26'!H45</f>
        <v>0</v>
      </c>
      <c r="I45" s="17"/>
      <c r="J45" s="192"/>
      <c r="K45" s="67">
        <f>J45+'26'!K45</f>
        <v>0</v>
      </c>
      <c r="L45" s="20"/>
      <c r="M45" s="76"/>
      <c r="N45" s="45"/>
      <c r="O45" s="1256"/>
      <c r="P45" s="1257"/>
      <c r="Q45" s="607"/>
      <c r="R45" s="606"/>
      <c r="S45" s="614"/>
      <c r="T45" s="2"/>
    </row>
    <row r="46" spans="1:20" s="4" customFormat="1" hidden="1" outlineLevel="1">
      <c r="A46" s="74" t="s">
        <v>71</v>
      </c>
      <c r="B46" s="9"/>
      <c r="C46" s="20"/>
      <c r="D46" s="20"/>
      <c r="E46" s="19"/>
      <c r="F46" s="18"/>
      <c r="G46" s="18"/>
      <c r="H46" s="18">
        <f>F46+'26'!H46</f>
        <v>0</v>
      </c>
      <c r="I46" s="17"/>
      <c r="J46" s="192"/>
      <c r="K46" s="239">
        <f>J46+'26'!K46</f>
        <v>0</v>
      </c>
      <c r="L46" s="20"/>
      <c r="M46" s="76"/>
      <c r="N46" s="45"/>
      <c r="O46" s="1256"/>
      <c r="P46" s="1257"/>
      <c r="Q46" s="607"/>
      <c r="R46" s="606"/>
      <c r="S46" s="614"/>
      <c r="T46" s="2"/>
    </row>
    <row r="47" spans="1:20" s="4" customFormat="1" hidden="1" outlineLevel="1">
      <c r="A47" s="74" t="s">
        <v>72</v>
      </c>
      <c r="B47" s="9"/>
      <c r="C47" s="20"/>
      <c r="D47" s="20"/>
      <c r="E47" s="19"/>
      <c r="F47" s="18"/>
      <c r="G47" s="18"/>
      <c r="H47" s="18">
        <f>F47+'26'!H47</f>
        <v>0</v>
      </c>
      <c r="I47" s="17"/>
      <c r="J47" s="192"/>
      <c r="K47" s="67">
        <f>J47+'26'!K47</f>
        <v>0</v>
      </c>
      <c r="L47" s="20"/>
      <c r="M47" s="76"/>
      <c r="N47" s="45"/>
      <c r="O47" s="1256"/>
      <c r="P47" s="1257"/>
      <c r="Q47" s="607"/>
      <c r="R47" s="606"/>
      <c r="S47" s="614"/>
      <c r="T47" s="2"/>
    </row>
    <row r="48" spans="1:20" s="4" customFormat="1" collapsed="1">
      <c r="A48" s="74" t="s">
        <v>106</v>
      </c>
      <c r="B48" s="9" t="s">
        <v>9</v>
      </c>
      <c r="C48" s="20">
        <f>'26'!C48</f>
        <v>238663.46526254449</v>
      </c>
      <c r="D48" s="20">
        <f>'26'!D48</f>
        <v>14554.971764167974</v>
      </c>
      <c r="E48" s="19">
        <f>C48/30</f>
        <v>7955.4488420848165</v>
      </c>
      <c r="F48" s="110">
        <v>0</v>
      </c>
      <c r="G48" s="18">
        <f>E48+'26'!G48</f>
        <v>214797.11873629011</v>
      </c>
      <c r="H48" s="18">
        <f>F48+'26'!H48</f>
        <v>15244.370772189477</v>
      </c>
      <c r="I48" s="17">
        <f>IFERROR((H48/G48),0)</f>
        <v>7.0971020756126796E-2</v>
      </c>
      <c r="J48" s="750">
        <v>0</v>
      </c>
      <c r="K48" s="67">
        <f>J48+'26'!K48</f>
        <v>27730.381517661059</v>
      </c>
      <c r="L48" s="20">
        <f>D48+H48-K48</f>
        <v>2068.961018696391</v>
      </c>
      <c r="M48" s="76"/>
      <c r="N48" s="45"/>
      <c r="O48" s="1256"/>
      <c r="P48" s="1257"/>
      <c r="Q48" s="607"/>
      <c r="R48" s="606"/>
      <c r="S48" s="614"/>
      <c r="T48" s="2"/>
    </row>
    <row r="49" spans="1:26" s="4" customFormat="1">
      <c r="A49" s="74" t="s">
        <v>107</v>
      </c>
      <c r="B49" s="26" t="s">
        <v>9</v>
      </c>
      <c r="C49" s="20">
        <f>'26'!C49</f>
        <v>256898.95024371953</v>
      </c>
      <c r="D49" s="20">
        <f>'26'!D49</f>
        <v>6890.3919969842718</v>
      </c>
      <c r="E49" s="19">
        <f>SUM(E50:E51)</f>
        <v>6000</v>
      </c>
      <c r="F49" s="18">
        <f>SUM(F50:F51)</f>
        <v>0</v>
      </c>
      <c r="G49" s="18">
        <f>SUM(G50:G51)</f>
        <v>212898.95024371953</v>
      </c>
      <c r="H49" s="18">
        <f>SUM(H50:H51)</f>
        <v>32176.186994748638</v>
      </c>
      <c r="I49" s="17">
        <f>IFERROR((H49/G49),0)</f>
        <v>0.1511336103720306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43"/>
      <c r="O49" s="1244"/>
      <c r="P49" s="1245"/>
      <c r="Q49" s="608"/>
      <c r="R49" s="606"/>
      <c r="S49" s="602"/>
      <c r="T49" s="2"/>
    </row>
    <row r="50" spans="1:26">
      <c r="A50" s="123" t="s">
        <v>61</v>
      </c>
      <c r="B50" s="9" t="s">
        <v>9</v>
      </c>
      <c r="C50" s="20">
        <f>'26'!C50</f>
        <v>0</v>
      </c>
      <c r="D50" s="20">
        <f>'26'!D50</f>
        <v>2323.23</v>
      </c>
      <c r="E50" s="19">
        <v>0</v>
      </c>
      <c r="F50" s="18"/>
      <c r="G50" s="18">
        <f>E50+'26'!G50</f>
        <v>0</v>
      </c>
      <c r="H50" s="18">
        <f>F50+'26'!H50</f>
        <v>0</v>
      </c>
      <c r="I50" s="17">
        <f>IFERROR((H50/G50),0)</f>
        <v>0</v>
      </c>
      <c r="J50" s="192"/>
      <c r="K50" s="67">
        <f>J50+'26'!K50</f>
        <v>0</v>
      </c>
      <c r="L50" s="20">
        <f>D50+H50-K50+M50</f>
        <v>2323.23</v>
      </c>
      <c r="M50" s="410"/>
      <c r="N50" s="433"/>
      <c r="O50" s="1385"/>
      <c r="P50" s="1386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'26'!C51</f>
        <v>256898.95024371953</v>
      </c>
      <c r="D51" s="20">
        <f>'26'!D51</f>
        <v>4567.1619969842723</v>
      </c>
      <c r="E51" s="134">
        <v>6000</v>
      </c>
      <c r="F51" s="110">
        <v>0</v>
      </c>
      <c r="G51" s="18">
        <f>E51+'26'!G51</f>
        <v>212898.95024371953</v>
      </c>
      <c r="H51" s="18">
        <f>F51+'26'!H51</f>
        <v>32176.186994748638</v>
      </c>
      <c r="I51" s="17">
        <f>IFERROR((H51/G51),0)</f>
        <v>0.1511336103720306</v>
      </c>
      <c r="J51" s="192">
        <f>O51-P51</f>
        <v>0</v>
      </c>
      <c r="K51" s="67">
        <f>J51+'26'!K51</f>
        <v>26069.180673341318</v>
      </c>
      <c r="L51" s="20">
        <f>D51+H51-K51+M51</f>
        <v>10674.168318391596</v>
      </c>
      <c r="M51" s="410"/>
      <c r="N51" s="43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'26'!C52</f>
        <v>0</v>
      </c>
      <c r="D52" s="20">
        <f>'26'!D52</f>
        <v>0</v>
      </c>
      <c r="E52" s="48"/>
      <c r="F52" s="24"/>
      <c r="G52" s="24"/>
      <c r="H52" s="24"/>
      <c r="I52" s="23"/>
      <c r="J52" s="946"/>
      <c r="K52" s="47"/>
      <c r="L52" s="25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'26'!C53</f>
        <v>0</v>
      </c>
      <c r="D53" s="20">
        <f>'26'!D53</f>
        <v>0</v>
      </c>
      <c r="E53" s="240">
        <f t="shared" ref="E53:E58" si="3">C53/$Q$2</f>
        <v>0</v>
      </c>
      <c r="F53" s="73">
        <v>0</v>
      </c>
      <c r="G53" s="18">
        <f>E53+'26'!G53</f>
        <v>0</v>
      </c>
      <c r="H53" s="18">
        <f>F53+'26'!H53</f>
        <v>0</v>
      </c>
      <c r="I53" s="957">
        <f t="shared" ref="I53:I58" si="4">IFERROR((H53/G53),0)</f>
        <v>0</v>
      </c>
      <c r="J53" s="624"/>
      <c r="K53" s="67">
        <f>J53+'26'!K53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'26'!C54</f>
        <v>10000</v>
      </c>
      <c r="D54" s="20">
        <f>'26'!D54</f>
        <v>13684.915881223626</v>
      </c>
      <c r="E54" s="240">
        <f t="shared" si="3"/>
        <v>322.58064516129031</v>
      </c>
      <c r="F54" s="73">
        <v>0</v>
      </c>
      <c r="G54" s="18">
        <f>E54+'26'!G54</f>
        <v>8709.6774193548426</v>
      </c>
      <c r="H54" s="18">
        <f>F54+'26'!H54</f>
        <v>0</v>
      </c>
      <c r="I54" s="957">
        <f t="shared" si="4"/>
        <v>0</v>
      </c>
      <c r="J54" s="754">
        <v>0</v>
      </c>
      <c r="K54" s="67">
        <f>J54+'26'!K54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'26'!C55</f>
        <v>17000</v>
      </c>
      <c r="D55" s="20">
        <f>'26'!D55</f>
        <v>3999.5665967852347</v>
      </c>
      <c r="E55" s="240">
        <f t="shared" si="3"/>
        <v>548.38709677419354</v>
      </c>
      <c r="F55" s="73">
        <v>0</v>
      </c>
      <c r="G55" s="18">
        <f>E55+'26'!G55</f>
        <v>14806.45161290322</v>
      </c>
      <c r="H55" s="18">
        <f>F55+'26'!H55</f>
        <v>0</v>
      </c>
      <c r="I55" s="957">
        <f t="shared" si="4"/>
        <v>0</v>
      </c>
      <c r="J55" s="754">
        <v>0</v>
      </c>
      <c r="K55" s="67">
        <f>J55+'26'!K55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'26'!C56</f>
        <v>0</v>
      </c>
      <c r="D56" s="20">
        <f>'26'!D56</f>
        <v>0</v>
      </c>
      <c r="E56" s="240">
        <f t="shared" si="3"/>
        <v>0</v>
      </c>
      <c r="F56" s="73">
        <v>0</v>
      </c>
      <c r="G56" s="18">
        <f>E56+'26'!G56</f>
        <v>0</v>
      </c>
      <c r="H56" s="18">
        <f>F56+'26'!H56</f>
        <v>0</v>
      </c>
      <c r="I56" s="957">
        <f t="shared" si="4"/>
        <v>0</v>
      </c>
      <c r="J56" s="624"/>
      <c r="K56" s="67">
        <f>J56+'26'!K56</f>
        <v>0</v>
      </c>
      <c r="L56" s="60">
        <f t="shared" si="5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'26'!C57</f>
        <v>0</v>
      </c>
      <c r="D57" s="20">
        <f>'26'!D57</f>
        <v>178.07499999999999</v>
      </c>
      <c r="E57" s="240">
        <f t="shared" si="3"/>
        <v>0</v>
      </c>
      <c r="F57" s="73">
        <v>0</v>
      </c>
      <c r="G57" s="18">
        <f>E57+'26'!G57</f>
        <v>0</v>
      </c>
      <c r="H57" s="18">
        <f>F57+'26'!H57</f>
        <v>0</v>
      </c>
      <c r="I57" s="957">
        <f t="shared" si="4"/>
        <v>0</v>
      </c>
      <c r="J57" s="624"/>
      <c r="K57" s="67">
        <f>J57+'26'!K57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'26'!C58</f>
        <v>0</v>
      </c>
      <c r="D58" s="20">
        <f>'26'!D58</f>
        <v>3480.6937513418743</v>
      </c>
      <c r="E58" s="240">
        <f t="shared" si="3"/>
        <v>0</v>
      </c>
      <c r="F58" s="73">
        <v>0</v>
      </c>
      <c r="G58" s="18">
        <f>E58+'26'!G58</f>
        <v>0</v>
      </c>
      <c r="H58" s="18">
        <f>F58+'26'!H58</f>
        <v>0</v>
      </c>
      <c r="I58" s="957">
        <f t="shared" si="4"/>
        <v>0</v>
      </c>
      <c r="J58" s="754">
        <v>0</v>
      </c>
      <c r="K58" s="67">
        <f>J58+'26'!K58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'26'!D59</f>
        <v>4269.0880030013104</v>
      </c>
      <c r="E59" s="240"/>
      <c r="F59" s="73">
        <v>0</v>
      </c>
      <c r="G59" s="18"/>
      <c r="H59" s="18">
        <f>F59+'26'!H59</f>
        <v>0</v>
      </c>
      <c r="I59" s="957"/>
      <c r="J59" s="754"/>
      <c r="K59" s="67">
        <f>J59+'26'!K59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t="15" hidden="1" customHeight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F60+'26'!H60</f>
        <v>0</v>
      </c>
      <c r="I60" s="957"/>
      <c r="J60" s="754"/>
      <c r="K60" s="67">
        <f>J60+'26'!K60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'26'!D61</f>
        <v>1063.653</v>
      </c>
      <c r="E61" s="240"/>
      <c r="F61" s="73"/>
      <c r="G61" s="18"/>
      <c r="H61" s="18">
        <f>F61+'26'!H61</f>
        <v>0</v>
      </c>
      <c r="I61" s="957"/>
      <c r="J61" s="624">
        <f>D139+D141</f>
        <v>0</v>
      </c>
      <c r="K61" s="67">
        <f>J61+'26'!K61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1041"/>
      <c r="T61" s="2"/>
    </row>
    <row r="62" spans="1:26" s="56" customFormat="1">
      <c r="A62" s="61" t="s">
        <v>250</v>
      </c>
      <c r="B62" s="59" t="s">
        <v>9</v>
      </c>
      <c r="C62" s="574"/>
      <c r="D62" s="20">
        <f>'26'!D62</f>
        <v>1531.7249999999999</v>
      </c>
      <c r="E62" s="529"/>
      <c r="F62" s="530">
        <v>0</v>
      </c>
      <c r="G62" s="531"/>
      <c r="H62" s="18">
        <f>F62+'26'!H62</f>
        <v>0</v>
      </c>
      <c r="I62" s="532"/>
      <c r="J62" s="754">
        <v>0</v>
      </c>
      <c r="K62" s="528">
        <f>J62+'26'!K62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'26'!C63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F63+'26'!H63</f>
        <v>3329.1499999999996</v>
      </c>
      <c r="I63" s="1064"/>
      <c r="J63" s="1065">
        <v>0</v>
      </c>
      <c r="K63" s="1066">
        <f>J63+'26'!K63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'26'!D64</f>
        <v>452.58776173652768</v>
      </c>
      <c r="E64" s="529"/>
      <c r="F64" s="530"/>
      <c r="G64" s="531"/>
      <c r="H64" s="18">
        <f>F64+'26'!H64</f>
        <v>0</v>
      </c>
      <c r="I64" s="532"/>
      <c r="J64" s="624"/>
      <c r="K64" s="528">
        <f>J64+'26'!K64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'26'!D65</f>
        <v>0</v>
      </c>
      <c r="E65" s="240"/>
      <c r="F65" s="73"/>
      <c r="G65" s="18"/>
      <c r="H65" s="18">
        <f>F65+'26'!H65</f>
        <v>0</v>
      </c>
      <c r="I65" s="957"/>
      <c r="J65" s="624"/>
      <c r="K65" s="67">
        <f>J65+'26'!K65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'26'!D66</f>
        <v>0</v>
      </c>
      <c r="E66" s="240"/>
      <c r="F66" s="530"/>
      <c r="G66" s="18"/>
      <c r="H66" s="18">
        <f>F66+'26'!H66</f>
        <v>0</v>
      </c>
      <c r="I66" s="957"/>
      <c r="J66" s="624"/>
      <c r="K66" s="67">
        <f>J66+'26'!K66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'26'!D67</f>
        <v>243.8</v>
      </c>
      <c r="E67" s="240"/>
      <c r="F67" s="73"/>
      <c r="G67" s="18"/>
      <c r="H67" s="18">
        <f>F67+'26'!H67</f>
        <v>0</v>
      </c>
      <c r="I67" s="957"/>
      <c r="J67" s="624"/>
      <c r="K67" s="67">
        <f>J67+'26'!K67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'26'!D68</f>
        <v>0</v>
      </c>
      <c r="E68" s="240"/>
      <c r="F68" s="73"/>
      <c r="G68" s="18"/>
      <c r="H68" s="18">
        <f>F68+'26'!H68</f>
        <v>0</v>
      </c>
      <c r="I68" s="957"/>
      <c r="J68" s="624"/>
      <c r="K68" s="67">
        <f>J68+'26'!K68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'26'!D69</f>
        <v>-14212.944176010715</v>
      </c>
      <c r="E69" s="240"/>
      <c r="F69" s="73">
        <v>0</v>
      </c>
      <c r="G69" s="18"/>
      <c r="H69" s="18">
        <f>F69+'26'!H69</f>
        <v>0</v>
      </c>
      <c r="I69" s="957"/>
      <c r="J69" s="755">
        <v>0</v>
      </c>
      <c r="K69" s="67">
        <f>J69+'26'!K69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'26'!D70</f>
        <v>17922.173606304772</v>
      </c>
      <c r="E70" s="240"/>
      <c r="F70" s="73"/>
      <c r="G70" s="18"/>
      <c r="H70" s="18">
        <f>F70+'26'!H70</f>
        <v>3329.1499999999996</v>
      </c>
      <c r="I70" s="957"/>
      <c r="J70" s="624"/>
      <c r="K70" s="67">
        <f>J70+'26'!K70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'26'!D71</f>
        <v>0</v>
      </c>
      <c r="E71" s="240"/>
      <c r="F71" s="73"/>
      <c r="G71" s="18"/>
      <c r="H71" s="18">
        <f>F71+'26'!H71</f>
        <v>0</v>
      </c>
      <c r="I71" s="957"/>
      <c r="J71" s="624"/>
      <c r="K71" s="67">
        <f>J71+'26'!K71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'26'!D72</f>
        <v>145.84215184813729</v>
      </c>
      <c r="E72" s="389"/>
      <c r="F72" s="390">
        <f>N82</f>
        <v>0</v>
      </c>
      <c r="G72" s="391"/>
      <c r="H72" s="391">
        <f>F72+'26'!H72</f>
        <v>1911.376034856974</v>
      </c>
      <c r="I72" s="392"/>
      <c r="J72" s="952">
        <f>K131</f>
        <v>0</v>
      </c>
      <c r="K72" s="396">
        <f>J72+'26'!K72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'26'!D73</f>
        <v>0</v>
      </c>
      <c r="E73" s="814"/>
      <c r="F73" s="815"/>
      <c r="G73" s="816"/>
      <c r="H73" s="816">
        <f>F73+'26'!H73</f>
        <v>0</v>
      </c>
      <c r="I73" s="817"/>
      <c r="J73" s="814"/>
      <c r="K73" s="818">
        <f>J73+'26'!K73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s="70" customFormat="1" ht="16.5" thickBot="1">
      <c r="A77" s="1382" t="s">
        <v>30</v>
      </c>
      <c r="B77" s="1383"/>
      <c r="C77" s="1383"/>
      <c r="D77" s="1383"/>
      <c r="E77" s="1383"/>
      <c r="F77" s="1383"/>
      <c r="G77" s="1383"/>
      <c r="H77" s="1383"/>
      <c r="I77" s="1383"/>
      <c r="J77" s="1383"/>
      <c r="K77" s="1383"/>
      <c r="L77" s="1383"/>
      <c r="M77" s="1383"/>
      <c r="N77" s="1383"/>
      <c r="O77" s="1383"/>
      <c r="P77" s="1384"/>
      <c r="Q77" s="40"/>
      <c r="R77" s="1"/>
      <c r="T77" s="71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6.7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8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8">
        <f>24*27-K80</f>
        <v>648</v>
      </c>
      <c r="M80" s="36">
        <f>K80/(24*27)</f>
        <v>0</v>
      </c>
      <c r="N80" s="965"/>
      <c r="O80" s="769">
        <f>N80+'26'!O80</f>
        <v>0</v>
      </c>
      <c r="P80" s="773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8">
        <f>24*27-K81</f>
        <v>648</v>
      </c>
      <c r="M81" s="36">
        <f t="shared" ref="M81:M94" si="11">K81/(24*27)</f>
        <v>0</v>
      </c>
      <c r="N81" s="965"/>
      <c r="O81" s="769">
        <f>N81+'26'!O81</f>
        <v>0</v>
      </c>
      <c r="P81" s="773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60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F82+'26'!K82</f>
        <v>43.903888888888886</v>
      </c>
      <c r="L82" s="18">
        <f>24*27-K82</f>
        <v>604.0961111111111</v>
      </c>
      <c r="M82" s="36">
        <f t="shared" si="11"/>
        <v>6.7752914951989027E-2</v>
      </c>
      <c r="N82" s="716">
        <v>0</v>
      </c>
      <c r="O82" s="770">
        <f>N82+'26'!O82</f>
        <v>1911.376034856974</v>
      </c>
      <c r="P82" s="773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F83+'26'!K83</f>
        <v>64.575555555555553</v>
      </c>
      <c r="L83" s="192">
        <f>G83+'26'!L83</f>
        <v>583.42444444444448</v>
      </c>
      <c r="M83" s="36">
        <f t="shared" si="11"/>
        <v>9.9653635116598083E-2</v>
      </c>
      <c r="N83" s="716">
        <v>0</v>
      </c>
      <c r="O83" s="770">
        <f>N83+'26'!O83</f>
        <v>32176.186994748638</v>
      </c>
      <c r="P83" s="773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F84+'26'!K84</f>
        <v>64.977499999999992</v>
      </c>
      <c r="L84" s="192">
        <f>G84+'26'!L84</f>
        <v>583.02250000000004</v>
      </c>
      <c r="M84" s="36">
        <f t="shared" si="11"/>
        <v>0.1002739197530864</v>
      </c>
      <c r="N84" s="716">
        <v>0</v>
      </c>
      <c r="O84" s="770">
        <f>N84+'26'!O84</f>
        <v>16874.071396806572</v>
      </c>
      <c r="P84" s="773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 t="e">
        <f>F85+'26'!K85</f>
        <v>#REF!</v>
      </c>
      <c r="L85" s="192" t="e">
        <f>G85+'26'!L85</f>
        <v>#REF!</v>
      </c>
      <c r="M85" s="36" t="e">
        <f>K85/(24*12)</f>
        <v>#REF!</v>
      </c>
      <c r="N85" s="965">
        <v>0</v>
      </c>
      <c r="O85" s="769" t="e">
        <f>N85+'26'!O85</f>
        <v>#REF!</v>
      </c>
      <c r="P85" s="773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1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F86+'26'!K86</f>
        <v>0</v>
      </c>
      <c r="L86" s="192">
        <f>G86+'26'!L86</f>
        <v>624</v>
      </c>
      <c r="M86" s="36">
        <f>K86/(24*12)</f>
        <v>0</v>
      </c>
      <c r="N86" s="965">
        <v>0</v>
      </c>
      <c r="O86" s="770">
        <f>N86+'26'!O86</f>
        <v>0</v>
      </c>
      <c r="P86" s="773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 t="shared" si="7"/>
        <v>0</v>
      </c>
      <c r="F87" s="134">
        <v>0</v>
      </c>
      <c r="G87" s="8">
        <f t="shared" si="8"/>
        <v>24</v>
      </c>
      <c r="H87" s="17">
        <f t="shared" si="9"/>
        <v>0</v>
      </c>
      <c r="I87" s="134">
        <f t="shared" si="13"/>
        <v>0</v>
      </c>
      <c r="J87" s="17">
        <f t="shared" si="10"/>
        <v>0</v>
      </c>
      <c r="K87" s="19">
        <f>F87+'26'!K87</f>
        <v>0</v>
      </c>
      <c r="L87" s="192">
        <f>G87+'26'!L87</f>
        <v>624</v>
      </c>
      <c r="M87" s="36">
        <f>K87/(24*12)</f>
        <v>0</v>
      </c>
      <c r="N87" s="965">
        <v>0</v>
      </c>
      <c r="O87" s="769">
        <f>N87+'26'!O87</f>
        <v>0</v>
      </c>
      <c r="P87" s="773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9"/>
        <v>0</v>
      </c>
      <c r="I88" s="134">
        <f t="shared" si="13"/>
        <v>0</v>
      </c>
      <c r="J88" s="17">
        <f t="shared" si="10"/>
        <v>0</v>
      </c>
      <c r="K88" s="19">
        <f>F88+'26'!K88</f>
        <v>0</v>
      </c>
      <c r="L88" s="192">
        <f>G88+'26'!L88</f>
        <v>624</v>
      </c>
      <c r="M88" s="36">
        <f>K88/(24*12)</f>
        <v>0</v>
      </c>
      <c r="N88" s="716">
        <v>0</v>
      </c>
      <c r="O88" s="770">
        <f>N88+'26'!O88</f>
        <v>0</v>
      </c>
      <c r="P88" s="773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'26'!C89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F89+'26'!K89</f>
        <v>1.6950000000000001</v>
      </c>
      <c r="L89" s="192">
        <f>G89+'26'!L89</f>
        <v>646.30500000000006</v>
      </c>
      <c r="M89" s="36">
        <f t="shared" si="11"/>
        <v>2.615740740740741E-3</v>
      </c>
      <c r="N89" s="1001">
        <v>0</v>
      </c>
      <c r="O89" s="303">
        <f>N89+'26'!O89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'26'!C90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F90+'26'!K90</f>
        <v>32.664166666666674</v>
      </c>
      <c r="L90" s="192">
        <f>G90+'26'!L90</f>
        <v>615.33583333333331</v>
      </c>
      <c r="M90" s="36">
        <f t="shared" si="11"/>
        <v>5.0407664609053507E-2</v>
      </c>
      <c r="N90" s="1001">
        <v>0</v>
      </c>
      <c r="O90" s="303">
        <f>N90+'26'!O90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F91+'26'!K91</f>
        <v>0</v>
      </c>
      <c r="L91" s="192">
        <f>G91+'26'!L91</f>
        <v>648</v>
      </c>
      <c r="M91" s="36">
        <f t="shared" si="11"/>
        <v>0</v>
      </c>
      <c r="N91" s="716">
        <v>0</v>
      </c>
      <c r="O91" s="770">
        <f>N91+'26'!O91</f>
        <v>0</v>
      </c>
      <c r="P91" s="773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19">
        <f>F92+'26'!K92</f>
        <v>71.521666666666675</v>
      </c>
      <c r="L92" s="192">
        <f>G92+'26'!L92</f>
        <v>576.47833333333335</v>
      </c>
      <c r="M92" s="36">
        <f t="shared" si="11"/>
        <v>0.11037294238683129</v>
      </c>
      <c r="N92" s="716">
        <v>0</v>
      </c>
      <c r="O92" s="770">
        <f>N92+'26'!O92</f>
        <v>10021.127427844691</v>
      </c>
      <c r="P92" s="773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19">
        <f>F93+'26'!K93</f>
        <v>64.288611111111109</v>
      </c>
      <c r="L93" s="192">
        <f>G93+'26'!L93</f>
        <v>583.71138888888891</v>
      </c>
      <c r="M93" s="36">
        <f t="shared" si="11"/>
        <v>9.9210819615912202E-2</v>
      </c>
      <c r="N93" s="716">
        <v>0</v>
      </c>
      <c r="O93" s="770">
        <f>N93+'26'!O93</f>
        <v>9309.2475232220113</v>
      </c>
      <c r="P93" s="773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F94+'26'!K94</f>
        <v>32</v>
      </c>
      <c r="L94" s="874">
        <f>G94+'26'!L94</f>
        <v>616</v>
      </c>
      <c r="M94" s="873">
        <f t="shared" si="11"/>
        <v>4.9382716049382713E-2</v>
      </c>
      <c r="N94" s="966">
        <f>E111+E120+E121+E122</f>
        <v>0</v>
      </c>
      <c r="O94" s="875">
        <f>N94+'26'!O94</f>
        <v>2849.5</v>
      </c>
      <c r="P94" s="877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F95+'26'!K95</f>
        <v>7</v>
      </c>
      <c r="L95" s="709">
        <f>G95+'26'!L95</f>
        <v>641</v>
      </c>
      <c r="M95" s="712">
        <f>K95/(24*27)</f>
        <v>1.0802469135802469E-2</v>
      </c>
      <c r="N95" s="967">
        <f>E112+E114+E115+E118+E119</f>
        <v>0</v>
      </c>
      <c r="O95" s="772">
        <f>N95+'26'!O95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05" t="s">
        <v>3</v>
      </c>
      <c r="H99" s="12" t="s">
        <v>2</v>
      </c>
      <c r="I99" s="806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5063</v>
      </c>
      <c r="E100" s="30">
        <f>E101+E110</f>
        <v>0</v>
      </c>
      <c r="F100" s="29">
        <f t="shared" ref="F100:F114" si="15">IFERROR((E100/D100),0)</f>
        <v>0</v>
      </c>
      <c r="G100" s="51">
        <f>G101+G110</f>
        <v>172015</v>
      </c>
      <c r="H100" s="30">
        <f>H101+H110</f>
        <v>19708.249999999993</v>
      </c>
      <c r="I100" s="29">
        <f t="shared" ref="I100:I114" si="16">IFERROR((H100/G100),0)</f>
        <v>0.11457285701828325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5063</v>
      </c>
      <c r="E101" s="24">
        <f>SUM(E102:E109)</f>
        <v>0</v>
      </c>
      <c r="F101" s="23">
        <f t="shared" si="15"/>
        <v>0</v>
      </c>
      <c r="G101" s="555">
        <f>SUM(G102:G109)</f>
        <v>124696</v>
      </c>
      <c r="H101" s="24">
        <f>SUM(H102:H109)</f>
        <v>15844.349999999995</v>
      </c>
      <c r="I101" s="23">
        <f t="shared" si="16"/>
        <v>0.12706381920831458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D102+'26'!G102</f>
        <v>0</v>
      </c>
      <c r="H102" s="192">
        <f>E102+'26'!H102</f>
        <v>0</v>
      </c>
      <c r="I102" s="17">
        <f t="shared" si="16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'26'!C103</f>
        <v>11500</v>
      </c>
      <c r="D103" s="19">
        <v>345</v>
      </c>
      <c r="E103" s="166">
        <v>0</v>
      </c>
      <c r="F103" s="17">
        <f t="shared" si="15"/>
        <v>0</v>
      </c>
      <c r="G103" s="741">
        <f>D103+'26'!G103</f>
        <v>10025</v>
      </c>
      <c r="H103" s="64">
        <f>E103+'26'!H103</f>
        <v>0</v>
      </c>
      <c r="I103" s="17">
        <f t="shared" si="16"/>
        <v>0</v>
      </c>
      <c r="J103" s="1341"/>
      <c r="K103" s="1343"/>
      <c r="L103" s="247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'26'!C104</f>
        <v>127150</v>
      </c>
      <c r="D104" s="134">
        <v>4506</v>
      </c>
      <c r="E104" s="110">
        <v>0</v>
      </c>
      <c r="F104" s="17">
        <f t="shared" si="15"/>
        <v>0</v>
      </c>
      <c r="G104" s="19">
        <f>D104+'26'!G104</f>
        <v>110558</v>
      </c>
      <c r="H104" s="192">
        <f>E104+'26'!H104</f>
        <v>12980.249999999995</v>
      </c>
      <c r="I104" s="17">
        <f t="shared" si="16"/>
        <v>0.11740670055536455</v>
      </c>
      <c r="J104" s="1341"/>
      <c r="K104" s="1343"/>
      <c r="L104" s="247"/>
      <c r="M104" s="247"/>
      <c r="N104" s="247"/>
      <c r="O104" s="247"/>
      <c r="P104" s="16"/>
    </row>
    <row r="105" spans="1:20">
      <c r="A105" s="254" t="s">
        <v>191</v>
      </c>
      <c r="B105" s="9" t="s">
        <v>9</v>
      </c>
      <c r="C105" s="20">
        <f>'26'!C105</f>
        <v>0</v>
      </c>
      <c r="D105" s="19">
        <v>0</v>
      </c>
      <c r="E105" s="110">
        <v>0</v>
      </c>
      <c r="F105" s="17">
        <f t="shared" si="15"/>
        <v>0</v>
      </c>
      <c r="G105" s="19">
        <f>D105+'26'!G105</f>
        <v>0</v>
      </c>
      <c r="H105" s="192">
        <f>E105+'26'!H105</f>
        <v>475.6</v>
      </c>
      <c r="I105" s="17">
        <f t="shared" si="16"/>
        <v>0</v>
      </c>
      <c r="J105" s="1341"/>
      <c r="K105" s="1343"/>
      <c r="L105" s="16"/>
      <c r="M105" s="16"/>
      <c r="N105" s="247"/>
      <c r="O105" s="247"/>
      <c r="P105" s="16"/>
      <c r="Q105" s="6"/>
    </row>
    <row r="106" spans="1:20">
      <c r="A106" s="44" t="s">
        <v>254</v>
      </c>
      <c r="B106" s="9" t="s">
        <v>9</v>
      </c>
      <c r="C106" s="20">
        <f>'26'!C106</f>
        <v>0</v>
      </c>
      <c r="D106" s="19">
        <v>0</v>
      </c>
      <c r="E106" s="110">
        <v>0</v>
      </c>
      <c r="F106" s="17">
        <f t="shared" si="15"/>
        <v>0</v>
      </c>
      <c r="G106" s="19">
        <f>D106+'26'!G106</f>
        <v>0</v>
      </c>
      <c r="H106" s="192">
        <f>E106+'26'!H106</f>
        <v>1280.3</v>
      </c>
      <c r="I106" s="17">
        <f t="shared" si="16"/>
        <v>0</v>
      </c>
      <c r="J106" s="1341"/>
      <c r="K106" s="1343"/>
      <c r="L106" s="247"/>
      <c r="M106" s="247"/>
      <c r="N106" s="247"/>
      <c r="O106" s="247"/>
      <c r="P106" s="16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9">
        <f>D107+'26'!G107</f>
        <v>0</v>
      </c>
      <c r="H107" s="192">
        <f>E107+'26'!H107</f>
        <v>0</v>
      </c>
      <c r="I107" s="17">
        <f t="shared" si="16"/>
        <v>0</v>
      </c>
      <c r="J107" s="1341"/>
      <c r="K107" s="1343"/>
      <c r="L107" s="247"/>
      <c r="M107" s="247"/>
      <c r="N107" s="247"/>
      <c r="O107" s="247"/>
      <c r="P107" s="16"/>
    </row>
    <row r="108" spans="1:20">
      <c r="A108" s="44" t="s">
        <v>245</v>
      </c>
      <c r="B108" s="9" t="s">
        <v>9</v>
      </c>
      <c r="C108" s="20">
        <f>'01'!C108</f>
        <v>3558</v>
      </c>
      <c r="D108" s="19">
        <v>187</v>
      </c>
      <c r="E108" s="110">
        <v>0</v>
      </c>
      <c r="F108" s="17">
        <f t="shared" si="15"/>
        <v>0</v>
      </c>
      <c r="G108" s="19">
        <f>D108+'26'!G108</f>
        <v>3088</v>
      </c>
      <c r="H108" s="192">
        <f>E108+'26'!H108</f>
        <v>826.59999999999991</v>
      </c>
      <c r="I108" s="17">
        <f t="shared" si="16"/>
        <v>0.26768134715025904</v>
      </c>
      <c r="J108" s="807"/>
      <c r="K108" s="808"/>
      <c r="L108" s="247"/>
      <c r="M108" s="247"/>
      <c r="N108" s="247"/>
      <c r="O108" s="247"/>
      <c r="P108" s="16"/>
    </row>
    <row r="109" spans="1:20">
      <c r="A109" s="254" t="s">
        <v>198</v>
      </c>
      <c r="B109" s="9" t="s">
        <v>9</v>
      </c>
      <c r="C109" s="20">
        <f>'01'!C109</f>
        <v>1100</v>
      </c>
      <c r="D109" s="19">
        <v>25</v>
      </c>
      <c r="E109" s="110">
        <v>0</v>
      </c>
      <c r="F109" s="17">
        <f t="shared" si="15"/>
        <v>0</v>
      </c>
      <c r="G109" s="19">
        <f>D109+'26'!G109</f>
        <v>1025</v>
      </c>
      <c r="H109" s="192">
        <f>E109+'26'!H109</f>
        <v>281.59999999999997</v>
      </c>
      <c r="I109" s="17">
        <f t="shared" si="16"/>
        <v>0.27473170731707314</v>
      </c>
      <c r="J109" s="807"/>
      <c r="K109" s="808"/>
      <c r="L109" s="247"/>
      <c r="M109" s="247"/>
      <c r="N109" s="247"/>
      <c r="O109" s="16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2093</v>
      </c>
      <c r="E110" s="24">
        <f>SUM(E111:E122)</f>
        <v>0</v>
      </c>
      <c r="F110" s="1054">
        <f>IFERROR((E110/D110),0)</f>
        <v>0</v>
      </c>
      <c r="G110" s="735">
        <f>SUM(G111:G122)</f>
        <v>47319</v>
      </c>
      <c r="H110" s="24">
        <f>SUM(H111:H122)</f>
        <v>3863.8999999999996</v>
      </c>
      <c r="I110" s="1054">
        <f>IFERROR((H110/G110),0)</f>
        <v>8.165641708404657E-2</v>
      </c>
      <c r="J110" s="807"/>
      <c r="K110" s="808"/>
      <c r="L110" s="247"/>
      <c r="M110" s="247"/>
      <c r="N110" s="247"/>
      <c r="O110" s="247"/>
      <c r="P110" s="16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D111+'26'!G111</f>
        <v>0</v>
      </c>
      <c r="H111" s="18">
        <f>E111+'26'!H111</f>
        <v>1026.1499999999999</v>
      </c>
      <c r="I111" s="17">
        <f>IFERROR((H111/G111),0)</f>
        <v>0</v>
      </c>
      <c r="J111" s="1341"/>
      <c r="K111" s="1343"/>
      <c r="L111" s="16"/>
      <c r="M111" s="15"/>
      <c r="N111" s="16"/>
      <c r="O111" s="16"/>
      <c r="P111" s="16"/>
      <c r="Q111" s="28"/>
      <c r="S111" s="1"/>
    </row>
    <row r="112" spans="1:20">
      <c r="A112" s="254" t="s">
        <v>252</v>
      </c>
      <c r="B112" s="9" t="s">
        <v>9</v>
      </c>
      <c r="C112" s="20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D112+'26'!G112</f>
        <v>0</v>
      </c>
      <c r="H112" s="18">
        <f>E112+'26'!H112</f>
        <v>994.39999999999986</v>
      </c>
      <c r="I112" s="17">
        <f>IFERROR((H112/G112),0)</f>
        <v>0</v>
      </c>
      <c r="J112" s="1319"/>
      <c r="K112" s="1321"/>
      <c r="L112" s="16"/>
      <c r="M112" s="15"/>
      <c r="N112" s="247"/>
      <c r="O112" s="247"/>
      <c r="P112" s="16"/>
      <c r="T112" s="2"/>
    </row>
    <row r="113" spans="1:20">
      <c r="A113" s="254" t="s">
        <v>253</v>
      </c>
      <c r="B113" s="9" t="s">
        <v>9</v>
      </c>
      <c r="C113" s="20">
        <f>'01'!C113</f>
        <v>0</v>
      </c>
      <c r="D113" s="134">
        <v>0</v>
      </c>
      <c r="E113" s="110">
        <v>0</v>
      </c>
      <c r="F113" s="17">
        <f t="shared" si="15"/>
        <v>0</v>
      </c>
      <c r="G113" s="19">
        <f>D113+'26'!G113</f>
        <v>0</v>
      </c>
      <c r="H113" s="18">
        <f>E113+'26'!H113</f>
        <v>20</v>
      </c>
      <c r="I113" s="17">
        <f t="shared" si="16"/>
        <v>0</v>
      </c>
      <c r="J113" s="803"/>
      <c r="K113" s="804"/>
      <c r="L113" s="7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9" t="s">
        <v>9</v>
      </c>
      <c r="C114" s="20">
        <f>'01'!C114</f>
        <v>500</v>
      </c>
      <c r="D114" s="134">
        <v>16</v>
      </c>
      <c r="E114" s="301">
        <v>0</v>
      </c>
      <c r="F114" s="17">
        <f t="shared" si="15"/>
        <v>0</v>
      </c>
      <c r="G114" s="19">
        <f>D114+'26'!G114</f>
        <v>432</v>
      </c>
      <c r="H114" s="18">
        <f>E114+'26'!H114</f>
        <v>0</v>
      </c>
      <c r="I114" s="17">
        <f t="shared" si="16"/>
        <v>0</v>
      </c>
      <c r="J114" s="1319"/>
      <c r="K114" s="1321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'26'!C115</f>
        <v>0</v>
      </c>
      <c r="D115" s="134">
        <v>0</v>
      </c>
      <c r="E115" s="864">
        <v>0</v>
      </c>
      <c r="F115" s="17">
        <f>IFERROR((E115/D115),0)</f>
        <v>0</v>
      </c>
      <c r="G115" s="19">
        <f>D115+'26'!G115</f>
        <v>0</v>
      </c>
      <c r="H115" s="18">
        <f>E115+'26'!H115</f>
        <v>0</v>
      </c>
      <c r="I115" s="17">
        <f>IFERROR((H115/G115),0)</f>
        <v>0</v>
      </c>
      <c r="J115" s="803"/>
      <c r="K115" s="804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ref="F116:F122" si="17">IFERROR((E116/D116),0)</f>
        <v>0</v>
      </c>
      <c r="G116" s="19">
        <f>D116+'26'!G116</f>
        <v>0</v>
      </c>
      <c r="H116" s="18">
        <f>E116+'26'!H116</f>
        <v>0</v>
      </c>
      <c r="I116" s="17">
        <f t="shared" ref="I116:I122" si="18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7"/>
        <v>0</v>
      </c>
      <c r="G117" s="19">
        <f>D117+'26'!G117</f>
        <v>0</v>
      </c>
      <c r="H117" s="18">
        <f>E117+'26'!H117</f>
        <v>0</v>
      </c>
      <c r="I117" s="17">
        <f t="shared" si="18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355</v>
      </c>
      <c r="E118" s="110">
        <v>0</v>
      </c>
      <c r="F118" s="17">
        <f t="shared" si="17"/>
        <v>0</v>
      </c>
      <c r="G118" s="19">
        <f>D118+'26'!G118</f>
        <v>9365</v>
      </c>
      <c r="H118" s="18">
        <f>E118+'26'!H118</f>
        <v>0</v>
      </c>
      <c r="I118" s="17">
        <f t="shared" si="18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7"/>
        <v>0</v>
      </c>
      <c r="G119" s="19">
        <f>D119+'26'!G119</f>
        <v>0</v>
      </c>
      <c r="H119" s="18">
        <f>E119+'26'!H119</f>
        <v>0</v>
      </c>
      <c r="I119" s="17">
        <f t="shared" si="18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1118</v>
      </c>
      <c r="E120" s="110">
        <v>0</v>
      </c>
      <c r="F120" s="17">
        <f t="shared" si="17"/>
        <v>0</v>
      </c>
      <c r="G120" s="19">
        <f>D120+'26'!G120</f>
        <v>19718</v>
      </c>
      <c r="H120" s="18">
        <f>E120+'26'!H120</f>
        <v>0</v>
      </c>
      <c r="I120" s="17">
        <f t="shared" si="18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272</v>
      </c>
      <c r="E121" s="110">
        <v>0</v>
      </c>
      <c r="F121" s="17">
        <f t="shared" si="17"/>
        <v>0</v>
      </c>
      <c r="G121" s="19">
        <f>D121+'26'!G121</f>
        <v>1360</v>
      </c>
      <c r="H121" s="18">
        <f>E121+'26'!H121</f>
        <v>0</v>
      </c>
      <c r="I121" s="17">
        <f t="shared" si="18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332</v>
      </c>
      <c r="E122" s="110">
        <v>0</v>
      </c>
      <c r="F122" s="17">
        <f t="shared" si="17"/>
        <v>0</v>
      </c>
      <c r="G122" s="19">
        <f>D122+'26'!G122</f>
        <v>16444</v>
      </c>
      <c r="H122" s="18">
        <f>E122+'26'!H122</f>
        <v>1823.35</v>
      </c>
      <c r="I122" s="17">
        <f t="shared" si="18"/>
        <v>0.11088238871320846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3" t="s">
        <v>4</v>
      </c>
      <c r="H124" s="1303"/>
      <c r="I124" s="1304"/>
      <c r="J124" s="440" t="s">
        <v>89</v>
      </c>
      <c r="K124" s="439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13" t="s">
        <v>3</v>
      </c>
      <c r="H125" s="12" t="s">
        <v>2</v>
      </c>
      <c r="I125" s="11" t="s">
        <v>1</v>
      </c>
      <c r="J125" s="357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0</v>
      </c>
      <c r="F126" s="737">
        <f t="shared" ref="F126:F132" si="19">IFERROR(E126/D126,0)</f>
        <v>0</v>
      </c>
      <c r="G126" s="204">
        <v>40.5</v>
      </c>
      <c r="H126" s="200">
        <v>44.717025151650702</v>
      </c>
      <c r="I126" s="441">
        <f>IFERROR(H126/G126,0)*100</f>
        <v>110.41240778185359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0</v>
      </c>
      <c r="F127" s="737">
        <f t="shared" si="19"/>
        <v>0</v>
      </c>
      <c r="G127" s="204">
        <v>17</v>
      </c>
      <c r="H127" s="200">
        <v>18.260117611747795</v>
      </c>
      <c r="I127" s="441">
        <f>IFERROR(H127/G127,0)*100</f>
        <v>107.41245653969291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737">
        <f t="shared" si="19"/>
        <v>0</v>
      </c>
      <c r="G128" s="267">
        <v>3</v>
      </c>
      <c r="H128" s="256">
        <f>P132</f>
        <v>2.7306506005953359</v>
      </c>
      <c r="I128" s="157">
        <f>IFERROR(H128/G128,0)</f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0</v>
      </c>
      <c r="F129" s="737">
        <f t="shared" si="19"/>
        <v>0</v>
      </c>
      <c r="G129" s="204">
        <v>21</v>
      </c>
      <c r="H129" s="200">
        <v>21.800184457278075</v>
      </c>
      <c r="I129" s="157">
        <f>IFERROR(H129/G129,0)</f>
        <v>1.0381040217751465</v>
      </c>
      <c r="J129" s="138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0</v>
      </c>
      <c r="F130" s="737">
        <f t="shared" si="19"/>
        <v>0</v>
      </c>
      <c r="G130" s="204">
        <v>42</v>
      </c>
      <c r="H130" s="200">
        <v>7.6927723022799297</v>
      </c>
      <c r="I130" s="157">
        <f>IFERROR(H130/G130,0)</f>
        <v>0.18316124529237929</v>
      </c>
      <c r="J130" s="1091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0</v>
      </c>
      <c r="F131" s="737">
        <f t="shared" si="19"/>
        <v>0</v>
      </c>
      <c r="G131" s="204">
        <v>35</v>
      </c>
      <c r="H131" s="200">
        <v>35.381730550625157</v>
      </c>
      <c r="I131" s="157">
        <f>IFERROR(H131/G131,0)</f>
        <v>1.0109065871607188</v>
      </c>
      <c r="J131" s="110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0</v>
      </c>
      <c r="F132" s="738">
        <f t="shared" si="19"/>
        <v>0</v>
      </c>
      <c r="G132" s="688">
        <v>100.69</v>
      </c>
      <c r="H132" s="683">
        <v>86.282110105364922</v>
      </c>
      <c r="I132" s="684">
        <f>IFERROR(H132/G132,0)</f>
        <v>0.8569084328668678</v>
      </c>
      <c r="N132" s="727" t="s">
        <v>188</v>
      </c>
      <c r="O132" s="704">
        <f>O131+'26'!O132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125013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0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1">IFERROR(C139/$B$139,0)</f>
        <v>0</v>
      </c>
      <c r="D140" s="335">
        <f t="shared" si="21"/>
        <v>0</v>
      </c>
      <c r="E140" s="335">
        <f t="shared" si="21"/>
        <v>0</v>
      </c>
      <c r="F140" s="335">
        <f t="shared" si="21"/>
        <v>0</v>
      </c>
      <c r="G140" s="335">
        <f t="shared" si="21"/>
        <v>0</v>
      </c>
      <c r="H140" s="335">
        <f t="shared" si="21"/>
        <v>0</v>
      </c>
      <c r="I140" s="326">
        <f t="shared" si="20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0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2">IFERROR(C141/$B$141,0)</f>
        <v>0</v>
      </c>
      <c r="D142" s="335">
        <f t="shared" si="22"/>
        <v>0</v>
      </c>
      <c r="E142" s="335">
        <f t="shared" si="22"/>
        <v>0</v>
      </c>
      <c r="F142" s="335">
        <f t="shared" si="22"/>
        <v>0</v>
      </c>
      <c r="G142" s="335">
        <f t="shared" si="22"/>
        <v>0</v>
      </c>
      <c r="H142" s="335">
        <f t="shared" si="22"/>
        <v>0</v>
      </c>
      <c r="I142" s="326">
        <f t="shared" si="20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0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235739</v>
      </c>
    </row>
    <row r="144" spans="1:20" ht="16.5" thickBot="1">
      <c r="A144" s="321"/>
      <c r="B144" s="336"/>
      <c r="C144" s="335">
        <f t="shared" ref="C144:H144" si="23">IFERROR(C143/$B$143,0)</f>
        <v>0</v>
      </c>
      <c r="D144" s="335">
        <f t="shared" si="23"/>
        <v>0</v>
      </c>
      <c r="E144" s="335">
        <f t="shared" si="23"/>
        <v>0</v>
      </c>
      <c r="F144" s="335">
        <f t="shared" si="23"/>
        <v>0</v>
      </c>
      <c r="G144" s="335">
        <f t="shared" si="23"/>
        <v>0</v>
      </c>
      <c r="H144" s="335">
        <f t="shared" si="23"/>
        <v>0</v>
      </c>
      <c r="I144" s="326">
        <f t="shared" si="20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0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4">IFERROR(C145/$B$145,0)</f>
        <v>0</v>
      </c>
      <c r="D146" s="335">
        <f t="shared" si="24"/>
        <v>0</v>
      </c>
      <c r="E146" s="335">
        <f t="shared" si="24"/>
        <v>0</v>
      </c>
      <c r="F146" s="335">
        <f t="shared" si="24"/>
        <v>0</v>
      </c>
      <c r="G146" s="335">
        <f t="shared" si="24"/>
        <v>0</v>
      </c>
      <c r="H146" s="335">
        <f t="shared" si="24"/>
        <v>0</v>
      </c>
      <c r="I146" s="326">
        <f t="shared" si="20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0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5">IFERROR(C147/$B$147,0)</f>
        <v>0</v>
      </c>
      <c r="D148" s="335">
        <f t="shared" si="25"/>
        <v>0</v>
      </c>
      <c r="E148" s="335">
        <f t="shared" si="25"/>
        <v>0</v>
      </c>
      <c r="F148" s="335">
        <f t="shared" si="25"/>
        <v>0</v>
      </c>
      <c r="G148" s="335">
        <f t="shared" si="25"/>
        <v>0</v>
      </c>
      <c r="H148" s="335">
        <f t="shared" si="25"/>
        <v>0</v>
      </c>
      <c r="I148" s="326">
        <f t="shared" si="20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6">B139+B141+B143+B145+B147</f>
        <v>0</v>
      </c>
      <c r="C149" s="349">
        <f t="shared" si="26"/>
        <v>0</v>
      </c>
      <c r="D149" s="349">
        <f t="shared" si="26"/>
        <v>0</v>
      </c>
      <c r="E149" s="349">
        <f>E139+E141+E143+E145+E147</f>
        <v>0</v>
      </c>
      <c r="F149" s="349">
        <f t="shared" si="26"/>
        <v>0</v>
      </c>
      <c r="G149" s="349">
        <f t="shared" si="26"/>
        <v>0</v>
      </c>
      <c r="H149" s="349">
        <f t="shared" si="26"/>
        <v>0</v>
      </c>
      <c r="I149" s="324">
        <f t="shared" si="26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7">IFERROR(C149/$B$149,0)</f>
        <v>0</v>
      </c>
      <c r="D150" s="346">
        <f t="shared" si="27"/>
        <v>0</v>
      </c>
      <c r="E150" s="346">
        <f t="shared" si="27"/>
        <v>0</v>
      </c>
      <c r="F150" s="346">
        <f t="shared" si="27"/>
        <v>0</v>
      </c>
      <c r="G150" s="346">
        <f t="shared" si="27"/>
        <v>0</v>
      </c>
      <c r="H150" s="346">
        <f t="shared" si="27"/>
        <v>0</v>
      </c>
      <c r="I150" s="481">
        <f>SUM(C150:H150)</f>
        <v>0</v>
      </c>
      <c r="K150" s="374"/>
      <c r="L150" s="375"/>
      <c r="M150" s="372"/>
      <c r="N150" s="373"/>
    </row>
  </sheetData>
  <mergeCells count="112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2.85546875" style="1" bestFit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28 ",Q1)</f>
        <v>Ежедневный отчет производства и отгрузки за 28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>C6+C9</f>
        <v>160800</v>
      </c>
      <c r="D5" s="31">
        <f>D6+D9+D8</f>
        <v>143025.21352694629</v>
      </c>
      <c r="E5" s="51">
        <f>E6+E9</f>
        <v>6700</v>
      </c>
      <c r="F5" s="30">
        <f>F6+F9</f>
        <v>0</v>
      </c>
      <c r="G5" s="30">
        <f>G6+G9</f>
        <v>140700</v>
      </c>
      <c r="H5" s="30">
        <f>H6+H9</f>
        <v>16874.071396806572</v>
      </c>
      <c r="I5" s="29">
        <f>IFERROR((H5/G5),0)</f>
        <v>0.11992943423458828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0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18"/>
      <c r="G6" s="18">
        <f>E6+'27'!G6</f>
        <v>0</v>
      </c>
      <c r="H6" s="18">
        <f>F6+'27'!H6</f>
        <v>6671.6154299884374</v>
      </c>
      <c r="I6" s="17"/>
      <c r="J6" s="949"/>
      <c r="K6" s="67">
        <f>J6+'27'!K6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9" t="s">
        <v>9</v>
      </c>
      <c r="C7" s="20"/>
      <c r="D7" s="149">
        <f>'01'!D7</f>
        <v>0</v>
      </c>
      <c r="E7" s="19"/>
      <c r="F7" s="18">
        <v>0</v>
      </c>
      <c r="G7" s="18"/>
      <c r="H7" s="18">
        <f>F7+'27'!H7</f>
        <v>0</v>
      </c>
      <c r="I7" s="17"/>
      <c r="J7" s="949"/>
      <c r="K7" s="67">
        <f>J7+'27'!K7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F8+'27'!H8</f>
        <v>0</v>
      </c>
      <c r="I8" s="17"/>
      <c r="J8" s="949"/>
      <c r="K8" s="67">
        <f>J8+'27'!K8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s="4" customFormat="1" collapsed="1">
      <c r="A9" s="41" t="s">
        <v>65</v>
      </c>
      <c r="B9" s="26" t="s">
        <v>9</v>
      </c>
      <c r="C9" s="20">
        <f>'01'!C9</f>
        <v>160800</v>
      </c>
      <c r="D9" s="20">
        <f>'01'!D9</f>
        <v>127072.29376141207</v>
      </c>
      <c r="E9" s="97">
        <v>6700</v>
      </c>
      <c r="F9" s="24">
        <f>F10+F12+F11</f>
        <v>0</v>
      </c>
      <c r="G9" s="24">
        <f>E9+'27'!G9</f>
        <v>140700</v>
      </c>
      <c r="H9" s="24">
        <f>F9+'27'!H9</f>
        <v>10202.455966818135</v>
      </c>
      <c r="I9" s="17">
        <f>IFERROR((H9/G9),0)</f>
        <v>7.2512124853007356E-2</v>
      </c>
      <c r="J9" s="946">
        <f>J10+J11+J12+J13</f>
        <v>0</v>
      </c>
      <c r="K9" s="47">
        <f>J9+'27'!K9</f>
        <v>17027.103675312697</v>
      </c>
      <c r="L9" s="25">
        <f>D9+H9-K9+M9+N9</f>
        <v>120247.64605291751</v>
      </c>
      <c r="M9" s="54"/>
      <c r="N9" s="54">
        <f>N10</f>
        <v>0</v>
      </c>
      <c r="O9" s="1262"/>
      <c r="P9" s="1263"/>
      <c r="Q9" s="604">
        <v>-23266.571785975502</v>
      </c>
      <c r="R9" s="602">
        <f>J9-Q9</f>
        <v>23266.571785975502</v>
      </c>
      <c r="S9" s="616"/>
      <c r="T9" s="3"/>
    </row>
    <row r="10" spans="1:20">
      <c r="A10" s="74" t="s">
        <v>64</v>
      </c>
      <c r="B10" s="9" t="s">
        <v>9</v>
      </c>
      <c r="C10" s="20">
        <f>'01'!C10</f>
        <v>0</v>
      </c>
      <c r="D10" s="20">
        <f>'01'!D10</f>
        <v>56300.273909357406</v>
      </c>
      <c r="E10" s="19"/>
      <c r="F10" s="110">
        <v>0</v>
      </c>
      <c r="G10" s="24">
        <f>E10+'27'!G10</f>
        <v>0</v>
      </c>
      <c r="H10" s="193">
        <f>F10+'27'!H10</f>
        <v>10202.455966818135</v>
      </c>
      <c r="I10" s="17"/>
      <c r="J10" s="178">
        <v>0</v>
      </c>
      <c r="K10" s="239">
        <f>J10+'27'!K10</f>
        <v>15627.103675312697</v>
      </c>
      <c r="L10" s="149">
        <f>D10+H10-K10+M10+N10</f>
        <v>50875.62620086284</v>
      </c>
      <c r="M10" s="53"/>
      <c r="N10" s="101"/>
      <c r="O10" s="1246"/>
      <c r="P10" s="1247"/>
      <c r="Q10" s="604"/>
      <c r="R10" s="602"/>
    </row>
    <row r="11" spans="1:20">
      <c r="A11" s="74" t="s">
        <v>244</v>
      </c>
      <c r="B11" s="9" t="s">
        <v>9</v>
      </c>
      <c r="C11" s="20">
        <f>'01'!C11</f>
        <v>0</v>
      </c>
      <c r="D11" s="20">
        <f>'01'!D11</f>
        <v>18224.01726010743</v>
      </c>
      <c r="E11" s="19"/>
      <c r="F11" s="18"/>
      <c r="G11" s="24">
        <f>E11+'27'!G11</f>
        <v>0</v>
      </c>
      <c r="H11" s="193">
        <f>F11+'27'!H11</f>
        <v>0</v>
      </c>
      <c r="I11" s="17"/>
      <c r="J11" s="178">
        <v>0</v>
      </c>
      <c r="K11" s="239">
        <f>J11+'27'!K11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</row>
    <row r="12" spans="1:20" outlineLevel="1">
      <c r="A12" s="79" t="s">
        <v>154</v>
      </c>
      <c r="B12" s="9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E12+'27'!G12</f>
        <v>0</v>
      </c>
      <c r="H12" s="193">
        <f>F12+'27'!H12</f>
        <v>0</v>
      </c>
      <c r="I12" s="955">
        <f>IFERROR((H12/G12),0)</f>
        <v>0</v>
      </c>
      <c r="J12" s="192"/>
      <c r="K12" s="239">
        <f>J12+'27'!K12</f>
        <v>1400</v>
      </c>
      <c r="L12" s="149">
        <f>D12+H12-K12</f>
        <v>51148.002591947239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E13+'27'!G13</f>
        <v>0</v>
      </c>
      <c r="H13" s="110">
        <f>F13+'27'!H13</f>
        <v>0</v>
      </c>
      <c r="I13" s="17"/>
      <c r="J13" s="178"/>
      <c r="K13" s="124">
        <f>J13+'27'!K13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6407.0000000000009</v>
      </c>
      <c r="F14" s="30">
        <f>SUM(F15:F21)</f>
        <v>0</v>
      </c>
      <c r="G14" s="30">
        <f>SUM(G15:G21)</f>
        <v>177396.99999999997</v>
      </c>
      <c r="H14" s="30">
        <f>SUM(H15:H21)</f>
        <v>18857.68830004807</v>
      </c>
      <c r="I14" s="29">
        <f t="shared" ref="I14:I21" si="0">IFERROR((H14/G14),0)</f>
        <v>0.10630218267528804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93"/>
      <c r="G15" s="18">
        <f>E15+'27'!G15</f>
        <v>0</v>
      </c>
      <c r="H15" s="18">
        <f>F15+'27'!H15</f>
        <v>0</v>
      </c>
      <c r="I15" s="17">
        <f t="shared" si="0"/>
        <v>0</v>
      </c>
      <c r="J15" s="192">
        <v>0</v>
      </c>
      <c r="K15" s="67">
        <f>J15+'27'!K15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</row>
    <row r="16" spans="1:20" ht="18" customHeight="1">
      <c r="A16" s="46" t="s">
        <v>254</v>
      </c>
      <c r="B16" s="9" t="s">
        <v>9</v>
      </c>
      <c r="C16" s="20">
        <f>'01'!C16</f>
        <v>44352</v>
      </c>
      <c r="D16" s="20">
        <f>'01'!D16</f>
        <v>6069.3572595923979</v>
      </c>
      <c r="E16" s="134">
        <v>1456.9486464315014</v>
      </c>
      <c r="F16" s="171">
        <v>0</v>
      </c>
      <c r="G16" s="18">
        <f>E16+'27'!G16</f>
        <v>40339.990484003283</v>
      </c>
      <c r="H16" s="18">
        <f>F16+'27'!H16</f>
        <v>3228.5002277343951</v>
      </c>
      <c r="I16" s="956">
        <f t="shared" si="0"/>
        <v>8.0032250602901076E-2</v>
      </c>
      <c r="J16" s="751">
        <f>IFERROR(SUMIF(A101:A114,A16,E101:E114),0)+E111+E112+E113</f>
        <v>0</v>
      </c>
      <c r="K16" s="67">
        <f>J16+'27'!K16</f>
        <v>3320.85</v>
      </c>
      <c r="L16" s="398">
        <f t="shared" ref="L16:L37" si="1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1" ht="15" customHeight="1">
      <c r="A17" s="733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E17+'27'!G17</f>
        <v>0</v>
      </c>
      <c r="H17" s="18">
        <f>F17+'27'!H17</f>
        <v>0</v>
      </c>
      <c r="I17" s="956">
        <f t="shared" si="0"/>
        <v>0</v>
      </c>
      <c r="J17" s="751">
        <f>IFERROR(SUMIF(A102:A115,A17,E102:E115),0)+E116+E119+E121+E114</f>
        <v>0</v>
      </c>
      <c r="K17" s="67">
        <f>J17+'27'!K17</f>
        <v>0</v>
      </c>
      <c r="L17" s="398">
        <f t="shared" si="1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1">
      <c r="A18" s="46" t="s">
        <v>87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E18+'27'!G18</f>
        <v>0</v>
      </c>
      <c r="H18" s="18">
        <f>F18+'27'!H18</f>
        <v>0</v>
      </c>
      <c r="I18" s="17">
        <f t="shared" si="0"/>
        <v>0</v>
      </c>
      <c r="J18" s="751">
        <f>IFERROR(SUMIF(A102:A115,A18,E102:E115),0)+E118+E120</f>
        <v>0</v>
      </c>
      <c r="K18" s="67">
        <f>J18+'27'!K18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1" s="56" customFormat="1">
      <c r="A19" s="123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4788.4966673502877</v>
      </c>
      <c r="F19" s="131">
        <v>0</v>
      </c>
      <c r="G19" s="18">
        <f>E19+'27'!G19</f>
        <v>132583.8837674323</v>
      </c>
      <c r="H19" s="18">
        <f>F19+'27'!H19</f>
        <v>15629.188072313675</v>
      </c>
      <c r="I19" s="957">
        <f t="shared" si="0"/>
        <v>0.11788150737633471</v>
      </c>
      <c r="J19" s="751">
        <f>IFERROR(SUMIF(A102:A115,A19,E102:E115),0)+E117+E115+E122</f>
        <v>0</v>
      </c>
      <c r="K19" s="67">
        <f>J19+'27'!K19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1">
      <c r="A20" s="4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116.87913248564398</v>
      </c>
      <c r="F20" s="110">
        <v>0</v>
      </c>
      <c r="G20" s="18">
        <f>E20+'27'!G20</f>
        <v>3236.1491283839214</v>
      </c>
      <c r="H20" s="18">
        <f>F20+'27'!H20</f>
        <v>0</v>
      </c>
      <c r="I20" s="17">
        <f t="shared" si="0"/>
        <v>0</v>
      </c>
      <c r="J20" s="751">
        <f>IFERROR(SUMIF(A102:A115,A20,E102:E115),0)</f>
        <v>0</v>
      </c>
      <c r="K20" s="67">
        <f>J20+'27'!K20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</row>
    <row r="21" spans="1:21" ht="15.75" customHeight="1" outlineLevel="1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44.675553732567678</v>
      </c>
      <c r="F21" s="110">
        <v>0</v>
      </c>
      <c r="G21" s="18">
        <f>E21+'27'!G21</f>
        <v>1236.9766201804757</v>
      </c>
      <c r="H21" s="18">
        <f>F21+'27'!H21</f>
        <v>0</v>
      </c>
      <c r="I21" s="17">
        <f t="shared" si="0"/>
        <v>0</v>
      </c>
      <c r="J21" s="751">
        <f>IFERROR(SUMIF(A102:A115,A21,E102:E115),0)</f>
        <v>0</v>
      </c>
      <c r="K21" s="67">
        <f>J21+'27'!K21</f>
        <v>0</v>
      </c>
      <c r="L21" s="60">
        <f t="shared" si="1"/>
        <v>8.7766238721087575E-11</v>
      </c>
      <c r="M21" s="409"/>
      <c r="N21" s="429"/>
      <c r="O21" s="1252"/>
      <c r="P21" s="1253"/>
      <c r="Q21" s="602"/>
      <c r="R21" s="602"/>
    </row>
    <row r="22" spans="1:21" ht="15.75" customHeight="1" outlineLevel="1">
      <c r="A22" s="733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110">
        <v>0</v>
      </c>
      <c r="G22" s="18">
        <f>E22+'27'!G22</f>
        <v>1100</v>
      </c>
      <c r="H22" s="18">
        <f>F22+'27'!H22</f>
        <v>2130.1044634377968</v>
      </c>
      <c r="I22" s="23"/>
      <c r="J22" s="751">
        <f>IFERROR(SUMIF(A103:A123,A22,E103:E123),0)+E109</f>
        <v>0</v>
      </c>
      <c r="K22" s="67">
        <f>J22+'27'!K22</f>
        <v>757.20000000000016</v>
      </c>
      <c r="L22" s="60">
        <f t="shared" si="1"/>
        <v>4206.655098319975</v>
      </c>
      <c r="M22" s="409"/>
      <c r="N22" s="429"/>
      <c r="O22" s="1325"/>
      <c r="P22" s="1253"/>
      <c r="Q22" s="602"/>
      <c r="R22" s="602"/>
      <c r="U22" s="5">
        <f>13000+H14</f>
        <v>31857.68830004807</v>
      </c>
    </row>
    <row r="23" spans="1:21" s="4" customFormat="1">
      <c r="A23" s="24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E23+'27'!G23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J23+'27'!K23</f>
        <v>20</v>
      </c>
      <c r="L23" s="584">
        <f>D23+H23-K23+M23</f>
        <v>32</v>
      </c>
      <c r="M23" s="416"/>
      <c r="N23" s="432"/>
      <c r="O23" s="1254"/>
      <c r="P23" s="1255"/>
      <c r="Q23" s="606"/>
      <c r="R23" s="606"/>
      <c r="S23" s="616"/>
      <c r="T23" s="28"/>
      <c r="U23" s="75"/>
    </row>
    <row r="24" spans="1:21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E24+'27'!G24</f>
        <v>0</v>
      </c>
      <c r="H24" s="18">
        <f>F24+'27'!H24</f>
        <v>0</v>
      </c>
      <c r="I24" s="23"/>
      <c r="J24" s="752">
        <v>0</v>
      </c>
      <c r="K24" s="67">
        <f>J24+'27'!K24</f>
        <v>0</v>
      </c>
      <c r="L24" s="60">
        <f t="shared" si="1"/>
        <v>0</v>
      </c>
      <c r="M24" s="416"/>
      <c r="N24" s="432"/>
      <c r="O24" s="925"/>
      <c r="P24" s="926"/>
      <c r="Q24" s="606"/>
      <c r="R24" s="606"/>
      <c r="S24" s="616"/>
      <c r="T24" s="28"/>
    </row>
    <row r="25" spans="1:21" s="4" customFormat="1" hidden="1" outlineLevel="1">
      <c r="A25" s="46" t="s">
        <v>87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E25+'27'!G25</f>
        <v>0</v>
      </c>
      <c r="H25" s="18">
        <f>F25+'27'!H25</f>
        <v>0</v>
      </c>
      <c r="I25" s="23"/>
      <c r="J25" s="752">
        <v>0</v>
      </c>
      <c r="K25" s="67">
        <f>J25+'27'!K25</f>
        <v>20</v>
      </c>
      <c r="L25" s="60">
        <f t="shared" si="1"/>
        <v>-4</v>
      </c>
      <c r="M25" s="416"/>
      <c r="N25" s="432"/>
      <c r="O25" s="925"/>
      <c r="P25" s="926"/>
      <c r="Q25" s="606"/>
      <c r="R25" s="606"/>
      <c r="S25" s="616"/>
      <c r="T25" s="28"/>
    </row>
    <row r="26" spans="1:21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E26+'27'!G26</f>
        <v>0</v>
      </c>
      <c r="H26" s="18">
        <f>F26+'27'!H26</f>
        <v>0</v>
      </c>
      <c r="I26" s="23"/>
      <c r="J26" s="752">
        <v>0</v>
      </c>
      <c r="K26" s="67">
        <f>J26+'27'!K26</f>
        <v>0</v>
      </c>
      <c r="L26" s="60">
        <f t="shared" si="1"/>
        <v>36</v>
      </c>
      <c r="M26" s="416"/>
      <c r="N26" s="432"/>
      <c r="O26" s="925"/>
      <c r="P26" s="926"/>
      <c r="Q26" s="606"/>
      <c r="R26" s="606"/>
      <c r="S26" s="616"/>
      <c r="T26" s="28"/>
    </row>
    <row r="27" spans="1:21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E27+'27'!G27</f>
        <v>0</v>
      </c>
      <c r="H27" s="18">
        <f>F27+'27'!H27</f>
        <v>0</v>
      </c>
      <c r="I27" s="23"/>
      <c r="J27" s="752"/>
      <c r="K27" s="67">
        <f>J27+'27'!K27</f>
        <v>0</v>
      </c>
      <c r="L27" s="60">
        <f t="shared" si="1"/>
        <v>0</v>
      </c>
      <c r="M27" s="416"/>
      <c r="N27" s="432"/>
      <c r="O27" s="925"/>
      <c r="P27" s="926"/>
      <c r="Q27" s="606"/>
      <c r="R27" s="606"/>
      <c r="S27" s="616"/>
      <c r="T27" s="28"/>
    </row>
    <row r="28" spans="1:21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E28+'27'!G28</f>
        <v>0</v>
      </c>
      <c r="H28" s="18">
        <f>F28+'27'!H28</f>
        <v>0</v>
      </c>
      <c r="I28" s="23"/>
      <c r="J28" s="752"/>
      <c r="K28" s="67">
        <f>J28+'27'!K28</f>
        <v>0</v>
      </c>
      <c r="L28" s="60">
        <f t="shared" si="1"/>
        <v>0</v>
      </c>
      <c r="M28" s="416"/>
      <c r="N28" s="432"/>
      <c r="O28" s="925"/>
      <c r="P28" s="926"/>
      <c r="Q28" s="606"/>
      <c r="R28" s="606"/>
      <c r="S28" s="616"/>
      <c r="T28" s="28"/>
    </row>
    <row r="29" spans="1:21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E29+'27'!G29</f>
        <v>0</v>
      </c>
      <c r="H29" s="18">
        <f>F29+'27'!H29</f>
        <v>0</v>
      </c>
      <c r="I29" s="23"/>
      <c r="J29" s="752"/>
      <c r="K29" s="67">
        <f>J29+'27'!K29</f>
        <v>0</v>
      </c>
      <c r="L29" s="60">
        <f t="shared" si="1"/>
        <v>0</v>
      </c>
      <c r="M29" s="416"/>
      <c r="N29" s="432"/>
      <c r="O29" s="925"/>
      <c r="P29" s="926"/>
      <c r="Q29" s="606"/>
      <c r="R29" s="606"/>
      <c r="S29" s="616"/>
      <c r="T29" s="28"/>
    </row>
    <row r="30" spans="1:21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E30+'27'!G30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J30+'27'!K30</f>
        <v>994.39999999999986</v>
      </c>
      <c r="L30" s="584">
        <f t="shared" si="1"/>
        <v>1073.6000000000001</v>
      </c>
      <c r="M30" s="416"/>
      <c r="N30" s="432"/>
      <c r="O30" s="1324"/>
      <c r="P30" s="1255"/>
      <c r="Q30" s="606"/>
      <c r="R30" s="606"/>
      <c r="S30" s="616"/>
      <c r="T30" s="28"/>
      <c r="U30" s="75"/>
    </row>
    <row r="31" spans="1:21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E31+'27'!G31</f>
        <v>0</v>
      </c>
      <c r="H31" s="18">
        <f>F31+'27'!H31</f>
        <v>0</v>
      </c>
      <c r="I31" s="23"/>
      <c r="J31" s="865">
        <v>0</v>
      </c>
      <c r="K31" s="67">
        <f>J31+'27'!K31</f>
        <v>0</v>
      </c>
      <c r="L31" s="60">
        <f t="shared" si="1"/>
        <v>0</v>
      </c>
      <c r="M31" s="416"/>
      <c r="N31" s="432"/>
      <c r="O31" s="925"/>
      <c r="P31" s="926"/>
      <c r="Q31" s="606"/>
      <c r="R31" s="606"/>
      <c r="S31" s="616"/>
      <c r="T31" s="28"/>
    </row>
    <row r="32" spans="1:21" s="4" customFormat="1" hidden="1" outlineLevel="1">
      <c r="A32" s="46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E32+'27'!G32</f>
        <v>0</v>
      </c>
      <c r="H32" s="18">
        <f>F32+'27'!H32</f>
        <v>554.40000000000009</v>
      </c>
      <c r="I32" s="23"/>
      <c r="J32" s="865">
        <v>0</v>
      </c>
      <c r="K32" s="67">
        <f>J32+'27'!K32</f>
        <v>994.39999999999986</v>
      </c>
      <c r="L32" s="60">
        <f t="shared" si="1"/>
        <v>1068.3200000000004</v>
      </c>
      <c r="M32" s="416"/>
      <c r="N32" s="432"/>
      <c r="O32" s="925"/>
      <c r="P32" s="926"/>
      <c r="Q32" s="606"/>
      <c r="R32" s="606"/>
      <c r="S32" s="616"/>
      <c r="T32" s="28"/>
    </row>
    <row r="33" spans="1:20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E33+'27'!G33</f>
        <v>0</v>
      </c>
      <c r="H33" s="18">
        <f>F33+'27'!H33</f>
        <v>0</v>
      </c>
      <c r="I33" s="23"/>
      <c r="J33" s="865">
        <v>0</v>
      </c>
      <c r="K33" s="67">
        <f>J33+'27'!K33</f>
        <v>0</v>
      </c>
      <c r="L33" s="60">
        <f t="shared" si="1"/>
        <v>5.28</v>
      </c>
      <c r="M33" s="416"/>
      <c r="N33" s="432"/>
      <c r="O33" s="925"/>
      <c r="P33" s="926"/>
      <c r="Q33" s="606"/>
      <c r="R33" s="606"/>
      <c r="S33" s="616"/>
      <c r="T33" s="28"/>
    </row>
    <row r="34" spans="1:20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E34+'27'!G34</f>
        <v>0</v>
      </c>
      <c r="H34" s="18">
        <f>F34+'27'!H34</f>
        <v>0</v>
      </c>
      <c r="I34" s="23"/>
      <c r="J34" s="865"/>
      <c r="K34" s="67">
        <f>J34+'27'!K34</f>
        <v>0</v>
      </c>
      <c r="L34" s="60">
        <f t="shared" si="1"/>
        <v>0</v>
      </c>
      <c r="M34" s="416"/>
      <c r="N34" s="432"/>
      <c r="O34" s="925"/>
      <c r="P34" s="926"/>
      <c r="Q34" s="606"/>
      <c r="R34" s="606"/>
      <c r="S34" s="616"/>
      <c r="T34" s="28"/>
    </row>
    <row r="35" spans="1:20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E35+'27'!G35</f>
        <v>0</v>
      </c>
      <c r="H35" s="18">
        <f>F35+'27'!H35</f>
        <v>0</v>
      </c>
      <c r="I35" s="23"/>
      <c r="J35" s="865"/>
      <c r="K35" s="67">
        <f>J35+'27'!K35</f>
        <v>0</v>
      </c>
      <c r="L35" s="60">
        <f t="shared" si="1"/>
        <v>0</v>
      </c>
      <c r="M35" s="416"/>
      <c r="N35" s="432"/>
      <c r="O35" s="925"/>
      <c r="P35" s="926"/>
      <c r="Q35" s="606"/>
      <c r="R35" s="606"/>
      <c r="S35" s="616"/>
      <c r="T35" s="28"/>
    </row>
    <row r="36" spans="1:20" s="4" customFormat="1" hidden="1" outlineLevel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E36+'27'!G36</f>
        <v>0</v>
      </c>
      <c r="H36" s="18">
        <f>F36+'27'!H36</f>
        <v>0</v>
      </c>
      <c r="I36" s="23"/>
      <c r="J36" s="110">
        <v>0</v>
      </c>
      <c r="K36" s="67">
        <f>J36+'27'!K36</f>
        <v>0</v>
      </c>
      <c r="L36" s="60">
        <f t="shared" si="1"/>
        <v>1673.24</v>
      </c>
      <c r="M36" s="416"/>
      <c r="N36" s="432"/>
      <c r="O36" s="925"/>
      <c r="P36" s="926"/>
      <c r="Q36" s="606"/>
      <c r="R36" s="606"/>
      <c r="S36" s="616"/>
      <c r="T36" s="28"/>
    </row>
    <row r="37" spans="1:20" s="4" customFormat="1" hidden="1" outlineLevel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E37+'27'!G37</f>
        <v>0</v>
      </c>
      <c r="H37" s="18">
        <f>F37+'27'!H37</f>
        <v>0</v>
      </c>
      <c r="I37" s="23"/>
      <c r="J37" s="110">
        <v>0</v>
      </c>
      <c r="K37" s="67">
        <f>J37+'27'!K37</f>
        <v>0</v>
      </c>
      <c r="L37" s="60">
        <f t="shared" si="1"/>
        <v>294.63999999999987</v>
      </c>
      <c r="M37" s="416"/>
      <c r="N37" s="432"/>
      <c r="O37" s="925"/>
      <c r="P37" s="926"/>
      <c r="Q37" s="606"/>
      <c r="R37" s="606"/>
      <c r="S37" s="616"/>
      <c r="T37" s="28"/>
    </row>
    <row r="38" spans="1:20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E38+'27'!G38</f>
        <v>139058.93540704547</v>
      </c>
      <c r="H38" s="671">
        <f>F38+'27'!H38</f>
        <v>9132.5707721894778</v>
      </c>
      <c r="I38" s="958">
        <f>IFERROR((H38/G38),0)</f>
        <v>6.5674102462075751E-2</v>
      </c>
      <c r="J38" s="753">
        <f>SUM(J39:J40)</f>
        <v>0</v>
      </c>
      <c r="K38" s="672">
        <f>J38+'27'!K38</f>
        <v>9083.5707721894778</v>
      </c>
      <c r="L38" s="310">
        <f>D38+H38-K38</f>
        <v>1805.9829593932955</v>
      </c>
      <c r="M38" s="410"/>
      <c r="N38" s="42"/>
      <c r="O38" s="1388"/>
      <c r="P38" s="1389"/>
      <c r="Q38" s="607"/>
      <c r="R38" s="602"/>
      <c r="S38" s="614"/>
      <c r="T38" s="2"/>
    </row>
    <row r="39" spans="1:20" ht="15.75" customHeight="1">
      <c r="A39" s="74" t="s">
        <v>91</v>
      </c>
      <c r="B39" s="9" t="s">
        <v>9</v>
      </c>
      <c r="C39" s="20"/>
      <c r="D39" s="20"/>
      <c r="E39" s="19"/>
      <c r="F39" s="110">
        <v>0</v>
      </c>
      <c r="G39" s="18"/>
      <c r="H39" s="18">
        <f>F39+'27'!H39</f>
        <v>6840.5707721894778</v>
      </c>
      <c r="I39" s="17"/>
      <c r="J39" s="750">
        <f>F39</f>
        <v>0</v>
      </c>
      <c r="K39" s="67">
        <f>J39+'27'!K39</f>
        <v>6840.5707721894778</v>
      </c>
      <c r="L39" s="20"/>
      <c r="M39" s="410"/>
      <c r="N39" s="42"/>
      <c r="O39" s="1388"/>
      <c r="P39" s="1389"/>
      <c r="Q39" s="607"/>
      <c r="R39" s="602"/>
      <c r="S39" s="614"/>
      <c r="T39" s="2"/>
    </row>
    <row r="40" spans="1:20" ht="15.75" customHeight="1">
      <c r="A40" s="74" t="s">
        <v>109</v>
      </c>
      <c r="B40" s="9" t="s">
        <v>9</v>
      </c>
      <c r="C40" s="20"/>
      <c r="D40" s="20"/>
      <c r="E40" s="19"/>
      <c r="F40" s="110">
        <v>0</v>
      </c>
      <c r="G40" s="18"/>
      <c r="H40" s="18">
        <f>F40+'27'!H40</f>
        <v>2292</v>
      </c>
      <c r="I40" s="17"/>
      <c r="J40" s="178">
        <v>0</v>
      </c>
      <c r="K40" s="67">
        <f>J40+'27'!K40</f>
        <v>2243</v>
      </c>
      <c r="L40" s="20"/>
      <c r="M40" s="410"/>
      <c r="N40" s="42"/>
      <c r="O40" s="1388"/>
      <c r="P40" s="1389"/>
      <c r="Q40" s="607"/>
      <c r="R40" s="602"/>
      <c r="S40" s="614"/>
      <c r="T40" s="2"/>
    </row>
    <row r="41" spans="1:20" ht="15.75" hidden="1" customHeight="1" outlineLevel="1">
      <c r="A41" s="74" t="s">
        <v>67</v>
      </c>
      <c r="B41" s="9" t="s">
        <v>9</v>
      </c>
      <c r="C41" s="20"/>
      <c r="D41" s="20"/>
      <c r="E41" s="19"/>
      <c r="F41" s="18"/>
      <c r="G41" s="18"/>
      <c r="H41" s="18">
        <f>F41+'27'!H41</f>
        <v>0</v>
      </c>
      <c r="I41" s="17"/>
      <c r="J41" s="192"/>
      <c r="K41" s="67">
        <f>J41+'27'!K41</f>
        <v>0</v>
      </c>
      <c r="L41" s="20"/>
      <c r="M41" s="410"/>
      <c r="N41" s="42"/>
      <c r="O41" s="1388"/>
      <c r="P41" s="1389"/>
      <c r="Q41" s="607"/>
      <c r="R41" s="602"/>
      <c r="S41" s="614"/>
      <c r="T41" s="2"/>
    </row>
    <row r="42" spans="1:20" ht="15.75" hidden="1" customHeight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F42+'27'!H42</f>
        <v>0</v>
      </c>
      <c r="I42" s="17"/>
      <c r="J42" s="192"/>
      <c r="K42" s="67">
        <f>J42+'27'!K42</f>
        <v>0</v>
      </c>
      <c r="L42" s="20"/>
      <c r="M42" s="410"/>
      <c r="N42" s="42"/>
      <c r="O42" s="1388"/>
      <c r="P42" s="1389"/>
      <c r="Q42" s="607"/>
      <c r="R42" s="602"/>
      <c r="S42" s="614"/>
      <c r="T42" s="2"/>
    </row>
    <row r="43" spans="1:20" ht="15.75" customHeight="1" collapsed="1">
      <c r="A43" s="74" t="s">
        <v>63</v>
      </c>
      <c r="B43" s="9" t="s">
        <v>9</v>
      </c>
      <c r="C43" s="20">
        <f>'01'!C43</f>
        <v>96601.878796744204</v>
      </c>
      <c r="D43" s="20"/>
      <c r="E43" s="312">
        <f>C43/30</f>
        <v>3220.06262655814</v>
      </c>
      <c r="F43" s="110">
        <v>0</v>
      </c>
      <c r="G43" s="18">
        <f>E43+'27'!G43</f>
        <v>90161.753543627885</v>
      </c>
      <c r="H43" s="18">
        <f>F43+'27'!H43</f>
        <v>8403.7999999999993</v>
      </c>
      <c r="I43" s="17">
        <f>IFERROR((H43/G43),0)</f>
        <v>9.3208036331431043E-2</v>
      </c>
      <c r="J43" s="192">
        <f>F43</f>
        <v>0</v>
      </c>
      <c r="K43" s="67">
        <f>J43+'27'!K43</f>
        <v>8403.7999999999993</v>
      </c>
      <c r="L43" s="20">
        <f>D43+H43-K43</f>
        <v>0</v>
      </c>
      <c r="M43" s="410"/>
      <c r="N43" s="42"/>
      <c r="O43" s="1388"/>
      <c r="P43" s="1389"/>
      <c r="Q43" s="607"/>
      <c r="R43" s="602"/>
      <c r="S43" s="614"/>
      <c r="T43" s="2"/>
    </row>
    <row r="44" spans="1:20" s="4" customFormat="1">
      <c r="A44" s="74" t="s">
        <v>40</v>
      </c>
      <c r="B44" s="9" t="s">
        <v>9</v>
      </c>
      <c r="C44" s="20">
        <f>'01'!C44</f>
        <v>40846.933088751408</v>
      </c>
      <c r="D44" s="20">
        <f>'01'!D44</f>
        <v>3759.4565289122183</v>
      </c>
      <c r="E44" s="707">
        <f>C44/30</f>
        <v>1361.5644362917135</v>
      </c>
      <c r="F44" s="110">
        <v>0</v>
      </c>
      <c r="G44" s="18">
        <f>E44+'27'!G44</f>
        <v>38123.80421616797</v>
      </c>
      <c r="H44" s="18">
        <f>F44+'27'!H44</f>
        <v>7255</v>
      </c>
      <c r="I44" s="17">
        <f>IFERROR((H44/G44),0)</f>
        <v>0.19030105072576201</v>
      </c>
      <c r="J44" s="178">
        <v>0</v>
      </c>
      <c r="K44" s="67">
        <f>J44+'27'!K44</f>
        <v>4780.2485953962823</v>
      </c>
      <c r="L44" s="20">
        <f>D44+H44-K44</f>
        <v>6234.207933515936</v>
      </c>
      <c r="M44" s="410"/>
      <c r="N44" s="42"/>
      <c r="O44" s="1388"/>
      <c r="P44" s="1389"/>
      <c r="Q44" s="607"/>
      <c r="R44" s="606"/>
      <c r="S44" s="614"/>
      <c r="T44" s="2"/>
    </row>
    <row r="45" spans="1:20" s="4" customFormat="1" hidden="1" outlineLevel="1">
      <c r="A45" s="74" t="s">
        <v>70</v>
      </c>
      <c r="B45" s="9"/>
      <c r="C45" s="20"/>
      <c r="D45" s="20"/>
      <c r="E45" s="19"/>
      <c r="F45" s="18">
        <v>0</v>
      </c>
      <c r="G45" s="18"/>
      <c r="H45" s="18">
        <f>F45+'27'!H45</f>
        <v>0</v>
      </c>
      <c r="I45" s="17"/>
      <c r="J45" s="192"/>
      <c r="K45" s="67">
        <f>J45+'27'!K45</f>
        <v>0</v>
      </c>
      <c r="L45" s="20"/>
      <c r="M45" s="410"/>
      <c r="N45" s="42"/>
      <c r="O45" s="1388"/>
      <c r="P45" s="1389"/>
      <c r="Q45" s="607"/>
      <c r="R45" s="606"/>
      <c r="S45" s="614"/>
      <c r="T45" s="2"/>
    </row>
    <row r="46" spans="1:20" s="4" customFormat="1" hidden="1" outlineLevel="1">
      <c r="A46" s="74" t="s">
        <v>71</v>
      </c>
      <c r="B46" s="9"/>
      <c r="C46" s="20"/>
      <c r="D46" s="20"/>
      <c r="E46" s="19"/>
      <c r="F46" s="18"/>
      <c r="G46" s="18"/>
      <c r="H46" s="18">
        <f>F46+'27'!H46</f>
        <v>0</v>
      </c>
      <c r="I46" s="17"/>
      <c r="J46" s="192"/>
      <c r="K46" s="67">
        <f>J46+'27'!K46</f>
        <v>0</v>
      </c>
      <c r="L46" s="20"/>
      <c r="M46" s="410"/>
      <c r="N46" s="42"/>
      <c r="O46" s="1388"/>
      <c r="P46" s="1389"/>
      <c r="Q46" s="607"/>
      <c r="R46" s="606"/>
      <c r="S46" s="614"/>
      <c r="T46" s="2"/>
    </row>
    <row r="47" spans="1:20" s="4" customFormat="1" hidden="1" outlineLevel="1">
      <c r="A47" s="74" t="s">
        <v>72</v>
      </c>
      <c r="B47" s="9"/>
      <c r="C47" s="20"/>
      <c r="D47" s="20"/>
      <c r="E47" s="19"/>
      <c r="F47" s="18"/>
      <c r="G47" s="18"/>
      <c r="H47" s="18">
        <f>F47+'27'!H47</f>
        <v>0</v>
      </c>
      <c r="I47" s="17"/>
      <c r="J47" s="192"/>
      <c r="K47" s="67">
        <f>J47+'27'!K47</f>
        <v>0</v>
      </c>
      <c r="L47" s="20"/>
      <c r="M47" s="410"/>
      <c r="N47" s="42"/>
      <c r="O47" s="1388"/>
      <c r="P47" s="1389"/>
      <c r="Q47" s="607"/>
      <c r="R47" s="606"/>
      <c r="S47" s="614"/>
      <c r="T47" s="2"/>
    </row>
    <row r="48" spans="1:20" s="4" customFormat="1" collapsed="1">
      <c r="A48" s="74" t="s">
        <v>106</v>
      </c>
      <c r="B48" s="9" t="s">
        <v>9</v>
      </c>
      <c r="C48" s="20">
        <f>'01'!C48</f>
        <v>238663.46526254449</v>
      </c>
      <c r="D48" s="20">
        <f>'01'!D48</f>
        <v>14554.971764167974</v>
      </c>
      <c r="E48" s="19">
        <f>C48/30</f>
        <v>7955.4488420848165</v>
      </c>
      <c r="F48" s="110">
        <v>0</v>
      </c>
      <c r="G48" s="18">
        <f>E48+'27'!G48</f>
        <v>222752.56757837493</v>
      </c>
      <c r="H48" s="18">
        <f>F48+'27'!H48</f>
        <v>15244.370772189477</v>
      </c>
      <c r="I48" s="17">
        <f>IFERROR((H48/G48),0)</f>
        <v>6.8436341443407975E-2</v>
      </c>
      <c r="J48" s="750">
        <v>0</v>
      </c>
      <c r="K48" s="67">
        <f>J48+'27'!K48</f>
        <v>27730.381517661059</v>
      </c>
      <c r="L48" s="20">
        <f>D48+H48-K48</f>
        <v>2068.961018696391</v>
      </c>
      <c r="M48" s="413"/>
      <c r="N48" s="264"/>
      <c r="O48" s="1390"/>
      <c r="P48" s="1391"/>
      <c r="Q48" s="607"/>
      <c r="R48" s="606"/>
      <c r="S48" s="614"/>
      <c r="T48" s="2"/>
    </row>
    <row r="49" spans="1:26" s="4" customFormat="1">
      <c r="A49" s="41" t="s">
        <v>107</v>
      </c>
      <c r="B49" s="26" t="s">
        <v>9</v>
      </c>
      <c r="C49" s="20">
        <f>'01'!C49</f>
        <v>256898.95024371953</v>
      </c>
      <c r="D49" s="20">
        <f>'01'!D49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223898.95024371953</v>
      </c>
      <c r="H49" s="18">
        <f>SUM(H50:H51)</f>
        <v>32176.186994748638</v>
      </c>
      <c r="I49" s="17">
        <f>IFERROR((H49/G49),0)</f>
        <v>0.14370852100791032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3"/>
      <c r="N49" s="263"/>
      <c r="O49" s="1373"/>
      <c r="P49" s="1374"/>
      <c r="Q49" s="608"/>
      <c r="R49" s="606"/>
      <c r="S49" s="602"/>
      <c r="T49" s="2"/>
    </row>
    <row r="50" spans="1:26">
      <c r="A50" s="123" t="s">
        <v>61</v>
      </c>
      <c r="B50" s="9" t="s">
        <v>9</v>
      </c>
      <c r="C50" s="20">
        <f>'01'!C50</f>
        <v>0</v>
      </c>
      <c r="D50" s="20">
        <f>'01'!D50</f>
        <v>2323.23</v>
      </c>
      <c r="E50" s="19">
        <v>0</v>
      </c>
      <c r="F50" s="18"/>
      <c r="G50" s="18">
        <f>E50+'27'!G50</f>
        <v>0</v>
      </c>
      <c r="H50" s="18">
        <f>F50+'27'!H50</f>
        <v>0</v>
      </c>
      <c r="I50" s="17">
        <f>IFERROR((H50/G50),0)</f>
        <v>0</v>
      </c>
      <c r="J50" s="192"/>
      <c r="K50" s="67">
        <f>J50+'27'!K50</f>
        <v>0</v>
      </c>
      <c r="L50" s="20">
        <f>D50+H50-K50+M50</f>
        <v>2323.23</v>
      </c>
      <c r="M50" s="413"/>
      <c r="N50" s="263"/>
      <c r="O50" s="1373"/>
      <c r="P50" s="1374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'01'!C51</f>
        <v>256898.95024371953</v>
      </c>
      <c r="D51" s="20">
        <f>'01'!D51</f>
        <v>4567.1619969842723</v>
      </c>
      <c r="E51" s="134">
        <v>11000</v>
      </c>
      <c r="F51" s="110">
        <v>0</v>
      </c>
      <c r="G51" s="18">
        <f>E51+'27'!G51</f>
        <v>223898.95024371953</v>
      </c>
      <c r="H51" s="18">
        <f>F51+'27'!H51</f>
        <v>32176.186994748638</v>
      </c>
      <c r="I51" s="17">
        <f>IFERROR((H51/G51),0)</f>
        <v>0.14370852100791032</v>
      </c>
      <c r="J51" s="192">
        <f>O51-P51</f>
        <v>0</v>
      </c>
      <c r="K51" s="67">
        <f>J51+'27'!K51</f>
        <v>26069.180673341318</v>
      </c>
      <c r="L51" s="20">
        <f>D51+H51-K51+M51</f>
        <v>10674.168318391596</v>
      </c>
      <c r="M51" s="413"/>
      <c r="N51" s="26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'01'!C52</f>
        <v>0</v>
      </c>
      <c r="D52" s="20">
        <f>'01'!D52</f>
        <v>0</v>
      </c>
      <c r="E52" s="19"/>
      <c r="F52" s="18"/>
      <c r="G52" s="18"/>
      <c r="H52" s="18"/>
      <c r="I52" s="17"/>
      <c r="J52" s="192"/>
      <c r="K52" s="67"/>
      <c r="L52" s="20"/>
      <c r="M52" s="413"/>
      <c r="N52" s="264"/>
      <c r="O52" s="1373"/>
      <c r="P52" s="1391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'01'!C53</f>
        <v>0</v>
      </c>
      <c r="D53" s="20">
        <f>'01'!D53</f>
        <v>0</v>
      </c>
      <c r="E53" s="240">
        <f t="shared" ref="E53:E58" si="2">C53/$Q$2</f>
        <v>0</v>
      </c>
      <c r="F53" s="73">
        <v>0</v>
      </c>
      <c r="G53" s="18">
        <f>E53+'27'!G53</f>
        <v>0</v>
      </c>
      <c r="H53" s="18">
        <f>F53+'27'!H53</f>
        <v>0</v>
      </c>
      <c r="I53" s="957">
        <f t="shared" ref="I53:I58" si="3">IFERROR((H53/G53),0)</f>
        <v>0</v>
      </c>
      <c r="J53" s="754"/>
      <c r="K53" s="67">
        <f>J53+'27'!K53</f>
        <v>0</v>
      </c>
      <c r="L53" s="60">
        <f t="shared" ref="L53:L63" si="4">D53+H53-K53</f>
        <v>0</v>
      </c>
      <c r="M53" s="414"/>
      <c r="N53" s="265"/>
      <c r="O53" s="1371"/>
      <c r="P53" s="1372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'01'!C54</f>
        <v>10000</v>
      </c>
      <c r="D54" s="20">
        <f>'01'!D54</f>
        <v>13684.915881223626</v>
      </c>
      <c r="E54" s="240">
        <f t="shared" si="2"/>
        <v>322.58064516129031</v>
      </c>
      <c r="F54" s="73">
        <v>0</v>
      </c>
      <c r="G54" s="18">
        <f>E54+'27'!G54</f>
        <v>9032.2580645161324</v>
      </c>
      <c r="H54" s="18">
        <f>F54+'27'!H54</f>
        <v>0</v>
      </c>
      <c r="I54" s="957">
        <f t="shared" si="3"/>
        <v>0</v>
      </c>
      <c r="J54" s="754">
        <v>0</v>
      </c>
      <c r="K54" s="67">
        <f>J54+'27'!K54</f>
        <v>1475.3367227920221</v>
      </c>
      <c r="L54" s="60">
        <f t="shared" si="4"/>
        <v>12209.579158431603</v>
      </c>
      <c r="M54" s="414"/>
      <c r="N54" s="265"/>
      <c r="O54" s="1371"/>
      <c r="P54" s="1372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'01'!C55</f>
        <v>17000</v>
      </c>
      <c r="D55" s="20">
        <f>'01'!D55</f>
        <v>3999.5665967852347</v>
      </c>
      <c r="E55" s="240">
        <f t="shared" si="2"/>
        <v>548.38709677419354</v>
      </c>
      <c r="F55" s="73">
        <v>0</v>
      </c>
      <c r="G55" s="18">
        <f>E55+'27'!G55</f>
        <v>15354.838709677413</v>
      </c>
      <c r="H55" s="18">
        <f>F55+'27'!H55</f>
        <v>0</v>
      </c>
      <c r="I55" s="957">
        <f t="shared" si="3"/>
        <v>0</v>
      </c>
      <c r="J55" s="754">
        <v>0</v>
      </c>
      <c r="K55" s="67">
        <f>J55+'27'!K55</f>
        <v>1358.9626219234012</v>
      </c>
      <c r="L55" s="60">
        <f t="shared" si="4"/>
        <v>2640.6039748618332</v>
      </c>
      <c r="M55" s="414"/>
      <c r="N55" s="265"/>
      <c r="O55" s="1371"/>
      <c r="P55" s="1372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'01'!C56</f>
        <v>0</v>
      </c>
      <c r="D56" s="20">
        <f>'01'!D56</f>
        <v>0</v>
      </c>
      <c r="E56" s="240">
        <f t="shared" si="2"/>
        <v>0</v>
      </c>
      <c r="F56" s="73">
        <v>0</v>
      </c>
      <c r="G56" s="18">
        <f>E56+'27'!G56</f>
        <v>0</v>
      </c>
      <c r="H56" s="18">
        <f>F56+'27'!H56</f>
        <v>0</v>
      </c>
      <c r="I56" s="957">
        <f t="shared" si="3"/>
        <v>0</v>
      </c>
      <c r="J56" s="624"/>
      <c r="K56" s="67">
        <f>J56+'27'!K56</f>
        <v>0</v>
      </c>
      <c r="L56" s="60">
        <f t="shared" si="4"/>
        <v>0</v>
      </c>
      <c r="M56" s="414"/>
      <c r="N56" s="265"/>
      <c r="O56" s="1371"/>
      <c r="P56" s="1372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'01'!C57</f>
        <v>0</v>
      </c>
      <c r="D57" s="20">
        <f>'01'!D57</f>
        <v>178.07499999999999</v>
      </c>
      <c r="E57" s="240">
        <f t="shared" si="2"/>
        <v>0</v>
      </c>
      <c r="F57" s="73">
        <v>0</v>
      </c>
      <c r="G57" s="18">
        <f>E57+'27'!G57</f>
        <v>0</v>
      </c>
      <c r="H57" s="18">
        <f>F57+'27'!H57</f>
        <v>0</v>
      </c>
      <c r="I57" s="957">
        <f t="shared" si="3"/>
        <v>0</v>
      </c>
      <c r="J57" s="624"/>
      <c r="K57" s="67">
        <f>J57+'27'!K57</f>
        <v>0</v>
      </c>
      <c r="L57" s="60">
        <f t="shared" si="4"/>
        <v>178.07499999999999</v>
      </c>
      <c r="M57" s="414"/>
      <c r="N57" s="265"/>
      <c r="O57" s="1371"/>
      <c r="P57" s="1372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'01'!C58</f>
        <v>0</v>
      </c>
      <c r="D58" s="20">
        <f>'01'!D58</f>
        <v>3480.6937513418743</v>
      </c>
      <c r="E58" s="240">
        <f t="shared" si="2"/>
        <v>0</v>
      </c>
      <c r="F58" s="73">
        <v>0</v>
      </c>
      <c r="G58" s="18">
        <f>E58+'27'!G58</f>
        <v>0</v>
      </c>
      <c r="H58" s="18">
        <f>F58+'27'!H58</f>
        <v>0</v>
      </c>
      <c r="I58" s="957">
        <f t="shared" si="3"/>
        <v>0</v>
      </c>
      <c r="J58" s="754">
        <v>0</v>
      </c>
      <c r="K58" s="67">
        <f>J58+'27'!K58</f>
        <v>0</v>
      </c>
      <c r="L58" s="60">
        <f t="shared" si="4"/>
        <v>3480.6937513418743</v>
      </c>
      <c r="M58" s="414"/>
      <c r="N58" s="265"/>
      <c r="O58" s="1371"/>
      <c r="P58" s="1372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'01'!D59</f>
        <v>4269.0880030013104</v>
      </c>
      <c r="E59" s="240"/>
      <c r="F59" s="73">
        <v>0</v>
      </c>
      <c r="G59" s="18"/>
      <c r="H59" s="18">
        <f>F59+'27'!H59</f>
        <v>0</v>
      </c>
      <c r="I59" s="957"/>
      <c r="J59" s="754"/>
      <c r="K59" s="67">
        <f>J59+'27'!K59</f>
        <v>0</v>
      </c>
      <c r="L59" s="60">
        <f t="shared" si="4"/>
        <v>4269.0880030013104</v>
      </c>
      <c r="M59" s="414"/>
      <c r="N59" s="265"/>
      <c r="O59" s="1397"/>
      <c r="P59" s="1398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F60+'27'!H60</f>
        <v>0</v>
      </c>
      <c r="I60" s="957"/>
      <c r="J60" s="754"/>
      <c r="K60" s="67">
        <f>J60+'27'!K60</f>
        <v>0</v>
      </c>
      <c r="L60" s="60">
        <f t="shared" si="4"/>
        <v>0</v>
      </c>
      <c r="M60" s="414"/>
      <c r="N60" s="265"/>
      <c r="O60" s="1371"/>
      <c r="P60" s="1372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'01'!D61</f>
        <v>1063.653</v>
      </c>
      <c r="E61" s="240"/>
      <c r="F61" s="73"/>
      <c r="G61" s="18"/>
      <c r="H61" s="18">
        <f>F61+'27'!H61</f>
        <v>0</v>
      </c>
      <c r="I61" s="957"/>
      <c r="J61" s="624">
        <f>D139+D141</f>
        <v>0</v>
      </c>
      <c r="K61" s="67">
        <f>J61+'27'!K61</f>
        <v>0</v>
      </c>
      <c r="L61" s="60">
        <f t="shared" si="4"/>
        <v>1063.653</v>
      </c>
      <c r="M61" s="414"/>
      <c r="N61" s="265"/>
      <c r="O61" s="1397"/>
      <c r="P61" s="1398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'01'!D62</f>
        <v>1531.7249999999999</v>
      </c>
      <c r="E62" s="529"/>
      <c r="F62" s="530">
        <v>0</v>
      </c>
      <c r="G62" s="531"/>
      <c r="H62" s="18">
        <f>F62+'27'!H62</f>
        <v>0</v>
      </c>
      <c r="I62" s="532"/>
      <c r="J62" s="754">
        <v>0</v>
      </c>
      <c r="K62" s="528">
        <f>J62+'27'!K62</f>
        <v>0</v>
      </c>
      <c r="L62" s="60">
        <f t="shared" si="4"/>
        <v>1531.7249999999999</v>
      </c>
      <c r="M62" s="537"/>
      <c r="N62" s="538"/>
      <c r="O62" s="1371"/>
      <c r="P62" s="1372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'01'!C63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F63+'27'!H63</f>
        <v>3329.1499999999996</v>
      </c>
      <c r="I63" s="1064"/>
      <c r="J63" s="1065">
        <v>0</v>
      </c>
      <c r="K63" s="1066">
        <f>J63+'27'!K63</f>
        <v>2011.9747735336571</v>
      </c>
      <c r="L63" s="20">
        <f t="shared" si="4"/>
        <v>5722.792418496927</v>
      </c>
      <c r="M63" s="537"/>
      <c r="N63" s="538"/>
      <c r="O63" s="1371"/>
      <c r="P63" s="1372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'01'!D64</f>
        <v>452.58776173652768</v>
      </c>
      <c r="E64" s="529"/>
      <c r="F64" s="530"/>
      <c r="G64" s="531"/>
      <c r="H64" s="18">
        <f>F64+'27'!H64</f>
        <v>0</v>
      </c>
      <c r="I64" s="532"/>
      <c r="J64" s="624"/>
      <c r="K64" s="528">
        <f>J64+'27'!K64</f>
        <v>0</v>
      </c>
      <c r="L64" s="60">
        <f>D64+H64-K64</f>
        <v>452.58776173652768</v>
      </c>
      <c r="M64" s="414"/>
      <c r="N64" s="265"/>
      <c r="O64" s="1371"/>
      <c r="P64" s="1372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'01'!D65</f>
        <v>0</v>
      </c>
      <c r="E65" s="240"/>
      <c r="F65" s="73"/>
      <c r="G65" s="18"/>
      <c r="H65" s="18">
        <f>F65+'27'!H65</f>
        <v>0</v>
      </c>
      <c r="I65" s="957"/>
      <c r="J65" s="624"/>
      <c r="K65" s="67">
        <f>J65+'27'!K65</f>
        <v>0</v>
      </c>
      <c r="L65" s="60">
        <f>D65+H65-K65</f>
        <v>0</v>
      </c>
      <c r="M65" s="414"/>
      <c r="N65" s="265"/>
      <c r="O65" s="1371"/>
      <c r="P65" s="1372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'01'!D66</f>
        <v>0</v>
      </c>
      <c r="E66" s="240"/>
      <c r="F66" s="73"/>
      <c r="G66" s="18"/>
      <c r="H66" s="18">
        <f>F66+'27'!H66</f>
        <v>0</v>
      </c>
      <c r="I66" s="957"/>
      <c r="J66" s="624"/>
      <c r="K66" s="67">
        <f>J66+'27'!K66</f>
        <v>0</v>
      </c>
      <c r="L66" s="60">
        <f>D66+H66-K66</f>
        <v>0</v>
      </c>
      <c r="M66" s="414"/>
      <c r="N66" s="265"/>
      <c r="O66" s="1371"/>
      <c r="P66" s="1372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'01'!D67</f>
        <v>243.8</v>
      </c>
      <c r="E67" s="240"/>
      <c r="F67" s="73"/>
      <c r="G67" s="18"/>
      <c r="H67" s="18">
        <f>F67+'27'!H67</f>
        <v>0</v>
      </c>
      <c r="I67" s="957"/>
      <c r="J67" s="624"/>
      <c r="K67" s="67">
        <f>J67+'27'!K67</f>
        <v>0</v>
      </c>
      <c r="L67" s="60">
        <f t="shared" ref="L67:L73" si="5">D67+H67-K67</f>
        <v>243.8</v>
      </c>
      <c r="M67" s="581"/>
      <c r="N67" s="582"/>
      <c r="O67" s="1371"/>
      <c r="P67" s="1372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'01'!D68</f>
        <v>0</v>
      </c>
      <c r="E68" s="240"/>
      <c r="F68" s="73"/>
      <c r="G68" s="18"/>
      <c r="H68" s="18">
        <f>F68+'27'!H68</f>
        <v>0</v>
      </c>
      <c r="I68" s="957"/>
      <c r="J68" s="624"/>
      <c r="K68" s="67">
        <f>J68+'27'!K68</f>
        <v>0</v>
      </c>
      <c r="L68" s="60">
        <f t="shared" si="5"/>
        <v>0</v>
      </c>
      <c r="M68" s="581"/>
      <c r="N68" s="582"/>
      <c r="O68" s="1371"/>
      <c r="P68" s="1372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'01'!D69</f>
        <v>-14212.944176010715</v>
      </c>
      <c r="E69" s="240"/>
      <c r="F69" s="73"/>
      <c r="G69" s="18"/>
      <c r="H69" s="18">
        <f>F69+'27'!H69</f>
        <v>0</v>
      </c>
      <c r="I69" s="957"/>
      <c r="J69" s="755">
        <v>0</v>
      </c>
      <c r="K69" s="67">
        <f>J69+'27'!K69</f>
        <v>2011.9747735336571</v>
      </c>
      <c r="L69" s="60">
        <f t="shared" si="5"/>
        <v>-16224.918949544372</v>
      </c>
      <c r="M69" s="581"/>
      <c r="N69" s="582"/>
      <c r="O69" s="1392"/>
      <c r="P69" s="1372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'01'!D70</f>
        <v>17922.173606304772</v>
      </c>
      <c r="E70" s="240"/>
      <c r="F70" s="73">
        <v>0</v>
      </c>
      <c r="G70" s="18"/>
      <c r="H70" s="18">
        <f>F70+'27'!H70</f>
        <v>3329.1499999999996</v>
      </c>
      <c r="I70" s="957"/>
      <c r="J70" s="624"/>
      <c r="K70" s="67">
        <f>J70+'27'!K70</f>
        <v>0</v>
      </c>
      <c r="L70" s="60">
        <f t="shared" si="5"/>
        <v>21251.323606304773</v>
      </c>
      <c r="M70" s="581"/>
      <c r="N70" s="582"/>
      <c r="O70" s="1392"/>
      <c r="P70" s="1372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'01'!D71</f>
        <v>0</v>
      </c>
      <c r="E71" s="240"/>
      <c r="F71" s="73"/>
      <c r="G71" s="18"/>
      <c r="H71" s="18">
        <f>F71+'27'!H71</f>
        <v>0</v>
      </c>
      <c r="I71" s="957"/>
      <c r="J71" s="624"/>
      <c r="K71" s="67">
        <f>J71+'27'!K71</f>
        <v>0</v>
      </c>
      <c r="L71" s="60">
        <f t="shared" si="5"/>
        <v>0</v>
      </c>
      <c r="M71" s="581"/>
      <c r="N71" s="582"/>
      <c r="O71" s="1392"/>
      <c r="P71" s="1372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'01'!D72</f>
        <v>145.84215184813729</v>
      </c>
      <c r="E72" s="389"/>
      <c r="F72" s="390">
        <f>N82</f>
        <v>0</v>
      </c>
      <c r="G72" s="391"/>
      <c r="H72" s="391">
        <f>F72+'27'!H72</f>
        <v>1911.376034856974</v>
      </c>
      <c r="I72" s="392"/>
      <c r="J72" s="952">
        <f>K131</f>
        <v>0</v>
      </c>
      <c r="K72" s="396">
        <f>J72+'27'!K72</f>
        <v>1866.56160653087</v>
      </c>
      <c r="L72" s="558">
        <f t="shared" si="5"/>
        <v>190.6565801742413</v>
      </c>
      <c r="M72" s="415"/>
      <c r="N72" s="431"/>
      <c r="O72" s="1393"/>
      <c r="P72" s="1394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'01'!D73</f>
        <v>0</v>
      </c>
      <c r="E73" s="814"/>
      <c r="F73" s="815"/>
      <c r="G73" s="816"/>
      <c r="H73" s="816">
        <f>F73+'27'!H73</f>
        <v>0</v>
      </c>
      <c r="I73" s="817"/>
      <c r="J73" s="814"/>
      <c r="K73" s="818">
        <f>J73+'27'!K73</f>
        <v>0</v>
      </c>
      <c r="L73" s="819">
        <f t="shared" si="5"/>
        <v>0</v>
      </c>
      <c r="M73" s="939"/>
      <c r="N73" s="940"/>
      <c r="O73" s="1395"/>
      <c r="P73" s="1396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62"/>
      <c r="N74" s="663"/>
      <c r="O74" s="664"/>
      <c r="P74" s="665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7"/>
      <c r="N75" s="538"/>
      <c r="O75" s="539"/>
      <c r="P75" s="540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5"/>
      <c r="N76" s="431"/>
      <c r="O76" s="516"/>
      <c r="P76" s="517"/>
      <c r="Q76" s="58"/>
      <c r="S76" s="63"/>
      <c r="T76" s="2"/>
    </row>
    <row r="77" spans="1:20" ht="16.5" thickBot="1">
      <c r="A77" s="1382" t="s">
        <v>30</v>
      </c>
      <c r="B77" s="1383"/>
      <c r="C77" s="1383"/>
      <c r="D77" s="1383"/>
      <c r="E77" s="1383"/>
      <c r="F77" s="1383"/>
      <c r="G77" s="1383"/>
      <c r="H77" s="1383"/>
      <c r="I77" s="1383"/>
      <c r="J77" s="1383"/>
      <c r="K77" s="1383"/>
      <c r="L77" s="1383"/>
      <c r="M77" s="1383"/>
      <c r="N77" s="1383"/>
      <c r="O77" s="1383"/>
      <c r="P77" s="1384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6">IFERROR(D80/C80,0)</f>
        <v>0</v>
      </c>
      <c r="F80" s="66">
        <v>0</v>
      </c>
      <c r="G80" s="8">
        <f t="shared" ref="G80:G94" si="7">24-F80</f>
        <v>24</v>
      </c>
      <c r="H80" s="17">
        <f t="shared" ref="H80:H88" si="8">F80/24</f>
        <v>0</v>
      </c>
      <c r="I80" s="19" t="e">
        <v>#DIV/0!</v>
      </c>
      <c r="J80" s="17">
        <f t="shared" ref="J80:J94" si="9">IFERROR(I80/C80,0)</f>
        <v>0</v>
      </c>
      <c r="K80" s="66">
        <v>0</v>
      </c>
      <c r="L80" s="8">
        <f>24*28-K80</f>
        <v>672</v>
      </c>
      <c r="M80" s="36">
        <f>K80/(24*28)</f>
        <v>0</v>
      </c>
      <c r="N80" s="965"/>
      <c r="O80" s="769">
        <f>N80+'27'!O80</f>
        <v>0</v>
      </c>
      <c r="P80" s="768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6"/>
        <v>0</v>
      </c>
      <c r="F81" s="66">
        <v>0</v>
      </c>
      <c r="G81" s="8">
        <f t="shared" si="7"/>
        <v>24</v>
      </c>
      <c r="H81" s="17">
        <f t="shared" si="8"/>
        <v>0</v>
      </c>
      <c r="I81" s="19" t="e">
        <v>#DIV/0!</v>
      </c>
      <c r="J81" s="17">
        <f t="shared" si="9"/>
        <v>0</v>
      </c>
      <c r="K81" s="66">
        <v>0</v>
      </c>
      <c r="L81" s="8">
        <f>24*28-K81</f>
        <v>672</v>
      </c>
      <c r="M81" s="36">
        <f t="shared" ref="M81:M94" si="10">K81/(24*28)</f>
        <v>0</v>
      </c>
      <c r="N81" s="965"/>
      <c r="O81" s="769">
        <f>N81+'27'!O81</f>
        <v>0</v>
      </c>
      <c r="P81" s="768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60">
        <f>'01'!C82</f>
        <v>45</v>
      </c>
      <c r="D82" s="134">
        <f t="shared" ref="D82:D90" si="11">IFERROR(N82/F82,0)</f>
        <v>0</v>
      </c>
      <c r="E82" s="17">
        <f t="shared" si="6"/>
        <v>0</v>
      </c>
      <c r="F82" s="134">
        <v>0</v>
      </c>
      <c r="G82" s="18">
        <f t="shared" si="7"/>
        <v>24</v>
      </c>
      <c r="H82" s="17">
        <f t="shared" si="8"/>
        <v>0</v>
      </c>
      <c r="I82" s="134">
        <f t="shared" ref="I82:I95" si="12">IFERROR(O82/K82,0)</f>
        <v>43.535460826585258</v>
      </c>
      <c r="J82" s="17">
        <f t="shared" si="9"/>
        <v>0.96745468503522791</v>
      </c>
      <c r="K82" s="19">
        <f>F82+'27'!K82</f>
        <v>43.903888888888886</v>
      </c>
      <c r="L82" s="192">
        <f>24*28-K82</f>
        <v>628.0961111111111</v>
      </c>
      <c r="M82" s="36">
        <f t="shared" si="10"/>
        <v>6.533316798941799E-2</v>
      </c>
      <c r="N82" s="716">
        <v>0</v>
      </c>
      <c r="O82" s="770">
        <f>N82+'27'!O82</f>
        <v>1911.376034856974</v>
      </c>
      <c r="P82" s="768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1"/>
        <v>0</v>
      </c>
      <c r="E83" s="17">
        <f t="shared" si="6"/>
        <v>0</v>
      </c>
      <c r="F83" s="134">
        <v>0</v>
      </c>
      <c r="G83" s="18">
        <f t="shared" si="7"/>
        <v>24</v>
      </c>
      <c r="H83" s="17">
        <f t="shared" si="8"/>
        <v>0</v>
      </c>
      <c r="I83" s="134">
        <f t="shared" si="12"/>
        <v>498.27193460328596</v>
      </c>
      <c r="J83" s="17">
        <f t="shared" si="9"/>
        <v>0.9965438692065719</v>
      </c>
      <c r="K83" s="19">
        <f>F83+'27'!K83</f>
        <v>64.575555555555553</v>
      </c>
      <c r="L83" s="192">
        <f>G83+'27'!L83</f>
        <v>607.42444444444448</v>
      </c>
      <c r="M83" s="36">
        <f t="shared" si="10"/>
        <v>9.6094576719576719E-2</v>
      </c>
      <c r="N83" s="716">
        <v>0</v>
      </c>
      <c r="O83" s="770">
        <f>N83+'27'!O83</f>
        <v>32176.186994748638</v>
      </c>
      <c r="P83" s="768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1"/>
        <v>0</v>
      </c>
      <c r="E84" s="17">
        <f t="shared" si="6"/>
        <v>0</v>
      </c>
      <c r="F84" s="134">
        <v>0</v>
      </c>
      <c r="G84" s="18">
        <f t="shared" si="7"/>
        <v>24</v>
      </c>
      <c r="H84" s="17">
        <f t="shared" si="8"/>
        <v>0</v>
      </c>
      <c r="I84" s="134">
        <f t="shared" si="12"/>
        <v>259.69099144791005</v>
      </c>
      <c r="J84" s="17">
        <f t="shared" si="9"/>
        <v>0</v>
      </c>
      <c r="K84" s="19">
        <f>F84+'27'!K84</f>
        <v>64.977499999999992</v>
      </c>
      <c r="L84" s="192">
        <f>G84+'27'!L84</f>
        <v>607.02250000000004</v>
      </c>
      <c r="M84" s="36">
        <f t="shared" si="10"/>
        <v>9.6692708333333321E-2</v>
      </c>
      <c r="N84" s="716">
        <v>0</v>
      </c>
      <c r="O84" s="770">
        <f>N84+'27'!O84</f>
        <v>16874.071396806572</v>
      </c>
      <c r="P84" s="768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1"/>
        <v>0</v>
      </c>
      <c r="E85" s="17">
        <f t="shared" si="6"/>
        <v>0</v>
      </c>
      <c r="F85" s="134">
        <v>0</v>
      </c>
      <c r="G85" s="18">
        <f t="shared" si="7"/>
        <v>24</v>
      </c>
      <c r="H85" s="17">
        <f t="shared" si="8"/>
        <v>0</v>
      </c>
      <c r="I85" s="134">
        <f t="shared" si="12"/>
        <v>0</v>
      </c>
      <c r="J85" s="17">
        <f t="shared" si="9"/>
        <v>0</v>
      </c>
      <c r="K85" s="19" t="e">
        <f>F85+'27'!K85</f>
        <v>#REF!</v>
      </c>
      <c r="L85" s="192" t="e">
        <f>G85+'27'!L85</f>
        <v>#REF!</v>
      </c>
      <c r="M85" s="36" t="e">
        <f>K85/(24*12)</f>
        <v>#REF!</v>
      </c>
      <c r="N85" s="965">
        <v>0</v>
      </c>
      <c r="O85" s="769" t="e">
        <f>N85+'27'!O85</f>
        <v>#REF!</v>
      </c>
      <c r="P85" s="768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1"/>
        <v>0</v>
      </c>
      <c r="E86" s="17">
        <f t="shared" si="6"/>
        <v>0</v>
      </c>
      <c r="F86" s="134">
        <v>0</v>
      </c>
      <c r="G86" s="18">
        <f t="shared" si="7"/>
        <v>24</v>
      </c>
      <c r="H86" s="17">
        <f t="shared" si="8"/>
        <v>0</v>
      </c>
      <c r="I86" s="134">
        <f t="shared" si="12"/>
        <v>0</v>
      </c>
      <c r="J86" s="17">
        <f t="shared" si="9"/>
        <v>0</v>
      </c>
      <c r="K86" s="19">
        <f>F86+'27'!K86</f>
        <v>0</v>
      </c>
      <c r="L86" s="192">
        <f>G86+'27'!L86</f>
        <v>648</v>
      </c>
      <c r="M86" s="36">
        <f>K86/(24*12)</f>
        <v>0</v>
      </c>
      <c r="N86" s="965">
        <v>0</v>
      </c>
      <c r="O86" s="770">
        <f>N86+'27'!O86</f>
        <v>0</v>
      </c>
      <c r="P86" s="768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1"/>
        <v>0</v>
      </c>
      <c r="E87" s="17">
        <f t="shared" si="6"/>
        <v>0</v>
      </c>
      <c r="F87" s="134">
        <v>0</v>
      </c>
      <c r="G87" s="18">
        <f t="shared" si="7"/>
        <v>24</v>
      </c>
      <c r="H87" s="17">
        <f t="shared" si="8"/>
        <v>0</v>
      </c>
      <c r="I87" s="134">
        <f t="shared" si="12"/>
        <v>0</v>
      </c>
      <c r="J87" s="17">
        <f t="shared" si="9"/>
        <v>0</v>
      </c>
      <c r="K87" s="19">
        <f>F87+'27'!K87</f>
        <v>0</v>
      </c>
      <c r="L87" s="192">
        <f>G87+'27'!L87</f>
        <v>648</v>
      </c>
      <c r="M87" s="36">
        <f>K87/(24*12)</f>
        <v>0</v>
      </c>
      <c r="N87" s="965">
        <v>0</v>
      </c>
      <c r="O87" s="769">
        <f>N87+'27'!O87</f>
        <v>0</v>
      </c>
      <c r="P87" s="768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1"/>
        <v>0</v>
      </c>
      <c r="E88" s="17">
        <f t="shared" si="6"/>
        <v>0</v>
      </c>
      <c r="F88" s="134">
        <v>0</v>
      </c>
      <c r="G88" s="18">
        <f t="shared" si="7"/>
        <v>24</v>
      </c>
      <c r="H88" s="17">
        <f t="shared" si="8"/>
        <v>0</v>
      </c>
      <c r="I88" s="134">
        <f t="shared" si="12"/>
        <v>0</v>
      </c>
      <c r="J88" s="17">
        <f t="shared" si="9"/>
        <v>0</v>
      </c>
      <c r="K88" s="19">
        <f>F88+'27'!K88</f>
        <v>0</v>
      </c>
      <c r="L88" s="192">
        <f>G88+'27'!L88</f>
        <v>648</v>
      </c>
      <c r="M88" s="36">
        <f>K88/(24*12)</f>
        <v>0</v>
      </c>
      <c r="N88" s="716">
        <v>0</v>
      </c>
      <c r="O88" s="770">
        <f>N88+'27'!O88</f>
        <v>0</v>
      </c>
      <c r="P88" s="768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'01'!C89</f>
        <v>47</v>
      </c>
      <c r="D89" s="134">
        <f t="shared" si="11"/>
        <v>0</v>
      </c>
      <c r="E89" s="17">
        <f t="shared" si="6"/>
        <v>0</v>
      </c>
      <c r="F89" s="134">
        <v>0</v>
      </c>
      <c r="G89" s="18">
        <f t="shared" si="7"/>
        <v>24</v>
      </c>
      <c r="H89" s="17">
        <f t="shared" ref="H89:H94" si="13">F89/24</f>
        <v>0</v>
      </c>
      <c r="I89" s="134">
        <f t="shared" si="12"/>
        <v>41.420860547642825</v>
      </c>
      <c r="J89" s="17">
        <f t="shared" si="9"/>
        <v>0.88129490526899623</v>
      </c>
      <c r="K89" s="19">
        <f>F89+'27'!K89</f>
        <v>1.6950000000000001</v>
      </c>
      <c r="L89" s="192">
        <f>G89+'27'!L89</f>
        <v>670.30500000000006</v>
      </c>
      <c r="M89" s="36">
        <f t="shared" si="10"/>
        <v>2.5223214285714285E-3</v>
      </c>
      <c r="N89" s="1001">
        <v>0</v>
      </c>
      <c r="O89" s="303">
        <f>N89+'27'!O89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'01'!C90</f>
        <v>47</v>
      </c>
      <c r="D90" s="134">
        <f t="shared" si="11"/>
        <v>0</v>
      </c>
      <c r="E90" s="17">
        <f t="shared" si="6"/>
        <v>0</v>
      </c>
      <c r="F90" s="134">
        <v>0</v>
      </c>
      <c r="G90" s="18">
        <f t="shared" si="7"/>
        <v>24</v>
      </c>
      <c r="H90" s="17">
        <f t="shared" si="13"/>
        <v>0</v>
      </c>
      <c r="I90" s="134">
        <f t="shared" si="12"/>
        <v>48.591763261195744</v>
      </c>
      <c r="J90" s="17">
        <f t="shared" si="9"/>
        <v>1.0338673034296968</v>
      </c>
      <c r="K90" s="19">
        <f>F90+'27'!K90</f>
        <v>32.664166666666674</v>
      </c>
      <c r="L90" s="192">
        <f>G90+'27'!L90</f>
        <v>639.33583333333331</v>
      </c>
      <c r="M90" s="36">
        <f t="shared" si="10"/>
        <v>4.8607390873015882E-2</v>
      </c>
      <c r="N90" s="1001">
        <v>0</v>
      </c>
      <c r="O90" s="303">
        <f>N90+'27'!O90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6"/>
        <v>0</v>
      </c>
      <c r="F91" s="134">
        <v>0</v>
      </c>
      <c r="G91" s="18">
        <f t="shared" si="7"/>
        <v>24</v>
      </c>
      <c r="H91" s="17">
        <f t="shared" si="13"/>
        <v>0</v>
      </c>
      <c r="I91" s="134">
        <f t="shared" si="12"/>
        <v>0</v>
      </c>
      <c r="J91" s="17">
        <f t="shared" si="9"/>
        <v>0</v>
      </c>
      <c r="K91" s="19">
        <f>F91+'27'!K91</f>
        <v>0</v>
      </c>
      <c r="L91" s="192">
        <f>G91+'27'!L91</f>
        <v>672</v>
      </c>
      <c r="M91" s="36">
        <f t="shared" si="10"/>
        <v>0</v>
      </c>
      <c r="N91" s="716">
        <v>0</v>
      </c>
      <c r="O91" s="770">
        <f>N91+'27'!O91</f>
        <v>0</v>
      </c>
      <c r="P91" s="768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6"/>
        <v>0</v>
      </c>
      <c r="F92" s="134">
        <v>0</v>
      </c>
      <c r="G92" s="18">
        <f t="shared" si="7"/>
        <v>24</v>
      </c>
      <c r="H92" s="17">
        <f t="shared" si="13"/>
        <v>0</v>
      </c>
      <c r="I92" s="134">
        <f t="shared" si="12"/>
        <v>140.11316982515353</v>
      </c>
      <c r="J92" s="17">
        <f t="shared" si="9"/>
        <v>0.89583581578868565</v>
      </c>
      <c r="K92" s="19">
        <f>F92+'27'!K92</f>
        <v>71.521666666666675</v>
      </c>
      <c r="L92" s="192">
        <f>G92+'27'!L92</f>
        <v>600.47833333333335</v>
      </c>
      <c r="M92" s="36">
        <f t="shared" si="10"/>
        <v>0.10643105158730159</v>
      </c>
      <c r="N92" s="716">
        <v>0</v>
      </c>
      <c r="O92" s="770">
        <f>N92+'27'!O92</f>
        <v>10021.127427844691</v>
      </c>
      <c r="P92" s="768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6"/>
        <v>0</v>
      </c>
      <c r="F93" s="134">
        <v>0</v>
      </c>
      <c r="G93" s="18">
        <f t="shared" si="7"/>
        <v>24</v>
      </c>
      <c r="H93" s="17">
        <f t="shared" si="13"/>
        <v>0</v>
      </c>
      <c r="I93" s="134">
        <f t="shared" si="12"/>
        <v>144.80399190974401</v>
      </c>
      <c r="J93" s="17">
        <f t="shared" si="9"/>
        <v>0.94516947445354405</v>
      </c>
      <c r="K93" s="19">
        <f>F93+'27'!K93</f>
        <v>64.288611111111109</v>
      </c>
      <c r="L93" s="192">
        <f>G93+'27'!L93</f>
        <v>607.71138888888891</v>
      </c>
      <c r="M93" s="36">
        <f t="shared" si="10"/>
        <v>9.5667576058201059E-2</v>
      </c>
      <c r="N93" s="969">
        <v>0</v>
      </c>
      <c r="O93" s="771">
        <f>N93+'27'!O93</f>
        <v>9309.2475232220113</v>
      </c>
      <c r="P93" s="768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6"/>
        <v>0</v>
      </c>
      <c r="F94" s="878"/>
      <c r="G94" s="531">
        <f t="shared" si="7"/>
        <v>24</v>
      </c>
      <c r="H94" s="870">
        <f t="shared" si="13"/>
        <v>0</v>
      </c>
      <c r="I94" s="765">
        <f t="shared" si="12"/>
        <v>89.046875</v>
      </c>
      <c r="J94" s="870">
        <f t="shared" si="9"/>
        <v>1.4841145833333333</v>
      </c>
      <c r="K94" s="878">
        <f>F94+'27'!K94</f>
        <v>32</v>
      </c>
      <c r="L94" s="874">
        <f>G94+'27'!L94</f>
        <v>640</v>
      </c>
      <c r="M94" s="873">
        <f t="shared" si="10"/>
        <v>4.7619047619047616E-2</v>
      </c>
      <c r="N94" s="966">
        <f>E111+E120+E121+E122</f>
        <v>0</v>
      </c>
      <c r="O94" s="875">
        <f>N94+'27'!O94</f>
        <v>2849.5</v>
      </c>
      <c r="P94" s="876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 t="shared" si="12"/>
        <v>142.05714285714285</v>
      </c>
      <c r="J95" s="708">
        <f>IFERROR(I95/C95,0)</f>
        <v>0</v>
      </c>
      <c r="K95" s="866">
        <f>F95+'27'!K95</f>
        <v>7</v>
      </c>
      <c r="L95" s="709">
        <f>G95+'27'!L95</f>
        <v>665</v>
      </c>
      <c r="M95" s="712">
        <f>K95/(24*28)</f>
        <v>1.0416666666666666E-2</v>
      </c>
      <c r="N95" s="967">
        <f>E112+E114+E115+E118+E119</f>
        <v>0</v>
      </c>
      <c r="O95" s="772">
        <f>N95+'27'!O95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 outlineLevel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 outlineLevel="1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 outlineLevel="1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05" t="s">
        <v>3</v>
      </c>
      <c r="H99" s="12" t="s">
        <v>2</v>
      </c>
      <c r="I99" s="806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4946</v>
      </c>
      <c r="E100" s="30">
        <f>E101+E110</f>
        <v>0</v>
      </c>
      <c r="F100" s="29">
        <f t="shared" ref="F100:F122" si="14">IFERROR((E100/D100),0)</f>
        <v>0</v>
      </c>
      <c r="G100" s="51">
        <f>G101+G110</f>
        <v>178472</v>
      </c>
      <c r="H100" s="30">
        <f>H101+H110</f>
        <v>19708.249999999993</v>
      </c>
      <c r="I100" s="29">
        <f t="shared" ref="I100:I114" si="15">IFERROR((H100/G100),0)</f>
        <v>0.11042768613564029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4946</v>
      </c>
      <c r="E101" s="24">
        <f>SUM(E102:E109)</f>
        <v>0</v>
      </c>
      <c r="F101" s="23">
        <f t="shared" si="14"/>
        <v>0</v>
      </c>
      <c r="G101" s="555">
        <f>SUM(G102:G109)</f>
        <v>129642</v>
      </c>
      <c r="H101" s="24">
        <f>SUM(H102:H109)</f>
        <v>15844.349999999995</v>
      </c>
      <c r="I101" s="23">
        <f t="shared" si="15"/>
        <v>0.12221617994168553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46" t="s">
        <v>87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4"/>
        <v>0</v>
      </c>
      <c r="G102" s="19">
        <f>D102+'27'!G102</f>
        <v>0</v>
      </c>
      <c r="H102" s="192">
        <f>E102+'27'!H102</f>
        <v>0</v>
      </c>
      <c r="I102" s="17">
        <f t="shared" si="15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295</v>
      </c>
      <c r="E103" s="166">
        <v>0</v>
      </c>
      <c r="F103" s="17">
        <f t="shared" si="14"/>
        <v>0</v>
      </c>
      <c r="G103" s="19">
        <f>D103+'27'!G103</f>
        <v>10320</v>
      </c>
      <c r="H103" s="192">
        <f>E103+'27'!H103</f>
        <v>0</v>
      </c>
      <c r="I103" s="17">
        <f t="shared" si="15"/>
        <v>0</v>
      </c>
      <c r="J103" s="1341"/>
      <c r="K103" s="1343"/>
      <c r="L103" s="247"/>
      <c r="M103" s="247"/>
      <c r="N103" s="247"/>
      <c r="O103" s="24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4538</v>
      </c>
      <c r="E104" s="110">
        <v>0</v>
      </c>
      <c r="F104" s="17">
        <f t="shared" si="14"/>
        <v>0</v>
      </c>
      <c r="G104" s="19">
        <f>D104+'27'!G104</f>
        <v>115096</v>
      </c>
      <c r="H104" s="192">
        <f>E104+'27'!H104</f>
        <v>12980.249999999995</v>
      </c>
      <c r="I104" s="17">
        <f t="shared" si="15"/>
        <v>0.1127775943560158</v>
      </c>
      <c r="J104" s="1341"/>
      <c r="K104" s="1343"/>
      <c r="L104" s="247"/>
      <c r="M104" s="247"/>
      <c r="N104" s="247"/>
      <c r="O104" s="247"/>
      <c r="P104" s="16"/>
      <c r="T104" s="2"/>
    </row>
    <row r="105" spans="1:20" outlineLevel="1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4"/>
        <v>0</v>
      </c>
      <c r="G105" s="19">
        <f>D105+'27'!G105</f>
        <v>0</v>
      </c>
      <c r="H105" s="192">
        <f>E105+'27'!H105</f>
        <v>475.6</v>
      </c>
      <c r="I105" s="17">
        <f t="shared" si="15"/>
        <v>0</v>
      </c>
      <c r="J105" s="1341"/>
      <c r="K105" s="1343"/>
      <c r="L105" s="16"/>
      <c r="M105" s="16"/>
      <c r="N105" s="247"/>
      <c r="O105" s="247"/>
      <c r="P105" s="16"/>
      <c r="Q105" s="6"/>
      <c r="T105" s="2"/>
    </row>
    <row r="106" spans="1:20" outlineLevel="1">
      <c r="A106" s="46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4"/>
        <v>0</v>
      </c>
      <c r="G106" s="19">
        <f>D106+'27'!G106</f>
        <v>0</v>
      </c>
      <c r="H106" s="192">
        <f>E106+'27'!H106</f>
        <v>1280.3</v>
      </c>
      <c r="I106" s="17">
        <f t="shared" si="15"/>
        <v>0</v>
      </c>
      <c r="J106" s="1341"/>
      <c r="K106" s="1343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4"/>
        <v>0</v>
      </c>
      <c r="G107" s="19">
        <f>D107+'27'!G107</f>
        <v>0</v>
      </c>
      <c r="H107" s="192">
        <f>E107+'27'!H107</f>
        <v>0</v>
      </c>
      <c r="I107" s="17">
        <f t="shared" si="15"/>
        <v>0</v>
      </c>
      <c r="J107" s="1341"/>
      <c r="K107" s="1343"/>
      <c r="L107" s="247"/>
      <c r="M107" s="24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34">
        <v>63</v>
      </c>
      <c r="E108" s="110">
        <v>0</v>
      </c>
      <c r="F108" s="17">
        <f t="shared" si="14"/>
        <v>0</v>
      </c>
      <c r="G108" s="19">
        <f>D108+'27'!G108</f>
        <v>3151</v>
      </c>
      <c r="H108" s="192">
        <f>E108+'27'!H108</f>
        <v>826.59999999999991</v>
      </c>
      <c r="I108" s="17">
        <f t="shared" si="15"/>
        <v>0.26232941923198982</v>
      </c>
      <c r="J108" s="807"/>
      <c r="K108" s="808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50</v>
      </c>
      <c r="E109" s="110">
        <v>0</v>
      </c>
      <c r="F109" s="17">
        <f t="shared" si="14"/>
        <v>0</v>
      </c>
      <c r="G109" s="19">
        <f>D109+'27'!G109</f>
        <v>1075</v>
      </c>
      <c r="H109" s="192">
        <f>E109+'27'!H109</f>
        <v>281.59999999999997</v>
      </c>
      <c r="I109" s="17">
        <f t="shared" si="15"/>
        <v>0.26195348837209298</v>
      </c>
      <c r="J109" s="807"/>
      <c r="K109" s="808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1511</v>
      </c>
      <c r="E110" s="24">
        <f>SUM(E111:E122)</f>
        <v>0</v>
      </c>
      <c r="F110" s="1054">
        <f>IFERROR((E110/D110),0)</f>
        <v>0</v>
      </c>
      <c r="G110" s="735">
        <f>SUM(G111:G122)</f>
        <v>48830</v>
      </c>
      <c r="H110" s="24">
        <f>SUM(H111:H122)</f>
        <v>3863.8999999999996</v>
      </c>
      <c r="I110" s="1054">
        <f>IFERROR((H110/G110),0)</f>
        <v>7.9129633422076587E-2</v>
      </c>
      <c r="J110" s="807"/>
      <c r="K110" s="808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D111+'27'!G111</f>
        <v>0</v>
      </c>
      <c r="H111" s="18">
        <f>E111+'27'!H111</f>
        <v>1026.1499999999999</v>
      </c>
      <c r="I111" s="17">
        <f>IFERROR((H111/G111),0)</f>
        <v>0</v>
      </c>
      <c r="J111" s="1341"/>
      <c r="K111" s="1343"/>
      <c r="L111" s="16"/>
      <c r="M111" s="15"/>
      <c r="N111" s="16"/>
      <c r="O111" s="16"/>
      <c r="P111" s="16"/>
      <c r="Q111" s="28"/>
      <c r="S111" s="1"/>
      <c r="T111" s="2"/>
    </row>
    <row r="112" spans="1:20" outlineLevel="1">
      <c r="A112" s="254" t="s">
        <v>252</v>
      </c>
      <c r="B112" s="9" t="s">
        <v>9</v>
      </c>
      <c r="C112" s="20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D112+'27'!G112</f>
        <v>0</v>
      </c>
      <c r="H112" s="18">
        <f>E112+'27'!H112</f>
        <v>994.39999999999986</v>
      </c>
      <c r="I112" s="17">
        <f>IFERROR((H112/G112),0)</f>
        <v>0</v>
      </c>
      <c r="J112" s="1344"/>
      <c r="K112" s="1345"/>
      <c r="L112" s="16"/>
      <c r="M112" s="15"/>
      <c r="N112" s="247"/>
      <c r="O112" s="247"/>
      <c r="P112" s="16"/>
      <c r="T112" s="2"/>
    </row>
    <row r="113" spans="1:20" outlineLevel="1">
      <c r="A113" s="254" t="s">
        <v>253</v>
      </c>
      <c r="B113" s="9" t="s">
        <v>9</v>
      </c>
      <c r="C113" s="20">
        <f>'01'!C113</f>
        <v>0</v>
      </c>
      <c r="D113" s="134">
        <v>0</v>
      </c>
      <c r="E113" s="110">
        <v>0</v>
      </c>
      <c r="F113" s="17">
        <f t="shared" si="14"/>
        <v>0</v>
      </c>
      <c r="G113" s="19">
        <f>D113+'27'!G113</f>
        <v>0</v>
      </c>
      <c r="H113" s="18">
        <f>E113+'27'!H113</f>
        <v>20</v>
      </c>
      <c r="I113" s="17">
        <f t="shared" si="15"/>
        <v>0</v>
      </c>
      <c r="J113" s="809"/>
      <c r="K113" s="810"/>
      <c r="L113" s="7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9" t="s">
        <v>9</v>
      </c>
      <c r="C114" s="20">
        <f>'01'!C114</f>
        <v>500</v>
      </c>
      <c r="D114" s="134">
        <v>16</v>
      </c>
      <c r="E114" s="301">
        <v>0</v>
      </c>
      <c r="F114" s="17">
        <f t="shared" si="14"/>
        <v>0</v>
      </c>
      <c r="G114" s="19">
        <f>D114+'27'!G114</f>
        <v>448</v>
      </c>
      <c r="H114" s="18">
        <f>E114+'27'!H114</f>
        <v>0</v>
      </c>
      <c r="I114" s="17">
        <f t="shared" si="15"/>
        <v>0</v>
      </c>
      <c r="J114" s="1344"/>
      <c r="K114" s="1345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>
        <f t="shared" si="14"/>
        <v>0</v>
      </c>
      <c r="G115" s="19">
        <f>D115+'27'!G115</f>
        <v>0</v>
      </c>
      <c r="H115" s="18">
        <f>E115+'27'!H115</f>
        <v>0</v>
      </c>
      <c r="I115" s="17">
        <f>IFERROR((H115/G115),0)</f>
        <v>0</v>
      </c>
      <c r="J115" s="1376"/>
      <c r="K115" s="1377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si="14"/>
        <v>0</v>
      </c>
      <c r="G116" s="19">
        <f>D116+'27'!G116</f>
        <v>0</v>
      </c>
      <c r="H116" s="18">
        <f>E116+'27'!H116</f>
        <v>0</v>
      </c>
      <c r="I116" s="17">
        <f t="shared" ref="I116:I122" si="16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4"/>
        <v>0</v>
      </c>
      <c r="G117" s="19">
        <f>D117+'27'!G117</f>
        <v>0</v>
      </c>
      <c r="H117" s="18">
        <f>E117+'27'!H117</f>
        <v>0</v>
      </c>
      <c r="I117" s="17">
        <f t="shared" si="16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345</v>
      </c>
      <c r="E118" s="110">
        <v>0</v>
      </c>
      <c r="F118" s="17">
        <f t="shared" si="14"/>
        <v>0</v>
      </c>
      <c r="G118" s="19">
        <f>D118+'27'!G118</f>
        <v>9710</v>
      </c>
      <c r="H118" s="18">
        <f>E118+'27'!H118</f>
        <v>0</v>
      </c>
      <c r="I118" s="17">
        <f t="shared" si="16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4"/>
        <v>0</v>
      </c>
      <c r="G119" s="19">
        <f>D119+'27'!G119</f>
        <v>0</v>
      </c>
      <c r="H119" s="18">
        <f>E119+'27'!H119</f>
        <v>0</v>
      </c>
      <c r="I119" s="17">
        <f t="shared" si="16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750</v>
      </c>
      <c r="E120" s="110">
        <v>0</v>
      </c>
      <c r="F120" s="17">
        <f t="shared" si="14"/>
        <v>0</v>
      </c>
      <c r="G120" s="19">
        <f>D120+'27'!G120</f>
        <v>20468</v>
      </c>
      <c r="H120" s="18">
        <f>E120+'27'!H120</f>
        <v>0</v>
      </c>
      <c r="I120" s="17">
        <f t="shared" si="16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>
        <f t="shared" si="14"/>
        <v>0</v>
      </c>
      <c r="G121" s="19">
        <f>D121+'27'!G121</f>
        <v>1360</v>
      </c>
      <c r="H121" s="18">
        <f>E121+'27'!H121</f>
        <v>0</v>
      </c>
      <c r="I121" s="17">
        <f t="shared" si="16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400</v>
      </c>
      <c r="E122" s="110">
        <v>0</v>
      </c>
      <c r="F122" s="17">
        <f t="shared" si="14"/>
        <v>0</v>
      </c>
      <c r="G122" s="19">
        <f>D122+'27'!G122</f>
        <v>16844</v>
      </c>
      <c r="H122" s="18">
        <f>E122+'27'!H122</f>
        <v>1823.35</v>
      </c>
      <c r="I122" s="17">
        <f t="shared" si="16"/>
        <v>0.10824922821182617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2" t="s">
        <v>4</v>
      </c>
      <c r="H124" s="1303"/>
      <c r="I124" s="1304"/>
      <c r="J124" s="981" t="s">
        <v>89</v>
      </c>
      <c r="K124" s="980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982" t="s">
        <v>3</v>
      </c>
      <c r="H125" s="12" t="s">
        <v>2</v>
      </c>
      <c r="I125" s="983" t="s">
        <v>1</v>
      </c>
      <c r="J125" s="357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0</v>
      </c>
      <c r="F126" s="356">
        <f>IFERROR(E126/D126,0)</f>
        <v>0</v>
      </c>
      <c r="G126" s="984">
        <v>40.5</v>
      </c>
      <c r="H126" s="200">
        <v>46.393258816062442</v>
      </c>
      <c r="I126" s="356">
        <f>IFERROR(H126/G126,0)</f>
        <v>1.1455125633595664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0</v>
      </c>
      <c r="F127" s="356">
        <f t="shared" ref="F127:F132" si="17">IFERROR(E127/D127,0)</f>
        <v>0</v>
      </c>
      <c r="G127" s="984">
        <v>17</v>
      </c>
      <c r="H127" s="200">
        <v>19.040705037317629</v>
      </c>
      <c r="I127" s="356">
        <f t="shared" ref="I127:I132" si="18">IFERROR(H127/G127,0)</f>
        <v>1.1200414727833898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7"/>
        <v>0</v>
      </c>
      <c r="G128" s="381">
        <v>3</v>
      </c>
      <c r="H128" s="256">
        <f>P132</f>
        <v>2.7306506005953359</v>
      </c>
      <c r="I128" s="157">
        <f t="shared" si="18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0</v>
      </c>
      <c r="F129" s="157">
        <f t="shared" si="17"/>
        <v>0</v>
      </c>
      <c r="G129" s="984">
        <v>21</v>
      </c>
      <c r="H129" s="200">
        <v>22.619418986987256</v>
      </c>
      <c r="I129" s="157">
        <f t="shared" si="18"/>
        <v>1.0771151898565361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0</v>
      </c>
      <c r="F130" s="157">
        <f t="shared" si="17"/>
        <v>0</v>
      </c>
      <c r="G130" s="984">
        <v>42</v>
      </c>
      <c r="H130" s="200">
        <v>7.8312590024035273</v>
      </c>
      <c r="I130" s="157">
        <f t="shared" si="18"/>
        <v>0.18645854767627446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0</v>
      </c>
      <c r="F131" s="157">
        <f t="shared" si="17"/>
        <v>0</v>
      </c>
      <c r="G131" s="984">
        <v>35</v>
      </c>
      <c r="H131" s="200">
        <v>37.258254719378826</v>
      </c>
      <c r="I131" s="157">
        <f t="shared" si="18"/>
        <v>1.0645215634108236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0</v>
      </c>
      <c r="F132" s="684">
        <f t="shared" si="17"/>
        <v>0</v>
      </c>
      <c r="G132" s="985">
        <v>100.69</v>
      </c>
      <c r="H132" s="683">
        <v>90.187729871561771</v>
      </c>
      <c r="I132" s="684">
        <f t="shared" si="18"/>
        <v>0.89569698948814946</v>
      </c>
      <c r="N132" s="727" t="s">
        <v>188</v>
      </c>
      <c r="O132" s="704">
        <f>O131+'27'!O132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125426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9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0">IFERROR(C139/$B$139,0)</f>
        <v>0</v>
      </c>
      <c r="D140" s="335">
        <f t="shared" si="20"/>
        <v>0</v>
      </c>
      <c r="E140" s="335">
        <f t="shared" si="20"/>
        <v>0</v>
      </c>
      <c r="F140" s="335">
        <f t="shared" si="20"/>
        <v>0</v>
      </c>
      <c r="G140" s="335">
        <f t="shared" si="20"/>
        <v>0</v>
      </c>
      <c r="H140" s="335">
        <f t="shared" si="20"/>
        <v>0</v>
      </c>
      <c r="I140" s="326">
        <f t="shared" si="19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9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1">IFERROR(C141/$B$141,0)</f>
        <v>0</v>
      </c>
      <c r="D142" s="335">
        <f t="shared" si="21"/>
        <v>0</v>
      </c>
      <c r="E142" s="335">
        <f t="shared" si="21"/>
        <v>0</v>
      </c>
      <c r="F142" s="335">
        <f t="shared" si="21"/>
        <v>0</v>
      </c>
      <c r="G142" s="335">
        <f t="shared" si="21"/>
        <v>0</v>
      </c>
      <c r="H142" s="335">
        <f t="shared" si="21"/>
        <v>0</v>
      </c>
      <c r="I142" s="326">
        <f t="shared" si="19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9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247631</v>
      </c>
    </row>
    <row r="144" spans="1:20" ht="16.5" thickBot="1">
      <c r="A144" s="321"/>
      <c r="B144" s="336"/>
      <c r="C144" s="335">
        <f t="shared" ref="C144:H144" si="22">IFERROR(C143/$B$143,0)</f>
        <v>0</v>
      </c>
      <c r="D144" s="335">
        <f t="shared" si="22"/>
        <v>0</v>
      </c>
      <c r="E144" s="335">
        <f t="shared" si="22"/>
        <v>0</v>
      </c>
      <c r="F144" s="335">
        <f t="shared" si="22"/>
        <v>0</v>
      </c>
      <c r="G144" s="335">
        <f t="shared" si="22"/>
        <v>0</v>
      </c>
      <c r="H144" s="335">
        <f t="shared" si="22"/>
        <v>0</v>
      </c>
      <c r="I144" s="326">
        <f t="shared" si="19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9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3">IFERROR(C145/$B$145,0)</f>
        <v>0</v>
      </c>
      <c r="D146" s="335">
        <f t="shared" si="23"/>
        <v>0</v>
      </c>
      <c r="E146" s="335">
        <f t="shared" si="23"/>
        <v>0</v>
      </c>
      <c r="F146" s="335">
        <f t="shared" si="23"/>
        <v>0</v>
      </c>
      <c r="G146" s="335">
        <f t="shared" si="23"/>
        <v>0</v>
      </c>
      <c r="H146" s="335">
        <f t="shared" si="23"/>
        <v>0</v>
      </c>
      <c r="I146" s="326">
        <f t="shared" si="19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9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4">IFERROR(C147/$B$147,0)</f>
        <v>0</v>
      </c>
      <c r="D148" s="335">
        <f t="shared" si="24"/>
        <v>0</v>
      </c>
      <c r="E148" s="335">
        <f t="shared" si="24"/>
        <v>0</v>
      </c>
      <c r="F148" s="335">
        <f t="shared" si="24"/>
        <v>0</v>
      </c>
      <c r="G148" s="335">
        <f t="shared" si="24"/>
        <v>0</v>
      </c>
      <c r="H148" s="335">
        <f t="shared" si="24"/>
        <v>0</v>
      </c>
      <c r="I148" s="326">
        <f t="shared" si="19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5">B139+B141+B143+B145+B147</f>
        <v>0</v>
      </c>
      <c r="C149" s="460">
        <f t="shared" si="25"/>
        <v>0</v>
      </c>
      <c r="D149" s="460">
        <f t="shared" si="25"/>
        <v>0</v>
      </c>
      <c r="E149" s="460">
        <f>E139+E141+E143+E145+E147</f>
        <v>0</v>
      </c>
      <c r="F149" s="460">
        <f t="shared" si="25"/>
        <v>0</v>
      </c>
      <c r="G149" s="460">
        <f t="shared" si="25"/>
        <v>0</v>
      </c>
      <c r="H149" s="460">
        <f t="shared" si="25"/>
        <v>0</v>
      </c>
      <c r="I149" s="324">
        <f t="shared" si="25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6">IFERROR(C149/$B$149,0)</f>
        <v>0</v>
      </c>
      <c r="D150" s="346">
        <f t="shared" si="26"/>
        <v>0</v>
      </c>
      <c r="E150" s="346">
        <f t="shared" si="26"/>
        <v>0</v>
      </c>
      <c r="F150" s="346">
        <f t="shared" si="26"/>
        <v>0</v>
      </c>
      <c r="G150" s="346">
        <f t="shared" si="26"/>
        <v>0</v>
      </c>
      <c r="H150" s="346">
        <f t="shared" si="26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15:K115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0" tint="-0.14999847407452621"/>
    <pageSetUpPr fitToPage="1"/>
  </sheetPr>
  <dimension ref="A1:Z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8" width="15.85546875" style="1" bestFit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3" width="9.140625" style="1"/>
    <col min="24" max="24" width="10.7109375" style="1" bestFit="1" customWidth="1"/>
    <col min="25" max="25" width="9.140625" style="1"/>
    <col min="26" max="26" width="11.5703125" style="1" bestFit="1" customWidth="1"/>
    <col min="27" max="16384" width="9.140625" style="1"/>
  </cols>
  <sheetData>
    <row r="1" spans="1:20" ht="20.25">
      <c r="A1" s="1264" t="str">
        <f>CONCATENATE("Ежедневный отчет производства и отгрузки за 29 ",Q1)</f>
        <v>Ежедневный отчет производства и отгрузки за 29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  <c r="S1" s="602"/>
    </row>
    <row r="2" spans="1:20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0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0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0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>F6+F9</f>
        <v>0</v>
      </c>
      <c r="G5" s="30">
        <f t="shared" si="0"/>
        <v>147400</v>
      </c>
      <c r="H5" s="30">
        <f t="shared" si="0"/>
        <v>16874.071396806572</v>
      </c>
      <c r="I5" s="29">
        <f>IFERROR((H5/G5),0)</f>
        <v>0.11447809631483427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0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18"/>
      <c r="G6" s="18">
        <f>E6+'28'!G6</f>
        <v>0</v>
      </c>
      <c r="H6" s="18">
        <f>F6+'28'!H6</f>
        <v>6671.6154299884374</v>
      </c>
      <c r="I6" s="17"/>
      <c r="J6" s="949"/>
      <c r="K6" s="67">
        <f>J6+'28'!K6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</row>
    <row r="7" spans="1:20" hidden="1" outlineLevel="1">
      <c r="A7" s="79" t="s">
        <v>219</v>
      </c>
      <c r="B7" s="9" t="s">
        <v>9</v>
      </c>
      <c r="C7" s="20"/>
      <c r="D7" s="149">
        <f>'01'!D7</f>
        <v>0</v>
      </c>
      <c r="E7" s="19"/>
      <c r="F7" s="18"/>
      <c r="G7" s="18"/>
      <c r="H7" s="18">
        <f>F7+'28'!H7</f>
        <v>0</v>
      </c>
      <c r="I7" s="17"/>
      <c r="J7" s="949"/>
      <c r="K7" s="67">
        <f>J7+'28'!K7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</row>
    <row r="8" spans="1:20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F8+'28'!H8</f>
        <v>0</v>
      </c>
      <c r="I8" s="17"/>
      <c r="J8" s="949"/>
      <c r="K8" s="67">
        <f>J8+'28'!K8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</row>
    <row r="9" spans="1:20" s="4" customFormat="1" collapsed="1">
      <c r="A9" s="41" t="s">
        <v>65</v>
      </c>
      <c r="B9" s="26" t="s">
        <v>9</v>
      </c>
      <c r="C9" s="20">
        <f>'01'!C9</f>
        <v>160800</v>
      </c>
      <c r="D9" s="20">
        <f>'01'!D9</f>
        <v>127072.29376141207</v>
      </c>
      <c r="E9" s="97">
        <v>6700</v>
      </c>
      <c r="F9" s="24">
        <f>F10+F11+F12+F13</f>
        <v>0</v>
      </c>
      <c r="G9" s="24">
        <f>E9+'28'!G9</f>
        <v>147400</v>
      </c>
      <c r="H9" s="24">
        <f>F9+'28'!H9</f>
        <v>10202.455966818135</v>
      </c>
      <c r="I9" s="17">
        <f>IFERROR((H9/G9),0)</f>
        <v>6.9216119177870655E-2</v>
      </c>
      <c r="J9" s="946">
        <f>J10+J11+J12+J13</f>
        <v>0</v>
      </c>
      <c r="K9" s="47">
        <f>J9+'28'!K9</f>
        <v>17027.103675312697</v>
      </c>
      <c r="L9" s="25">
        <f>D9+H9-K9+M9+N9</f>
        <v>120247.64605291751</v>
      </c>
      <c r="M9" s="54"/>
      <c r="N9" s="54">
        <f>N10</f>
        <v>0</v>
      </c>
      <c r="O9" s="1262"/>
      <c r="P9" s="1263"/>
      <c r="Q9" s="604">
        <v>-23266.571785975502</v>
      </c>
      <c r="R9" s="602">
        <f>J9-Q9</f>
        <v>23266.571785975502</v>
      </c>
      <c r="S9" s="614"/>
      <c r="T9" s="2"/>
    </row>
    <row r="10" spans="1:20">
      <c r="A10" s="74" t="s">
        <v>64</v>
      </c>
      <c r="B10" s="9" t="s">
        <v>9</v>
      </c>
      <c r="C10" s="20">
        <f>'01'!C10</f>
        <v>0</v>
      </c>
      <c r="D10" s="20">
        <f>'01'!D10</f>
        <v>56300.273909357406</v>
      </c>
      <c r="E10" s="19"/>
      <c r="F10" s="110">
        <v>0</v>
      </c>
      <c r="G10" s="24">
        <f>E10+'28'!G10</f>
        <v>0</v>
      </c>
      <c r="H10" s="18">
        <f>F10+'28'!H10</f>
        <v>10202.455966818135</v>
      </c>
      <c r="I10" s="17"/>
      <c r="J10" s="178">
        <v>0</v>
      </c>
      <c r="K10" s="67">
        <f>J10+'28'!K10</f>
        <v>15627.103675312697</v>
      </c>
      <c r="L10" s="149">
        <f>D10+H10-K10+M10+N10</f>
        <v>50875.62620086284</v>
      </c>
      <c r="M10" s="53"/>
      <c r="N10" s="101"/>
      <c r="O10" s="1246"/>
      <c r="P10" s="1247"/>
      <c r="Q10" s="604"/>
      <c r="R10" s="602"/>
    </row>
    <row r="11" spans="1:20">
      <c r="A11" s="74" t="s">
        <v>244</v>
      </c>
      <c r="B11" s="9" t="s">
        <v>9</v>
      </c>
      <c r="C11" s="20">
        <f>'01'!C11</f>
        <v>0</v>
      </c>
      <c r="D11" s="20">
        <f>'01'!D11</f>
        <v>18224.01726010743</v>
      </c>
      <c r="E11" s="19"/>
      <c r="F11" s="18"/>
      <c r="G11" s="24">
        <f>E11+'28'!G11</f>
        <v>0</v>
      </c>
      <c r="H11" s="18">
        <f>F11+'28'!H11</f>
        <v>0</v>
      </c>
      <c r="I11" s="17"/>
      <c r="J11" s="178">
        <v>0</v>
      </c>
      <c r="K11" s="239">
        <f>J11+'28'!K11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</row>
    <row r="12" spans="1:20" outlineLevel="1">
      <c r="A12" s="79" t="s">
        <v>154</v>
      </c>
      <c r="B12" s="9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E12+'28'!G12</f>
        <v>0</v>
      </c>
      <c r="H12" s="18">
        <f>F12+'28'!H12</f>
        <v>0</v>
      </c>
      <c r="I12" s="955">
        <f>IFERROR((H12/G12),0)</f>
        <v>0</v>
      </c>
      <c r="J12" s="192"/>
      <c r="K12" s="239">
        <f>J12+'28'!K12</f>
        <v>1400</v>
      </c>
      <c r="L12" s="149">
        <f>D12+H12-K12</f>
        <v>51148.002591947239</v>
      </c>
      <c r="M12" s="53"/>
      <c r="N12" s="53"/>
      <c r="O12" s="1246"/>
      <c r="P12" s="1247"/>
      <c r="Q12" s="604"/>
      <c r="R12" s="602"/>
    </row>
    <row r="13" spans="1:20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E13+'28'!G13</f>
        <v>0</v>
      </c>
      <c r="H13" s="110">
        <f>F13+'28'!H13</f>
        <v>0</v>
      </c>
      <c r="I13" s="17"/>
      <c r="J13" s="178"/>
      <c r="K13" s="124">
        <f>J13+'28'!K13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</row>
    <row r="14" spans="1:20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6348</v>
      </c>
      <c r="F14" s="30">
        <f>SUM(F15:F21)</f>
        <v>0</v>
      </c>
      <c r="G14" s="30">
        <f>SUM(G15:G21)</f>
        <v>183745</v>
      </c>
      <c r="H14" s="30">
        <f>SUM(H15:H21)</f>
        <v>18857.68830004807</v>
      </c>
      <c r="I14" s="29">
        <f t="shared" ref="I14:I21" si="1">IFERROR((H14/G14),0)</f>
        <v>0.10262966774632273</v>
      </c>
      <c r="J14" s="948">
        <f>SUM(J15:J21)</f>
        <v>0</v>
      </c>
      <c r="K14" s="50">
        <f>SUM(K15:K22)</f>
        <v>19708.249999999993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</row>
    <row r="15" spans="1:20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93"/>
      <c r="G15" s="18">
        <f>E15+'28'!G15</f>
        <v>0</v>
      </c>
      <c r="H15" s="18">
        <f>F15+'28'!H15</f>
        <v>0</v>
      </c>
      <c r="I15" s="17">
        <f t="shared" si="1"/>
        <v>0</v>
      </c>
      <c r="J15" s="192">
        <v>0</v>
      </c>
      <c r="K15" s="67">
        <f>J15+'28'!K15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</row>
    <row r="16" spans="1:20" ht="18" customHeight="1">
      <c r="A16" s="254" t="s">
        <v>254</v>
      </c>
      <c r="B16" s="9" t="s">
        <v>9</v>
      </c>
      <c r="C16" s="20">
        <f>'01'!C16</f>
        <v>44352</v>
      </c>
      <c r="D16" s="20">
        <f>'01'!D16</f>
        <v>6069.3572595923979</v>
      </c>
      <c r="E16" s="134">
        <v>1443.5320754716981</v>
      </c>
      <c r="F16" s="171">
        <v>0</v>
      </c>
      <c r="G16" s="18">
        <f>E16+'28'!G16</f>
        <v>41783.522559474979</v>
      </c>
      <c r="H16" s="18">
        <f>F16+'28'!H16</f>
        <v>3228.5002277343951</v>
      </c>
      <c r="I16" s="956">
        <f t="shared" si="1"/>
        <v>7.7267306104671377E-2</v>
      </c>
      <c r="J16" s="751">
        <f>IFERROR(SUMIF(A101:A114,A16,E101:E114),0)+E111+E112+E113</f>
        <v>0</v>
      </c>
      <c r="K16" s="67">
        <f>J16+'28'!K16</f>
        <v>3320.85</v>
      </c>
      <c r="L16" s="398">
        <f t="shared" ref="L16:L37" si="2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</row>
    <row r="17" spans="1:21" ht="15" customHeight="1">
      <c r="A17" s="732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E17+'28'!G17</f>
        <v>0</v>
      </c>
      <c r="H17" s="18">
        <f>F17+'28'!H17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J17+'28'!K17</f>
        <v>0</v>
      </c>
      <c r="L17" s="398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</row>
    <row r="18" spans="1:21">
      <c r="A18" s="254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E18+'28'!G18</f>
        <v>0</v>
      </c>
      <c r="H18" s="18">
        <f>F18+'28'!H18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J18+'28'!K18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1" s="56" customFormat="1">
      <c r="A19" s="254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4744.4009433962265</v>
      </c>
      <c r="F19" s="131">
        <v>0</v>
      </c>
      <c r="G19" s="18">
        <f>E19+'28'!G19</f>
        <v>137328.28471082854</v>
      </c>
      <c r="H19" s="18">
        <f>F19+'28'!H19</f>
        <v>15629.188072313675</v>
      </c>
      <c r="I19" s="957">
        <f t="shared" si="1"/>
        <v>0.11380895134038829</v>
      </c>
      <c r="J19" s="751">
        <f>IFERROR(SUMIF(A102:A115,A19,E102:E115),0)+E117+E115+E122</f>
        <v>0</v>
      </c>
      <c r="K19" s="67">
        <f>J19+'28'!K19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1">
      <c r="A20" s="246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115.80283018867925</v>
      </c>
      <c r="F20" s="110">
        <v>0</v>
      </c>
      <c r="G20" s="18">
        <f>E20+'28'!G20</f>
        <v>3351.9519585726007</v>
      </c>
      <c r="H20" s="18">
        <f>F20+'28'!H20</f>
        <v>0</v>
      </c>
      <c r="I20" s="17">
        <f t="shared" si="1"/>
        <v>0</v>
      </c>
      <c r="J20" s="751">
        <f>IFERROR(SUMIF(A102:A115,A20,E102:E115),0)</f>
        <v>0</v>
      </c>
      <c r="K20" s="67">
        <f>J20+'28'!K20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</row>
    <row r="21" spans="1:21" ht="15.75" customHeight="1" outlineLevel="1">
      <c r="A21" s="246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44.264150943396217</v>
      </c>
      <c r="F21" s="110">
        <v>0</v>
      </c>
      <c r="G21" s="18">
        <f>E21+'28'!G21</f>
        <v>1281.240771123872</v>
      </c>
      <c r="H21" s="18">
        <f>F21+'28'!H21</f>
        <v>0</v>
      </c>
      <c r="I21" s="17">
        <f t="shared" si="1"/>
        <v>0</v>
      </c>
      <c r="J21" s="751">
        <f>IFERROR(SUMIF(A102:A115,A21,E102:E115),0)</f>
        <v>0</v>
      </c>
      <c r="K21" s="67">
        <f>J21+'28'!K21</f>
        <v>0</v>
      </c>
      <c r="L21" s="60">
        <f>D21+H21-K21-M21</f>
        <v>8.7766238721087575E-11</v>
      </c>
      <c r="M21" s="409"/>
      <c r="N21" s="429"/>
      <c r="O21" s="1252"/>
      <c r="P21" s="1253"/>
      <c r="Q21" s="602"/>
      <c r="R21" s="602"/>
    </row>
    <row r="22" spans="1:21" ht="15.75" customHeight="1" outlineLevel="1">
      <c r="A22" s="732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110">
        <v>0</v>
      </c>
      <c r="G22" s="18">
        <f>E22+'28'!G22</f>
        <v>1100</v>
      </c>
      <c r="H22" s="18">
        <f>F22+'28'!H22</f>
        <v>2130.1044634377968</v>
      </c>
      <c r="I22" s="23"/>
      <c r="J22" s="751">
        <f>IFERROR(SUMIF(A103:A123,A22,E103:E123),0)+E109</f>
        <v>0</v>
      </c>
      <c r="K22" s="67">
        <f>J22+'28'!K22</f>
        <v>757.20000000000016</v>
      </c>
      <c r="L22" s="60">
        <f t="shared" si="2"/>
        <v>4206.655098319975</v>
      </c>
      <c r="M22" s="409"/>
      <c r="N22" s="429"/>
      <c r="O22" s="1325"/>
      <c r="P22" s="1253"/>
      <c r="Q22" s="602"/>
      <c r="R22" s="602"/>
    </row>
    <row r="23" spans="1:21" s="4" customFormat="1">
      <c r="A23" s="586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E23+'28'!G23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J23+'28'!K23</f>
        <v>20</v>
      </c>
      <c r="L23" s="584">
        <f>D23+H23-K23-M23</f>
        <v>32</v>
      </c>
      <c r="M23" s="861"/>
      <c r="N23" s="432"/>
      <c r="O23" s="1254"/>
      <c r="P23" s="1255"/>
      <c r="Q23" s="606"/>
      <c r="R23" s="606"/>
      <c r="S23" s="616"/>
      <c r="T23" s="28"/>
      <c r="U23" s="75"/>
    </row>
    <row r="24" spans="1:21" s="4" customFormat="1" hidden="1" outlineLevel="1">
      <c r="A24" s="254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E24+'28'!G24</f>
        <v>0</v>
      </c>
      <c r="H24" s="18">
        <f>F24+'28'!H24</f>
        <v>0</v>
      </c>
      <c r="I24" s="23"/>
      <c r="J24" s="751">
        <v>0</v>
      </c>
      <c r="K24" s="67">
        <f>J24+'28'!K24</f>
        <v>0</v>
      </c>
      <c r="L24" s="60">
        <f t="shared" si="2"/>
        <v>0</v>
      </c>
      <c r="M24" s="747"/>
      <c r="N24" s="429"/>
      <c r="O24" s="925"/>
      <c r="P24" s="926"/>
      <c r="Q24" s="606"/>
      <c r="R24" s="606"/>
      <c r="S24" s="616"/>
      <c r="T24" s="28"/>
    </row>
    <row r="25" spans="1:21" s="4" customFormat="1" hidden="1" outlineLevel="1">
      <c r="A25" s="25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E25+'28'!G25</f>
        <v>0</v>
      </c>
      <c r="H25" s="18">
        <f>F25+'28'!H25</f>
        <v>0</v>
      </c>
      <c r="I25" s="23"/>
      <c r="J25" s="752">
        <v>0</v>
      </c>
      <c r="K25" s="67">
        <f>J25+'28'!K25</f>
        <v>20</v>
      </c>
      <c r="L25" s="60">
        <f t="shared" si="2"/>
        <v>-4</v>
      </c>
      <c r="M25" s="747"/>
      <c r="N25" s="429"/>
      <c r="O25" s="925"/>
      <c r="P25" s="926"/>
      <c r="Q25" s="606"/>
      <c r="R25" s="606"/>
      <c r="S25" s="616"/>
      <c r="T25" s="28"/>
    </row>
    <row r="26" spans="1:21" s="4" customFormat="1" hidden="1" outlineLevel="1">
      <c r="A26" s="254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E26+'28'!G26</f>
        <v>0</v>
      </c>
      <c r="H26" s="18">
        <f>F26+'28'!H26</f>
        <v>0</v>
      </c>
      <c r="I26" s="23"/>
      <c r="J26" s="752">
        <v>0</v>
      </c>
      <c r="K26" s="67">
        <f>J26+'28'!K26</f>
        <v>0</v>
      </c>
      <c r="L26" s="60">
        <f t="shared" si="2"/>
        <v>36</v>
      </c>
      <c r="M26" s="747"/>
      <c r="N26" s="429"/>
      <c r="O26" s="925"/>
      <c r="P26" s="926"/>
      <c r="Q26" s="606"/>
      <c r="R26" s="606"/>
      <c r="S26" s="616"/>
      <c r="T26" s="28"/>
    </row>
    <row r="27" spans="1:21" s="4" customFormat="1" hidden="1" outlineLevel="1">
      <c r="A27" s="246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E27+'28'!G27</f>
        <v>0</v>
      </c>
      <c r="H27" s="18">
        <f>F27+'28'!H27</f>
        <v>0</v>
      </c>
      <c r="I27" s="23"/>
      <c r="J27" s="752"/>
      <c r="K27" s="67">
        <f>J27+'28'!K27</f>
        <v>0</v>
      </c>
      <c r="L27" s="60">
        <f t="shared" si="2"/>
        <v>0</v>
      </c>
      <c r="M27" s="747"/>
      <c r="N27" s="429"/>
      <c r="O27" s="925"/>
      <c r="P27" s="926"/>
      <c r="Q27" s="606"/>
      <c r="R27" s="606"/>
      <c r="S27" s="616"/>
      <c r="T27" s="28"/>
    </row>
    <row r="28" spans="1:21" s="4" customFormat="1" hidden="1" outlineLevel="1">
      <c r="A28" s="586"/>
      <c r="B28" s="9" t="s">
        <v>9</v>
      </c>
      <c r="C28" s="25"/>
      <c r="D28" s="25"/>
      <c r="E28" s="48"/>
      <c r="F28" s="98">
        <f>J28</f>
        <v>0</v>
      </c>
      <c r="G28" s="18">
        <f>E28+'28'!G28</f>
        <v>0</v>
      </c>
      <c r="H28" s="18">
        <f>F28+'28'!H28</f>
        <v>0</v>
      </c>
      <c r="I28" s="23"/>
      <c r="J28" s="752"/>
      <c r="K28" s="67">
        <f>J28+'28'!K28</f>
        <v>0</v>
      </c>
      <c r="L28" s="60">
        <f t="shared" si="2"/>
        <v>0</v>
      </c>
      <c r="M28" s="747"/>
      <c r="N28" s="429"/>
      <c r="O28" s="925"/>
      <c r="P28" s="926"/>
      <c r="Q28" s="606"/>
      <c r="R28" s="606"/>
      <c r="S28" s="616"/>
      <c r="T28" s="28"/>
    </row>
    <row r="29" spans="1:21" s="4" customFormat="1" hidden="1" outlineLevel="1">
      <c r="A29" s="586"/>
      <c r="B29" s="9" t="s">
        <v>9</v>
      </c>
      <c r="C29" s="25"/>
      <c r="D29" s="25"/>
      <c r="E29" s="48"/>
      <c r="F29" s="98">
        <f>J29</f>
        <v>0</v>
      </c>
      <c r="G29" s="18">
        <f>E29+'28'!G29</f>
        <v>0</v>
      </c>
      <c r="H29" s="18">
        <f>F29+'28'!H29</f>
        <v>0</v>
      </c>
      <c r="I29" s="23"/>
      <c r="J29" s="752"/>
      <c r="K29" s="67">
        <f>J29+'28'!K29</f>
        <v>0</v>
      </c>
      <c r="L29" s="60">
        <f t="shared" si="2"/>
        <v>0</v>
      </c>
      <c r="M29" s="747"/>
      <c r="N29" s="429"/>
      <c r="O29" s="925"/>
      <c r="P29" s="926"/>
      <c r="Q29" s="606"/>
      <c r="R29" s="606"/>
      <c r="S29" s="616"/>
      <c r="T29" s="28"/>
    </row>
    <row r="30" spans="1:21" s="4" customFormat="1" collapsed="1">
      <c r="A30" s="586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E30+'28'!G30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J30+'28'!K30</f>
        <v>994.39999999999986</v>
      </c>
      <c r="L30" s="584">
        <f t="shared" si="2"/>
        <v>1073.6000000000001</v>
      </c>
      <c r="M30" s="861"/>
      <c r="N30" s="432"/>
      <c r="O30" s="1324"/>
      <c r="P30" s="1255"/>
      <c r="Q30" s="606"/>
      <c r="R30" s="606"/>
      <c r="S30" s="616"/>
      <c r="T30" s="28"/>
    </row>
    <row r="31" spans="1:21" s="4" customFormat="1" hidden="1" outlineLevel="1">
      <c r="A31" s="254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E31+'28'!G31</f>
        <v>0</v>
      </c>
      <c r="H31" s="18">
        <f>F31+'28'!H31</f>
        <v>0</v>
      </c>
      <c r="I31" s="23"/>
      <c r="J31" s="865">
        <v>0</v>
      </c>
      <c r="K31" s="67">
        <f>J31+'28'!K31</f>
        <v>0</v>
      </c>
      <c r="L31" s="60">
        <f t="shared" si="2"/>
        <v>0</v>
      </c>
      <c r="M31" s="747"/>
      <c r="N31" s="429"/>
      <c r="O31" s="925"/>
      <c r="P31" s="926"/>
      <c r="Q31" s="606"/>
      <c r="R31" s="606"/>
      <c r="S31" s="616"/>
      <c r="T31" s="28"/>
    </row>
    <row r="32" spans="1:21" s="4" customFormat="1" hidden="1" outlineLevel="1">
      <c r="A32" s="254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E32+'28'!G32</f>
        <v>0</v>
      </c>
      <c r="H32" s="18">
        <f>F32+'28'!H32</f>
        <v>554.40000000000009</v>
      </c>
      <c r="I32" s="23"/>
      <c r="J32" s="865">
        <v>0</v>
      </c>
      <c r="K32" s="67">
        <f>J32+'28'!K32</f>
        <v>994.39999999999986</v>
      </c>
      <c r="L32" s="60">
        <f t="shared" si="2"/>
        <v>1068.3200000000004</v>
      </c>
      <c r="M32" s="747"/>
      <c r="N32" s="429"/>
      <c r="O32" s="925"/>
      <c r="P32" s="926"/>
      <c r="Q32" s="606"/>
      <c r="R32" s="606"/>
      <c r="S32" s="616"/>
      <c r="T32" s="28"/>
    </row>
    <row r="33" spans="1:20" s="4" customFormat="1" hidden="1" outlineLevel="1">
      <c r="A33" s="254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E33+'28'!G33</f>
        <v>0</v>
      </c>
      <c r="H33" s="18">
        <f>F33+'28'!H33</f>
        <v>0</v>
      </c>
      <c r="I33" s="23"/>
      <c r="J33" s="865">
        <v>0</v>
      </c>
      <c r="K33" s="67">
        <f>J33+'28'!K33</f>
        <v>0</v>
      </c>
      <c r="L33" s="60">
        <f t="shared" si="2"/>
        <v>5.28</v>
      </c>
      <c r="M33" s="747"/>
      <c r="N33" s="429"/>
      <c r="O33" s="925"/>
      <c r="P33" s="926"/>
      <c r="Q33" s="606"/>
      <c r="R33" s="606"/>
      <c r="S33" s="616"/>
      <c r="T33" s="28"/>
    </row>
    <row r="34" spans="1:20" s="4" customFormat="1" hidden="1" outlineLevel="1">
      <c r="A34" s="246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E34+'28'!G34</f>
        <v>0</v>
      </c>
      <c r="H34" s="18">
        <f>F34+'28'!H34</f>
        <v>0</v>
      </c>
      <c r="I34" s="23"/>
      <c r="J34" s="865">
        <v>0</v>
      </c>
      <c r="K34" s="67">
        <f>J34+'28'!K34</f>
        <v>0</v>
      </c>
      <c r="L34" s="60">
        <f t="shared" si="2"/>
        <v>0</v>
      </c>
      <c r="M34" s="747"/>
      <c r="N34" s="429"/>
      <c r="O34" s="925"/>
      <c r="P34" s="926"/>
      <c r="Q34" s="606"/>
      <c r="R34" s="606"/>
      <c r="S34" s="616"/>
      <c r="T34" s="28"/>
    </row>
    <row r="35" spans="1:20" s="4" customFormat="1" hidden="1" outlineLevel="1">
      <c r="A35" s="586"/>
      <c r="B35" s="9" t="s">
        <v>9</v>
      </c>
      <c r="C35" s="25"/>
      <c r="D35" s="25"/>
      <c r="E35" s="48"/>
      <c r="F35" s="863">
        <f>J35</f>
        <v>0</v>
      </c>
      <c r="G35" s="18">
        <f>E35+'28'!G35</f>
        <v>0</v>
      </c>
      <c r="H35" s="18">
        <f>F35+'28'!H35</f>
        <v>0</v>
      </c>
      <c r="I35" s="23"/>
      <c r="J35" s="865">
        <v>0</v>
      </c>
      <c r="K35" s="67">
        <f>J35+'28'!K35</f>
        <v>0</v>
      </c>
      <c r="L35" s="60">
        <f t="shared" si="2"/>
        <v>0</v>
      </c>
      <c r="M35" s="747"/>
      <c r="N35" s="429"/>
      <c r="O35" s="925"/>
      <c r="P35" s="926"/>
      <c r="Q35" s="606"/>
      <c r="R35" s="606"/>
      <c r="S35" s="616"/>
      <c r="T35" s="28"/>
    </row>
    <row r="36" spans="1:20" s="4" customFormat="1" hidden="1" outlineLevel="1">
      <c r="A36" s="732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E36+'28'!G36</f>
        <v>0</v>
      </c>
      <c r="H36" s="18">
        <f>F36+'28'!H36</f>
        <v>0</v>
      </c>
      <c r="I36" s="23"/>
      <c r="J36" s="110">
        <v>0</v>
      </c>
      <c r="K36" s="67">
        <f>J36+'28'!K36</f>
        <v>0</v>
      </c>
      <c r="L36" s="60">
        <f t="shared" si="2"/>
        <v>1673.24</v>
      </c>
      <c r="M36" s="747"/>
      <c r="N36" s="429"/>
      <c r="O36" s="925"/>
      <c r="P36" s="926"/>
      <c r="Q36" s="606"/>
      <c r="R36" s="606"/>
      <c r="S36" s="616"/>
      <c r="T36" s="28"/>
    </row>
    <row r="37" spans="1:20" s="4" customFormat="1" hidden="1" outlineLevel="1">
      <c r="A37" s="732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E37+'28'!G37</f>
        <v>0</v>
      </c>
      <c r="H37" s="18">
        <f>F37+'28'!H37</f>
        <v>0</v>
      </c>
      <c r="I37" s="23"/>
      <c r="J37" s="110">
        <v>0</v>
      </c>
      <c r="K37" s="67">
        <f>J37+'28'!K37</f>
        <v>0</v>
      </c>
      <c r="L37" s="60">
        <f t="shared" si="2"/>
        <v>294.63999999999987</v>
      </c>
      <c r="M37" s="747"/>
      <c r="N37" s="429"/>
      <c r="O37" s="925"/>
      <c r="P37" s="926"/>
      <c r="Q37" s="606"/>
      <c r="R37" s="606"/>
      <c r="S37" s="616"/>
      <c r="T37" s="28"/>
    </row>
    <row r="38" spans="1:20" s="4" customFormat="1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E38+'28'!G38</f>
        <v>144025.32595729709</v>
      </c>
      <c r="H38" s="671">
        <f>F38+'28'!H38</f>
        <v>9132.5707721894778</v>
      </c>
      <c r="I38" s="958">
        <f>IFERROR((H38/G38),0)</f>
        <v>6.3409478239245559E-2</v>
      </c>
      <c r="J38" s="753">
        <f>SUM(J39:J40)</f>
        <v>0</v>
      </c>
      <c r="K38" s="672">
        <f>SUM(K39:K40)</f>
        <v>9083.5707721894778</v>
      </c>
      <c r="L38" s="310">
        <f>D38+H38-K38</f>
        <v>1805.9829593932955</v>
      </c>
      <c r="M38" s="76"/>
      <c r="N38" s="45"/>
      <c r="O38" s="1256"/>
      <c r="P38" s="1257"/>
      <c r="Q38" s="607"/>
      <c r="R38" s="602"/>
      <c r="S38" s="614"/>
      <c r="T38" s="2"/>
    </row>
    <row r="39" spans="1:20" ht="15.75" customHeight="1">
      <c r="A39" s="74" t="s">
        <v>91</v>
      </c>
      <c r="B39" s="9" t="s">
        <v>9</v>
      </c>
      <c r="C39" s="20"/>
      <c r="D39" s="20"/>
      <c r="E39" s="19"/>
      <c r="F39" s="110">
        <v>0</v>
      </c>
      <c r="G39" s="18"/>
      <c r="H39" s="18">
        <f>F39+'28'!H39</f>
        <v>6840.5707721894778</v>
      </c>
      <c r="I39" s="17"/>
      <c r="J39" s="750">
        <f>F39</f>
        <v>0</v>
      </c>
      <c r="K39" s="67">
        <f>J39+'28'!K39</f>
        <v>6840.5707721894778</v>
      </c>
      <c r="L39" s="20"/>
      <c r="M39" s="76"/>
      <c r="N39" s="45"/>
      <c r="O39" s="1256"/>
      <c r="P39" s="1257"/>
      <c r="Q39" s="607"/>
      <c r="R39" s="602"/>
      <c r="S39" s="614"/>
      <c r="T39" s="2"/>
    </row>
    <row r="40" spans="1:20" ht="15.75" customHeight="1">
      <c r="A40" s="74" t="s">
        <v>109</v>
      </c>
      <c r="B40" s="9" t="s">
        <v>9</v>
      </c>
      <c r="C40" s="20"/>
      <c r="D40" s="20"/>
      <c r="E40" s="19"/>
      <c r="F40" s="110">
        <v>0</v>
      </c>
      <c r="G40" s="18"/>
      <c r="H40" s="18">
        <f>F40+'28'!H40</f>
        <v>2292</v>
      </c>
      <c r="I40" s="17"/>
      <c r="J40" s="178">
        <v>0</v>
      </c>
      <c r="K40" s="67">
        <f>J40+'28'!K40</f>
        <v>2243</v>
      </c>
      <c r="L40" s="20"/>
      <c r="M40" s="76"/>
      <c r="N40" s="45"/>
      <c r="O40" s="1256"/>
      <c r="P40" s="1257"/>
      <c r="Q40" s="607"/>
      <c r="R40" s="602"/>
      <c r="S40" s="614"/>
      <c r="T40" s="2"/>
    </row>
    <row r="41" spans="1:20" ht="15.75" hidden="1" customHeight="1" outlineLevel="1">
      <c r="A41" s="74" t="s">
        <v>67</v>
      </c>
      <c r="B41" s="9" t="s">
        <v>9</v>
      </c>
      <c r="C41" s="20"/>
      <c r="D41" s="20"/>
      <c r="E41" s="19"/>
      <c r="F41" s="18"/>
      <c r="G41" s="18"/>
      <c r="H41" s="18">
        <f>F41+'28'!H41</f>
        <v>0</v>
      </c>
      <c r="I41" s="17"/>
      <c r="J41" s="192"/>
      <c r="K41" s="67">
        <f>J41+'28'!K41</f>
        <v>0</v>
      </c>
      <c r="L41" s="20"/>
      <c r="M41" s="76"/>
      <c r="N41" s="45"/>
      <c r="O41" s="1332"/>
      <c r="P41" s="1333"/>
      <c r="Q41" s="607"/>
      <c r="R41" s="602"/>
      <c r="S41" s="614"/>
      <c r="T41" s="2"/>
    </row>
    <row r="42" spans="1:20" ht="15.75" hidden="1" customHeight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F42+'28'!H42</f>
        <v>0</v>
      </c>
      <c r="I42" s="17"/>
      <c r="J42" s="949"/>
      <c r="K42" s="239">
        <f>J42+'28'!K42</f>
        <v>0</v>
      </c>
      <c r="L42" s="20"/>
      <c r="M42" s="76"/>
      <c r="N42" s="45"/>
      <c r="O42" s="1256"/>
      <c r="P42" s="1257"/>
      <c r="Q42" s="607"/>
      <c r="R42" s="602"/>
      <c r="S42" s="614"/>
      <c r="T42" s="2"/>
    </row>
    <row r="43" spans="1:20" ht="15.75" customHeight="1" collapsed="1">
      <c r="A43" s="74" t="s">
        <v>63</v>
      </c>
      <c r="B43" s="9" t="s">
        <v>9</v>
      </c>
      <c r="C43" s="20">
        <f>'01'!C43</f>
        <v>96601.878796744204</v>
      </c>
      <c r="D43" s="20"/>
      <c r="E43" s="312">
        <f>C43/30</f>
        <v>3220.06262655814</v>
      </c>
      <c r="F43" s="110">
        <v>0</v>
      </c>
      <c r="G43" s="18">
        <f>E43+'28'!G43</f>
        <v>93381.816170186023</v>
      </c>
      <c r="H43" s="18">
        <f>F43+'28'!H43</f>
        <v>8403.7999999999993</v>
      </c>
      <c r="I43" s="17">
        <f>IFERROR((H43/G43),0)</f>
        <v>8.9993966113105839E-2</v>
      </c>
      <c r="J43" s="949">
        <f>F43</f>
        <v>0</v>
      </c>
      <c r="K43" s="239">
        <f>J43+'28'!K43</f>
        <v>8403.7999999999993</v>
      </c>
      <c r="L43" s="20">
        <f>D43+H43-K43</f>
        <v>0</v>
      </c>
      <c r="M43" s="76"/>
      <c r="N43" s="45"/>
      <c r="O43" s="1256"/>
      <c r="P43" s="1257"/>
      <c r="Q43" s="607"/>
      <c r="R43" s="602"/>
      <c r="S43" s="614"/>
      <c r="T43" s="2"/>
    </row>
    <row r="44" spans="1:20" s="4" customFormat="1">
      <c r="A44" s="74" t="s">
        <v>40</v>
      </c>
      <c r="B44" s="9" t="s">
        <v>9</v>
      </c>
      <c r="C44" s="20">
        <f>'01'!C44</f>
        <v>40846.933088751408</v>
      </c>
      <c r="D44" s="20">
        <f>'01'!D44</f>
        <v>3759.4565289122183</v>
      </c>
      <c r="E44" s="707">
        <f>C44/30</f>
        <v>1361.5644362917135</v>
      </c>
      <c r="F44" s="110">
        <v>0</v>
      </c>
      <c r="G44" s="18">
        <f>E44+'28'!G44</f>
        <v>39485.368652459685</v>
      </c>
      <c r="H44" s="18">
        <f>F44+'28'!H44</f>
        <v>7255</v>
      </c>
      <c r="I44" s="17">
        <f>IFERROR((H44/G44),0)</f>
        <v>0.18373894552832193</v>
      </c>
      <c r="J44" s="178">
        <v>0</v>
      </c>
      <c r="K44" s="67">
        <f>J44+'28'!K44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2"/>
    </row>
    <row r="45" spans="1:20" s="4" customFormat="1" hidden="1" outlineLevel="1">
      <c r="A45" s="74" t="s">
        <v>70</v>
      </c>
      <c r="B45" s="9"/>
      <c r="C45" s="20"/>
      <c r="D45" s="20"/>
      <c r="E45" s="19"/>
      <c r="F45" s="18">
        <v>0</v>
      </c>
      <c r="G45" s="18"/>
      <c r="H45" s="18">
        <f>F45+'28'!H45</f>
        <v>0</v>
      </c>
      <c r="I45" s="17"/>
      <c r="J45" s="192"/>
      <c r="K45" s="67">
        <f>J45+'28'!K45</f>
        <v>0</v>
      </c>
      <c r="L45" s="20"/>
      <c r="M45" s="76"/>
      <c r="N45" s="45"/>
      <c r="O45" s="1256"/>
      <c r="P45" s="1257"/>
      <c r="Q45" s="607"/>
      <c r="R45" s="606"/>
      <c r="S45" s="614"/>
      <c r="T45" s="2"/>
    </row>
    <row r="46" spans="1:20" s="4" customFormat="1" hidden="1" outlineLevel="1">
      <c r="A46" s="74" t="s">
        <v>71</v>
      </c>
      <c r="B46" s="9"/>
      <c r="C46" s="20"/>
      <c r="D46" s="20"/>
      <c r="E46" s="19"/>
      <c r="F46" s="18"/>
      <c r="G46" s="18"/>
      <c r="H46" s="18">
        <f>F46+'28'!H46</f>
        <v>0</v>
      </c>
      <c r="I46" s="17"/>
      <c r="J46" s="192"/>
      <c r="K46" s="67">
        <f>J46+'28'!K46</f>
        <v>0</v>
      </c>
      <c r="L46" s="20"/>
      <c r="M46" s="76"/>
      <c r="N46" s="45"/>
      <c r="O46" s="1256"/>
      <c r="P46" s="1257"/>
      <c r="Q46" s="607"/>
      <c r="R46" s="606"/>
      <c r="S46" s="614"/>
      <c r="T46" s="2"/>
    </row>
    <row r="47" spans="1:20" s="4" customFormat="1" hidden="1" outlineLevel="1">
      <c r="A47" s="74" t="s">
        <v>72</v>
      </c>
      <c r="B47" s="9"/>
      <c r="C47" s="20"/>
      <c r="D47" s="20"/>
      <c r="E47" s="19"/>
      <c r="F47" s="18"/>
      <c r="G47" s="18"/>
      <c r="H47" s="18">
        <f>F47+'28'!H47</f>
        <v>0</v>
      </c>
      <c r="I47" s="17"/>
      <c r="J47" s="192"/>
      <c r="K47" s="67">
        <f>J47+'28'!K47</f>
        <v>0</v>
      </c>
      <c r="L47" s="20"/>
      <c r="M47" s="76"/>
      <c r="N47" s="45"/>
      <c r="O47" s="1256"/>
      <c r="P47" s="1257"/>
      <c r="Q47" s="607"/>
      <c r="R47" s="606"/>
      <c r="S47" s="614"/>
      <c r="T47" s="2"/>
    </row>
    <row r="48" spans="1:20" s="4" customFormat="1" collapsed="1">
      <c r="A48" s="74" t="s">
        <v>106</v>
      </c>
      <c r="B48" s="9" t="s">
        <v>9</v>
      </c>
      <c r="C48" s="20">
        <f>'01'!C48</f>
        <v>238663.46526254449</v>
      </c>
      <c r="D48" s="20">
        <f>'01'!D48</f>
        <v>14554.971764167974</v>
      </c>
      <c r="E48" s="19">
        <f>C48/30</f>
        <v>7955.4488420848165</v>
      </c>
      <c r="F48" s="110">
        <v>0</v>
      </c>
      <c r="G48" s="18">
        <f>E48+'28'!G48</f>
        <v>230708.01642045975</v>
      </c>
      <c r="H48" s="18">
        <f>F48+'28'!H48</f>
        <v>15244.370772189477</v>
      </c>
      <c r="I48" s="17">
        <f>IFERROR((H48/G48),0)</f>
        <v>6.6076467600531846E-2</v>
      </c>
      <c r="J48" s="750">
        <v>0</v>
      </c>
      <c r="K48" s="67">
        <f>J48+'28'!K48</f>
        <v>27730.381517661059</v>
      </c>
      <c r="L48" s="20">
        <f>D48+H48-K48</f>
        <v>2068.961018696391</v>
      </c>
      <c r="M48" s="76"/>
      <c r="N48" s="45"/>
      <c r="O48" s="1256"/>
      <c r="P48" s="1257"/>
      <c r="Q48" s="607"/>
      <c r="R48" s="606"/>
      <c r="S48" s="614"/>
      <c r="T48" s="2"/>
    </row>
    <row r="49" spans="1:26" s="4" customFormat="1">
      <c r="A49" s="74" t="s">
        <v>107</v>
      </c>
      <c r="B49" s="9" t="s">
        <v>9</v>
      </c>
      <c r="C49" s="20">
        <f>'01'!C49</f>
        <v>256898.95024371953</v>
      </c>
      <c r="D49" s="20">
        <f>'01'!D49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234898.95024371953</v>
      </c>
      <c r="H49" s="18">
        <f>SUM(H50:H51)</f>
        <v>32176.186994748638</v>
      </c>
      <c r="I49" s="17">
        <f>IFERROR((H49/G49),0)</f>
        <v>0.13697884541997407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43"/>
      <c r="O49" s="1244"/>
      <c r="P49" s="1245"/>
      <c r="Q49" s="608"/>
      <c r="R49" s="606"/>
      <c r="S49" s="602"/>
      <c r="T49" s="2"/>
    </row>
    <row r="50" spans="1:26">
      <c r="A50" s="123" t="s">
        <v>61</v>
      </c>
      <c r="B50" s="9" t="s">
        <v>9</v>
      </c>
      <c r="C50" s="20">
        <f>'01'!C50</f>
        <v>0</v>
      </c>
      <c r="D50" s="20">
        <f>'01'!D50</f>
        <v>2323.23</v>
      </c>
      <c r="E50" s="19">
        <v>0</v>
      </c>
      <c r="F50" s="18"/>
      <c r="G50" s="18">
        <f>E50+'28'!G50</f>
        <v>0</v>
      </c>
      <c r="H50" s="18">
        <f>F50+'28'!H50</f>
        <v>0</v>
      </c>
      <c r="I50" s="17">
        <f>IFERROR((H50/G50),0)</f>
        <v>0</v>
      </c>
      <c r="J50" s="192"/>
      <c r="K50" s="67">
        <f>J50+'28'!K50</f>
        <v>0</v>
      </c>
      <c r="L50" s="20">
        <f>D50+H50-K50+M50</f>
        <v>2323.23</v>
      </c>
      <c r="M50" s="410"/>
      <c r="N50" s="43"/>
      <c r="O50" s="1244"/>
      <c r="P50" s="1245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'01'!C51</f>
        <v>256898.95024371953</v>
      </c>
      <c r="D51" s="20">
        <f>'01'!D51</f>
        <v>4567.1619969842723</v>
      </c>
      <c r="E51" s="134">
        <v>11000</v>
      </c>
      <c r="F51" s="110">
        <v>0</v>
      </c>
      <c r="G51" s="18">
        <f>E51+'28'!G51</f>
        <v>234898.95024371953</v>
      </c>
      <c r="H51" s="18">
        <f>F51+'28'!H51</f>
        <v>32176.186994748638</v>
      </c>
      <c r="I51" s="17">
        <f>IFERROR((H51/G51),0)</f>
        <v>0.13697884541997407</v>
      </c>
      <c r="J51" s="192">
        <f>O51-P51</f>
        <v>0</v>
      </c>
      <c r="K51" s="67">
        <f>J51+'28'!K51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26" t="s">
        <v>9</v>
      </c>
      <c r="C52" s="20">
        <f>'01'!C52</f>
        <v>0</v>
      </c>
      <c r="D52" s="20">
        <f>'01'!D52</f>
        <v>0</v>
      </c>
      <c r="E52" s="48"/>
      <c r="F52" s="24"/>
      <c r="G52" s="24"/>
      <c r="H52" s="24"/>
      <c r="I52" s="23"/>
      <c r="J52" s="946"/>
      <c r="K52" s="47"/>
      <c r="L52" s="25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'01'!C53</f>
        <v>0</v>
      </c>
      <c r="D53" s="20">
        <f>'01'!D53</f>
        <v>0</v>
      </c>
      <c r="E53" s="240">
        <f t="shared" ref="E53:E58" si="3">C53/$Q$2</f>
        <v>0</v>
      </c>
      <c r="F53" s="73">
        <v>0</v>
      </c>
      <c r="G53" s="18">
        <f>E53+'28'!G53</f>
        <v>0</v>
      </c>
      <c r="H53" s="18">
        <f>F53+'28'!H53</f>
        <v>0</v>
      </c>
      <c r="I53" s="957">
        <f t="shared" ref="I53:I58" si="4">IFERROR((H53/G53),0)</f>
        <v>0</v>
      </c>
      <c r="J53" s="754"/>
      <c r="K53" s="67">
        <f>J53+'28'!K53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'01'!C54</f>
        <v>10000</v>
      </c>
      <c r="D54" s="20">
        <f>'01'!D54</f>
        <v>13684.915881223626</v>
      </c>
      <c r="E54" s="240">
        <f t="shared" si="3"/>
        <v>322.58064516129031</v>
      </c>
      <c r="F54" s="73">
        <v>0</v>
      </c>
      <c r="G54" s="18">
        <f>E54+'28'!G54</f>
        <v>9354.8387096774222</v>
      </c>
      <c r="H54" s="18">
        <f>F54+'28'!H54</f>
        <v>0</v>
      </c>
      <c r="I54" s="957">
        <f t="shared" si="4"/>
        <v>0</v>
      </c>
      <c r="J54" s="754">
        <v>0</v>
      </c>
      <c r="K54" s="239">
        <f>J54+'28'!K54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'01'!C55</f>
        <v>17000</v>
      </c>
      <c r="D55" s="20">
        <f>'01'!D55</f>
        <v>3999.5665967852347</v>
      </c>
      <c r="E55" s="240">
        <f t="shared" si="3"/>
        <v>548.38709677419354</v>
      </c>
      <c r="F55" s="73">
        <v>0</v>
      </c>
      <c r="G55" s="18">
        <f>E55+'28'!G55</f>
        <v>15903.225806451606</v>
      </c>
      <c r="H55" s="18">
        <f>F55+'28'!H55</f>
        <v>0</v>
      </c>
      <c r="I55" s="957">
        <f t="shared" si="4"/>
        <v>0</v>
      </c>
      <c r="J55" s="754">
        <v>0</v>
      </c>
      <c r="K55" s="67">
        <f>J55+'28'!K55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'01'!C56</f>
        <v>0</v>
      </c>
      <c r="D56" s="20">
        <f>'01'!D56</f>
        <v>0</v>
      </c>
      <c r="E56" s="240">
        <f t="shared" si="3"/>
        <v>0</v>
      </c>
      <c r="F56" s="73">
        <v>0</v>
      </c>
      <c r="G56" s="18">
        <f>E56+'28'!G56</f>
        <v>0</v>
      </c>
      <c r="H56" s="18">
        <f>F56+'28'!H56</f>
        <v>0</v>
      </c>
      <c r="I56" s="957">
        <f t="shared" si="4"/>
        <v>0</v>
      </c>
      <c r="J56" s="624"/>
      <c r="K56" s="67">
        <f>J56+'28'!K56</f>
        <v>0</v>
      </c>
      <c r="L56" s="60">
        <f t="shared" si="5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'01'!C57</f>
        <v>0</v>
      </c>
      <c r="D57" s="20">
        <f>'01'!D57</f>
        <v>178.07499999999999</v>
      </c>
      <c r="E57" s="240">
        <f t="shared" si="3"/>
        <v>0</v>
      </c>
      <c r="F57" s="73">
        <v>0</v>
      </c>
      <c r="G57" s="18">
        <f>E57+'28'!G57</f>
        <v>0</v>
      </c>
      <c r="H57" s="18">
        <f>F57+'28'!H57</f>
        <v>0</v>
      </c>
      <c r="I57" s="957">
        <f t="shared" si="4"/>
        <v>0</v>
      </c>
      <c r="J57" s="624"/>
      <c r="K57" s="67">
        <f>J57+'28'!K57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'01'!C58</f>
        <v>0</v>
      </c>
      <c r="D58" s="20">
        <f>'01'!D58</f>
        <v>3480.6937513418743</v>
      </c>
      <c r="E58" s="240">
        <f t="shared" si="3"/>
        <v>0</v>
      </c>
      <c r="F58" s="73">
        <v>0</v>
      </c>
      <c r="G58" s="18">
        <f>E58+'28'!G58</f>
        <v>0</v>
      </c>
      <c r="H58" s="18">
        <f>F58+'28'!H58</f>
        <v>0</v>
      </c>
      <c r="I58" s="957">
        <f t="shared" si="4"/>
        <v>0</v>
      </c>
      <c r="J58" s="754">
        <v>0</v>
      </c>
      <c r="K58" s="67">
        <f>J58+'28'!K58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'01'!D59</f>
        <v>4269.0880030013104</v>
      </c>
      <c r="E59" s="240"/>
      <c r="F59" s="73">
        <v>0</v>
      </c>
      <c r="G59" s="18"/>
      <c r="H59" s="18">
        <f>F59+'28'!H59</f>
        <v>0</v>
      </c>
      <c r="I59" s="957"/>
      <c r="J59" s="754"/>
      <c r="K59" s="67">
        <f>J59+'28'!K59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F60+'28'!H60</f>
        <v>0</v>
      </c>
      <c r="I60" s="957"/>
      <c r="J60" s="754"/>
      <c r="K60" s="67">
        <f>J60+'28'!K60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'01'!D61</f>
        <v>1063.653</v>
      </c>
      <c r="E61" s="240"/>
      <c r="F61" s="73"/>
      <c r="G61" s="18"/>
      <c r="H61" s="18">
        <f>F61+'28'!H61</f>
        <v>0</v>
      </c>
      <c r="I61" s="957"/>
      <c r="J61" s="624">
        <f>D139+D141</f>
        <v>0</v>
      </c>
      <c r="K61" s="67">
        <f>J61+'28'!K61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'01'!D62</f>
        <v>1531.7249999999999</v>
      </c>
      <c r="E62" s="529"/>
      <c r="F62" s="530">
        <v>0</v>
      </c>
      <c r="G62" s="531"/>
      <c r="H62" s="18">
        <f>F62+'28'!H62</f>
        <v>0</v>
      </c>
      <c r="I62" s="532"/>
      <c r="J62" s="754">
        <v>0</v>
      </c>
      <c r="K62" s="528">
        <f>J62+'28'!K62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'01'!C63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F63+'28'!H63</f>
        <v>3329.1499999999996</v>
      </c>
      <c r="I63" s="1064"/>
      <c r="J63" s="1065">
        <v>0</v>
      </c>
      <c r="K63" s="1066">
        <f>J63+'28'!K63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'01'!D64</f>
        <v>452.58776173652768</v>
      </c>
      <c r="E64" s="529"/>
      <c r="F64" s="530"/>
      <c r="G64" s="531"/>
      <c r="H64" s="18">
        <f>F64+'28'!H64</f>
        <v>0</v>
      </c>
      <c r="I64" s="532"/>
      <c r="J64" s="624"/>
      <c r="K64" s="528">
        <f>J64+'28'!K64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'01'!D65</f>
        <v>0</v>
      </c>
      <c r="E65" s="240"/>
      <c r="F65" s="73"/>
      <c r="G65" s="18"/>
      <c r="H65" s="18">
        <f>F65+'28'!H65</f>
        <v>0</v>
      </c>
      <c r="I65" s="957"/>
      <c r="J65" s="624"/>
      <c r="K65" s="67">
        <f>J65+'28'!K65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'01'!D66</f>
        <v>0</v>
      </c>
      <c r="E66" s="240"/>
      <c r="F66" s="73"/>
      <c r="G66" s="18"/>
      <c r="H66" s="18">
        <f>F66+'28'!H66</f>
        <v>0</v>
      </c>
      <c r="I66" s="957"/>
      <c r="J66" s="624"/>
      <c r="K66" s="67">
        <f>J66+'28'!K66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'01'!D67</f>
        <v>243.8</v>
      </c>
      <c r="E67" s="240"/>
      <c r="F67" s="73"/>
      <c r="G67" s="18"/>
      <c r="H67" s="18">
        <f>F67+'28'!H67</f>
        <v>0</v>
      </c>
      <c r="I67" s="957"/>
      <c r="J67" s="624"/>
      <c r="K67" s="67">
        <f>J67+'28'!K67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15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'01'!D68</f>
        <v>0</v>
      </c>
      <c r="E68" s="240"/>
      <c r="F68" s="73"/>
      <c r="G68" s="18"/>
      <c r="H68" s="18">
        <f>F68+'28'!H68</f>
        <v>0</v>
      </c>
      <c r="I68" s="957"/>
      <c r="J68" s="624"/>
      <c r="K68" s="67">
        <f>J68+'28'!K68</f>
        <v>0</v>
      </c>
      <c r="L68" s="60">
        <f t="shared" si="6"/>
        <v>0</v>
      </c>
      <c r="M68" s="579"/>
      <c r="N68" s="580"/>
      <c r="O68" s="1278"/>
      <c r="P68" s="1279"/>
      <c r="Q68" s="58"/>
      <c r="S68" s="615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'01'!D69</f>
        <v>-14212.944176010715</v>
      </c>
      <c r="E69" s="240"/>
      <c r="F69" s="73"/>
      <c r="G69" s="18"/>
      <c r="H69" s="18">
        <f>F69+'28'!H69</f>
        <v>0</v>
      </c>
      <c r="I69" s="957"/>
      <c r="J69" s="755">
        <v>0</v>
      </c>
      <c r="K69" s="67">
        <f>J69+'28'!K69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15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'01'!D70</f>
        <v>17922.173606304772</v>
      </c>
      <c r="E70" s="240"/>
      <c r="F70" s="73">
        <v>0</v>
      </c>
      <c r="G70" s="18"/>
      <c r="H70" s="18">
        <f>F70+'28'!H70</f>
        <v>3329.1499999999996</v>
      </c>
      <c r="I70" s="957"/>
      <c r="J70" s="624"/>
      <c r="K70" s="67">
        <f>J70+'28'!K70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15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'01'!D71</f>
        <v>0</v>
      </c>
      <c r="E71" s="240"/>
      <c r="F71" s="73"/>
      <c r="G71" s="18"/>
      <c r="H71" s="18">
        <f>F71+'28'!H71</f>
        <v>0</v>
      </c>
      <c r="I71" s="957"/>
      <c r="J71" s="624"/>
      <c r="K71" s="67">
        <f>J71+'28'!K71</f>
        <v>0</v>
      </c>
      <c r="L71" s="60">
        <f t="shared" si="6"/>
        <v>0</v>
      </c>
      <c r="M71" s="579"/>
      <c r="N71" s="580"/>
      <c r="O71" s="1290"/>
      <c r="P71" s="1279"/>
      <c r="Q71" s="58"/>
      <c r="S71" s="839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'01'!D72</f>
        <v>145.84215184813729</v>
      </c>
      <c r="E72" s="389"/>
      <c r="F72" s="390">
        <f>N82</f>
        <v>0</v>
      </c>
      <c r="G72" s="391"/>
      <c r="H72" s="391">
        <f>F72+'28'!H72</f>
        <v>1911.376034856974</v>
      </c>
      <c r="I72" s="392"/>
      <c r="J72" s="952">
        <f>K131</f>
        <v>0</v>
      </c>
      <c r="K72" s="396">
        <f>J72+'28'!K72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15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'01'!D73</f>
        <v>0</v>
      </c>
      <c r="E73" s="814"/>
      <c r="F73" s="815"/>
      <c r="G73" s="816"/>
      <c r="H73" s="816">
        <f>F73+'28'!H73</f>
        <v>0</v>
      </c>
      <c r="I73" s="817"/>
      <c r="J73" s="814"/>
      <c r="K73" s="818">
        <f>J73+'28'!K73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15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15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15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15"/>
      <c r="T76" s="2"/>
    </row>
    <row r="77" spans="1:20" ht="16.5" thickBot="1">
      <c r="A77" s="1382" t="s">
        <v>30</v>
      </c>
      <c r="B77" s="1383"/>
      <c r="C77" s="1383"/>
      <c r="D77" s="1383"/>
      <c r="E77" s="1383"/>
      <c r="F77" s="1383"/>
      <c r="G77" s="1383"/>
      <c r="H77" s="1383"/>
      <c r="I77" s="1383"/>
      <c r="J77" s="1383"/>
      <c r="K77" s="1383"/>
      <c r="L77" s="1383"/>
      <c r="M77" s="1383"/>
      <c r="N77" s="1383"/>
      <c r="O77" s="1383"/>
      <c r="P77" s="1384"/>
      <c r="Q77" s="40"/>
      <c r="S77" s="602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2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8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717">
        <f>24*29-K80</f>
        <v>696</v>
      </c>
      <c r="M80" s="36">
        <f>K80/(24*29)</f>
        <v>0</v>
      </c>
      <c r="N80" s="965"/>
      <c r="O80" s="302">
        <f>N80+'28'!O80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717">
        <f>24*29-K81</f>
        <v>696</v>
      </c>
      <c r="M81" s="36">
        <f t="shared" ref="M81:M94" si="11">K81/(24*29)</f>
        <v>0</v>
      </c>
      <c r="N81" s="965"/>
      <c r="O81" s="302">
        <f>N81+'28'!O81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37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F82+'28'!K82</f>
        <v>43.903888888888886</v>
      </c>
      <c r="L82" s="192">
        <f>24*29-K82</f>
        <v>652.0961111111111</v>
      </c>
      <c r="M82" s="36">
        <f t="shared" si="11"/>
        <v>6.3080300127713915E-2</v>
      </c>
      <c r="N82" s="716">
        <v>0</v>
      </c>
      <c r="O82" s="303">
        <f>N82+'28'!O82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37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F83+'28'!K83</f>
        <v>64.575555555555553</v>
      </c>
      <c r="L83" s="192">
        <f>G83+'28'!L83</f>
        <v>631.42444444444448</v>
      </c>
      <c r="M83" s="36">
        <f t="shared" si="11"/>
        <v>9.2780970625798209E-2</v>
      </c>
      <c r="N83" s="716">
        <v>0</v>
      </c>
      <c r="O83" s="303">
        <f>N83+'28'!O83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F84+'28'!K84</f>
        <v>64.977499999999992</v>
      </c>
      <c r="L84" s="192">
        <f>G84+'28'!L84</f>
        <v>631.02250000000004</v>
      </c>
      <c r="M84" s="36">
        <f t="shared" si="11"/>
        <v>9.3358477011494245E-2</v>
      </c>
      <c r="N84" s="716">
        <v>0</v>
      </c>
      <c r="O84" s="303">
        <f>N84+'28'!O84</f>
        <v>16874.071396806572</v>
      </c>
      <c r="P84" s="711"/>
      <c r="Q84" s="34">
        <v>127.08333333333333</v>
      </c>
      <c r="R84" s="34">
        <v>127.08333333333333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2"/>
        <v>0</v>
      </c>
      <c r="E85" s="17">
        <f t="shared" si="7"/>
        <v>0</v>
      </c>
      <c r="F85" s="134">
        <v>0</v>
      </c>
      <c r="G85" s="1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 t="e">
        <f>F85+'28'!K85</f>
        <v>#REF!</v>
      </c>
      <c r="L85" s="192" t="e">
        <f>G85+'28'!L85</f>
        <v>#REF!</v>
      </c>
      <c r="M85" s="36" t="e">
        <f>K85/(24*12)</f>
        <v>#REF!</v>
      </c>
      <c r="N85" s="965">
        <v>0</v>
      </c>
      <c r="O85" s="302" t="e">
        <f>N85+'28'!O85</f>
        <v>#REF!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1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F86+'28'!K86</f>
        <v>0</v>
      </c>
      <c r="L86" s="192">
        <f>G86+'28'!L86</f>
        <v>672</v>
      </c>
      <c r="M86" s="36">
        <f>K86/(24*12)</f>
        <v>0</v>
      </c>
      <c r="N86" s="965">
        <v>0</v>
      </c>
      <c r="O86" s="303">
        <f>N86+'28'!O86</f>
        <v>0</v>
      </c>
      <c r="P86" s="71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0">
        <f>'01'!C87</f>
        <v>0</v>
      </c>
      <c r="D87" s="134">
        <f t="shared" si="12"/>
        <v>0</v>
      </c>
      <c r="E87" s="17">
        <f>IFERROR(D87/C87,0)</f>
        <v>0</v>
      </c>
      <c r="F87" s="134">
        <v>0</v>
      </c>
      <c r="G87" s="18">
        <f>24-F87</f>
        <v>24</v>
      </c>
      <c r="H87" s="17">
        <f t="shared" si="9"/>
        <v>0</v>
      </c>
      <c r="I87" s="134">
        <f t="shared" si="13"/>
        <v>0</v>
      </c>
      <c r="J87" s="17">
        <f>IFERROR(I87/C87,0)</f>
        <v>0</v>
      </c>
      <c r="K87" s="19">
        <f>F87+'28'!K87</f>
        <v>0</v>
      </c>
      <c r="L87" s="192">
        <f>G87+'28'!L87</f>
        <v>672</v>
      </c>
      <c r="M87" s="36">
        <f>K87/(24*29)</f>
        <v>0</v>
      </c>
      <c r="N87" s="965">
        <v>0</v>
      </c>
      <c r="O87" s="302">
        <f>N87+'28'!O87</f>
        <v>0</v>
      </c>
      <c r="P87" s="71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0">
        <f>'01'!C88</f>
        <v>0</v>
      </c>
      <c r="D88" s="134">
        <f t="shared" si="12"/>
        <v>0</v>
      </c>
      <c r="E88" s="17">
        <f>IFERROR(D88/C88,0)</f>
        <v>0</v>
      </c>
      <c r="F88" s="134">
        <v>0</v>
      </c>
      <c r="G88" s="18">
        <f>24-F88</f>
        <v>24</v>
      </c>
      <c r="H88" s="17">
        <f t="shared" si="9"/>
        <v>0</v>
      </c>
      <c r="I88" s="134">
        <f t="shared" si="13"/>
        <v>0</v>
      </c>
      <c r="J88" s="17">
        <f>IFERROR(I88/C88,0)</f>
        <v>0</v>
      </c>
      <c r="K88" s="19">
        <f>F88+'28'!K88</f>
        <v>0</v>
      </c>
      <c r="L88" s="192">
        <f>G88+'28'!L88</f>
        <v>672</v>
      </c>
      <c r="M88" s="36">
        <f>K88/(24*29)</f>
        <v>0</v>
      </c>
      <c r="N88" s="716">
        <v>0</v>
      </c>
      <c r="O88" s="303">
        <f>N88+'28'!O88</f>
        <v>0</v>
      </c>
      <c r="P88" s="71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'01'!C89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ref="H89:H94" si="14">F89/24</f>
        <v>0</v>
      </c>
      <c r="I89" s="134">
        <f t="shared" si="13"/>
        <v>41.420860547642825</v>
      </c>
      <c r="J89" s="17">
        <f t="shared" si="10"/>
        <v>0.88129490526899623</v>
      </c>
      <c r="K89" s="19">
        <f>F89+'28'!K89</f>
        <v>1.6950000000000001</v>
      </c>
      <c r="L89" s="192">
        <f>G89+'28'!L89</f>
        <v>694.30500000000006</v>
      </c>
      <c r="M89" s="36">
        <f t="shared" si="11"/>
        <v>2.4353448275862069E-3</v>
      </c>
      <c r="N89" s="1001">
        <v>0</v>
      </c>
      <c r="O89" s="303">
        <f>N89+'28'!O89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'01'!C90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F90+'28'!K90</f>
        <v>32.664166666666674</v>
      </c>
      <c r="L90" s="192">
        <f>G90+'28'!L90</f>
        <v>663.33583333333331</v>
      </c>
      <c r="M90" s="36">
        <f t="shared" si="11"/>
        <v>4.6931273946360166E-2</v>
      </c>
      <c r="N90" s="1001">
        <v>0</v>
      </c>
      <c r="O90" s="303">
        <f>N90+'28'!O90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37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F91+'28'!K91</f>
        <v>0</v>
      </c>
      <c r="L91" s="192">
        <f>G91+'28'!L91</f>
        <v>696</v>
      </c>
      <c r="M91" s="36">
        <f t="shared" si="11"/>
        <v>0</v>
      </c>
      <c r="N91" s="716">
        <v>0</v>
      </c>
      <c r="O91" s="303">
        <f>N91+'28'!O91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19">
        <f>F92+'28'!K92</f>
        <v>71.521666666666675</v>
      </c>
      <c r="L92" s="192">
        <f>G92+'28'!L92</f>
        <v>624.47833333333335</v>
      </c>
      <c r="M92" s="36">
        <f t="shared" si="11"/>
        <v>0.10276101532567052</v>
      </c>
      <c r="N92" s="716">
        <v>0</v>
      </c>
      <c r="O92" s="303">
        <f>N92+'28'!O92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19">
        <f>F93+'28'!K93</f>
        <v>64.288611111111109</v>
      </c>
      <c r="L93" s="192">
        <f>G93+'28'!L93</f>
        <v>631.71138888888891</v>
      </c>
      <c r="M93" s="36">
        <f t="shared" si="11"/>
        <v>9.2368694125159634E-2</v>
      </c>
      <c r="N93" s="716">
        <v>0</v>
      </c>
      <c r="O93" s="303">
        <f>N93+'28'!O93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F94+'28'!K94</f>
        <v>32</v>
      </c>
      <c r="L94" s="874">
        <f>G94+'28'!L94</f>
        <v>664</v>
      </c>
      <c r="M94" s="873">
        <f t="shared" si="11"/>
        <v>4.5977011494252873E-2</v>
      </c>
      <c r="N94" s="966">
        <f>E111+E120+E121+E122</f>
        <v>0</v>
      </c>
      <c r="O94" s="871">
        <f>N94+'28'!O94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F95+'28'!K95</f>
        <v>7</v>
      </c>
      <c r="L95" s="709">
        <f>G95+'28'!L95</f>
        <v>689</v>
      </c>
      <c r="M95" s="712">
        <f>K95/(24*29)</f>
        <v>1.0057471264367816E-2</v>
      </c>
      <c r="N95" s="967">
        <f>E112+E114+E115+E118+E119</f>
        <v>0</v>
      </c>
      <c r="O95" s="713">
        <f>N95+'28'!O95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47" t="s">
        <v>3</v>
      </c>
      <c r="H99" s="12" t="s">
        <v>2</v>
      </c>
      <c r="I99" s="848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4698</v>
      </c>
      <c r="E100" s="30">
        <f>E101+E110</f>
        <v>0</v>
      </c>
      <c r="F100" s="29">
        <f t="shared" ref="F100:F114" si="15">IFERROR((E100/D100),0)</f>
        <v>0</v>
      </c>
      <c r="G100" s="51">
        <f>G101+G110</f>
        <v>184845</v>
      </c>
      <c r="H100" s="30">
        <f>H101+H110</f>
        <v>19708.249999999993</v>
      </c>
      <c r="I100" s="29">
        <f t="shared" ref="I100:I114" si="16">IFERROR((H100/G100),0)</f>
        <v>0.10662041169628604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4698</v>
      </c>
      <c r="E101" s="24">
        <f>SUM(E102:E109)</f>
        <v>0</v>
      </c>
      <c r="F101" s="23">
        <f t="shared" si="15"/>
        <v>0</v>
      </c>
      <c r="G101" s="555">
        <f>SUM(G102:G109)</f>
        <v>134340</v>
      </c>
      <c r="H101" s="24">
        <f>SUM(H102:H109)</f>
        <v>15844.349999999995</v>
      </c>
      <c r="I101" s="23">
        <f t="shared" si="16"/>
        <v>0.11794216167932109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D102+'28'!G102</f>
        <v>0</v>
      </c>
      <c r="H102" s="625">
        <f>E102+'28'!H102</f>
        <v>0</v>
      </c>
      <c r="I102" s="17">
        <f t="shared" si="16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290</v>
      </c>
      <c r="E103" s="166">
        <v>0</v>
      </c>
      <c r="F103" s="17">
        <f t="shared" si="15"/>
        <v>0</v>
      </c>
      <c r="G103" s="19">
        <f>D103+'28'!G103</f>
        <v>10610</v>
      </c>
      <c r="H103" s="625">
        <f>E103+'28'!H103</f>
        <v>0</v>
      </c>
      <c r="I103" s="17">
        <f t="shared" si="16"/>
        <v>0</v>
      </c>
      <c r="J103" s="1341"/>
      <c r="K103" s="1343"/>
      <c r="L103" s="247"/>
      <c r="M103" s="247"/>
      <c r="N103" s="247"/>
      <c r="O103" s="24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4196</v>
      </c>
      <c r="E104" s="110">
        <v>0</v>
      </c>
      <c r="F104" s="17">
        <f t="shared" si="15"/>
        <v>0</v>
      </c>
      <c r="G104" s="19">
        <f>D104+'28'!G104</f>
        <v>119292</v>
      </c>
      <c r="H104" s="625">
        <f>E104+'28'!H104</f>
        <v>12980.249999999995</v>
      </c>
      <c r="I104" s="17">
        <f t="shared" si="16"/>
        <v>0.10881073332662705</v>
      </c>
      <c r="J104" s="1341"/>
      <c r="K104" s="1343"/>
      <c r="L104" s="247"/>
      <c r="M104" s="247"/>
      <c r="N104" s="247"/>
      <c r="O104" s="247"/>
      <c r="P104" s="16"/>
      <c r="T104" s="2"/>
    </row>
    <row r="105" spans="1:20" outlineLevel="1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5"/>
        <v>0</v>
      </c>
      <c r="G105" s="19">
        <f>D105+'28'!G105</f>
        <v>0</v>
      </c>
      <c r="H105" s="625">
        <f>E105+'28'!H105</f>
        <v>475.6</v>
      </c>
      <c r="I105" s="17">
        <f t="shared" si="16"/>
        <v>0</v>
      </c>
      <c r="J105" s="1341"/>
      <c r="K105" s="1343"/>
      <c r="L105" s="16"/>
      <c r="M105" s="16"/>
      <c r="N105" s="247"/>
      <c r="O105" s="247"/>
      <c r="P105" s="16"/>
      <c r="Q105" s="6"/>
      <c r="T105" s="2"/>
    </row>
    <row r="106" spans="1:20" outlineLevel="1">
      <c r="A106" s="254" t="s">
        <v>254</v>
      </c>
      <c r="B106" s="9" t="s">
        <v>9</v>
      </c>
      <c r="C106" s="20">
        <f>'01'!C106</f>
        <v>0</v>
      </c>
      <c r="D106" s="19">
        <v>0</v>
      </c>
      <c r="E106" s="110">
        <v>0</v>
      </c>
      <c r="F106" s="17">
        <f t="shared" si="15"/>
        <v>0</v>
      </c>
      <c r="G106" s="19">
        <f>D106+'28'!G106</f>
        <v>0</v>
      </c>
      <c r="H106" s="625">
        <f>E106+'28'!H106</f>
        <v>1280.3</v>
      </c>
      <c r="I106" s="17">
        <f t="shared" si="16"/>
        <v>0</v>
      </c>
      <c r="J106" s="1341"/>
      <c r="K106" s="1343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9">
        <f>D107+'28'!G107</f>
        <v>0</v>
      </c>
      <c r="H107" s="625">
        <f>E107+'28'!H107</f>
        <v>0</v>
      </c>
      <c r="I107" s="17">
        <f t="shared" si="16"/>
        <v>0</v>
      </c>
      <c r="J107" s="1341"/>
      <c r="K107" s="1343"/>
      <c r="L107" s="247"/>
      <c r="M107" s="247"/>
      <c r="N107" s="247"/>
      <c r="O107" s="247"/>
      <c r="P107" s="16"/>
      <c r="T107" s="2"/>
    </row>
    <row r="108" spans="1:20">
      <c r="A108" s="246" t="s">
        <v>245</v>
      </c>
      <c r="B108" s="9" t="s">
        <v>9</v>
      </c>
      <c r="C108" s="20">
        <f>'01'!C108</f>
        <v>3558</v>
      </c>
      <c r="D108" s="134">
        <v>187</v>
      </c>
      <c r="E108" s="110">
        <v>0</v>
      </c>
      <c r="F108" s="17">
        <f t="shared" si="15"/>
        <v>0</v>
      </c>
      <c r="G108" s="19">
        <f>D108+'28'!G108</f>
        <v>3338</v>
      </c>
      <c r="H108" s="625">
        <f>E108+'28'!H108</f>
        <v>826.59999999999991</v>
      </c>
      <c r="I108" s="17">
        <f t="shared" si="16"/>
        <v>0.24763331336129416</v>
      </c>
      <c r="J108" s="807"/>
      <c r="K108" s="808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25</v>
      </c>
      <c r="E109" s="110">
        <v>0</v>
      </c>
      <c r="F109" s="17">
        <f t="shared" si="15"/>
        <v>0</v>
      </c>
      <c r="G109" s="19">
        <f>D109+'28'!G109</f>
        <v>1100</v>
      </c>
      <c r="H109" s="625">
        <f>E109+'28'!H109</f>
        <v>281.59999999999997</v>
      </c>
      <c r="I109" s="17">
        <f t="shared" si="16"/>
        <v>0.25599999999999995</v>
      </c>
      <c r="J109" s="807"/>
      <c r="K109" s="808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1675</v>
      </c>
      <c r="E110" s="24">
        <f>SUM(E111:E122)</f>
        <v>0</v>
      </c>
      <c r="F110" s="1054">
        <f>IFERROR((E110/D110),0)</f>
        <v>0</v>
      </c>
      <c r="G110" s="735">
        <f>SUM(G111:G122)</f>
        <v>50505</v>
      </c>
      <c r="H110" s="24">
        <f>SUM(H111:H122)</f>
        <v>3863.8999999999996</v>
      </c>
      <c r="I110" s="1054">
        <f>IFERROR((H110/G110),0)</f>
        <v>7.6505296505296499E-2</v>
      </c>
      <c r="J110" s="807"/>
      <c r="K110" s="808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D111+'28'!G111</f>
        <v>0</v>
      </c>
      <c r="H111" s="626">
        <f>E111+'28'!H111</f>
        <v>1026.1499999999999</v>
      </c>
      <c r="I111" s="17">
        <f>IFERROR((H111/G111),0)</f>
        <v>0</v>
      </c>
      <c r="J111" s="1341"/>
      <c r="K111" s="1343"/>
      <c r="L111" s="16"/>
      <c r="M111" s="15"/>
      <c r="N111" s="16"/>
      <c r="O111" s="16"/>
      <c r="P111" s="16"/>
      <c r="Q111" s="28"/>
      <c r="S111" s="1"/>
      <c r="T111" s="2"/>
    </row>
    <row r="112" spans="1:20">
      <c r="A112" s="254" t="s">
        <v>252</v>
      </c>
      <c r="B112" s="9" t="s">
        <v>9</v>
      </c>
      <c r="C112" s="20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D112+'28'!G112</f>
        <v>0</v>
      </c>
      <c r="H112" s="626">
        <f>E112+'28'!H112</f>
        <v>994.39999999999986</v>
      </c>
      <c r="I112" s="17">
        <f>IFERROR((H112/G112),0)</f>
        <v>0</v>
      </c>
      <c r="J112" s="1319"/>
      <c r="K112" s="1321"/>
      <c r="L112" s="16"/>
      <c r="M112" s="15"/>
      <c r="N112" s="247"/>
      <c r="O112" s="247"/>
      <c r="P112" s="16"/>
      <c r="T112" s="2"/>
    </row>
    <row r="113" spans="1:20">
      <c r="A113" s="254" t="s">
        <v>253</v>
      </c>
      <c r="B113" s="9" t="s">
        <v>9</v>
      </c>
      <c r="C113" s="20">
        <f>'01'!C113</f>
        <v>0</v>
      </c>
      <c r="D113" s="134">
        <v>0</v>
      </c>
      <c r="E113" s="110">
        <v>0</v>
      </c>
      <c r="F113" s="17">
        <f t="shared" si="15"/>
        <v>0</v>
      </c>
      <c r="G113" s="19">
        <f>D113+'28'!G113</f>
        <v>0</v>
      </c>
      <c r="H113" s="626">
        <f>E113+'28'!H113</f>
        <v>20</v>
      </c>
      <c r="I113" s="17">
        <f t="shared" si="16"/>
        <v>0</v>
      </c>
      <c r="J113" s="803"/>
      <c r="K113" s="804"/>
      <c r="L113" s="7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9" t="s">
        <v>9</v>
      </c>
      <c r="C114" s="20">
        <f>'01'!C114</f>
        <v>500</v>
      </c>
      <c r="D114" s="134">
        <v>16</v>
      </c>
      <c r="E114" s="301">
        <v>0</v>
      </c>
      <c r="F114" s="17">
        <f t="shared" si="15"/>
        <v>0</v>
      </c>
      <c r="G114" s="19">
        <f>D114+'28'!G114</f>
        <v>464</v>
      </c>
      <c r="H114" s="626">
        <f>E114+'28'!H114</f>
        <v>0</v>
      </c>
      <c r="I114" s="17">
        <f t="shared" si="16"/>
        <v>0</v>
      </c>
      <c r="J114" s="1319"/>
      <c r="K114" s="1321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>
        <f>IFERROR((E115/D115),0)</f>
        <v>0</v>
      </c>
      <c r="G115" s="19">
        <f>D115+'28'!G115</f>
        <v>0</v>
      </c>
      <c r="H115" s="626">
        <f>E115+'28'!H115</f>
        <v>0</v>
      </c>
      <c r="I115" s="17">
        <f>IFERROR((H115/G115),0)</f>
        <v>0</v>
      </c>
      <c r="J115" s="1341"/>
      <c r="K115" s="1343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ref="F116:F122" si="17">IFERROR((E116/D116),0)</f>
        <v>0</v>
      </c>
      <c r="G116" s="19">
        <f>D116+'28'!G116</f>
        <v>0</v>
      </c>
      <c r="H116" s="626">
        <f>E116+'28'!H116</f>
        <v>0</v>
      </c>
      <c r="I116" s="17">
        <f t="shared" ref="I116:I122" si="18">IFERROR((H116/G116),0)</f>
        <v>0</v>
      </c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7"/>
        <v>0</v>
      </c>
      <c r="G117" s="19">
        <f>D117+'28'!G117</f>
        <v>0</v>
      </c>
      <c r="H117" s="626">
        <f>E117+'28'!H117</f>
        <v>0</v>
      </c>
      <c r="I117" s="17">
        <f t="shared" si="18"/>
        <v>0</v>
      </c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345</v>
      </c>
      <c r="E118" s="110">
        <v>0</v>
      </c>
      <c r="F118" s="17">
        <f t="shared" si="17"/>
        <v>0</v>
      </c>
      <c r="G118" s="19">
        <f>D118+'28'!G118</f>
        <v>10055</v>
      </c>
      <c r="H118" s="626">
        <f>E118+'28'!H118</f>
        <v>0</v>
      </c>
      <c r="I118" s="17">
        <f t="shared" si="18"/>
        <v>0</v>
      </c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7"/>
        <v>0</v>
      </c>
      <c r="G119" s="19">
        <f>D119+'28'!G119</f>
        <v>0</v>
      </c>
      <c r="H119" s="626">
        <f>E119+'28'!H119</f>
        <v>0</v>
      </c>
      <c r="I119" s="17">
        <f t="shared" si="18"/>
        <v>0</v>
      </c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642</v>
      </c>
      <c r="E120" s="110">
        <v>0</v>
      </c>
      <c r="F120" s="17">
        <f t="shared" si="17"/>
        <v>0</v>
      </c>
      <c r="G120" s="19">
        <f>D120+'28'!G120</f>
        <v>21110</v>
      </c>
      <c r="H120" s="626">
        <f>E120+'28'!H120</f>
        <v>0</v>
      </c>
      <c r="I120" s="17">
        <f t="shared" si="18"/>
        <v>0</v>
      </c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>
        <f t="shared" si="17"/>
        <v>0</v>
      </c>
      <c r="G121" s="19">
        <f>D121+'28'!G121</f>
        <v>1360</v>
      </c>
      <c r="H121" s="626">
        <f>E121+'28'!H121</f>
        <v>0</v>
      </c>
      <c r="I121" s="17">
        <f t="shared" si="18"/>
        <v>0</v>
      </c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672</v>
      </c>
      <c r="E122" s="110">
        <v>0</v>
      </c>
      <c r="F122" s="17">
        <f t="shared" si="17"/>
        <v>0</v>
      </c>
      <c r="G122" s="19">
        <f>D122+'28'!G122</f>
        <v>17516</v>
      </c>
      <c r="H122" s="626">
        <f>E122+'28'!H122</f>
        <v>1823.35</v>
      </c>
      <c r="I122" s="17">
        <f t="shared" si="18"/>
        <v>0.10409625485270609</v>
      </c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3" t="s">
        <v>4</v>
      </c>
      <c r="H124" s="1303"/>
      <c r="I124" s="1304"/>
      <c r="J124" s="775" t="s">
        <v>89</v>
      </c>
      <c r="K124" s="774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13" t="s">
        <v>3</v>
      </c>
      <c r="H125" s="12" t="s">
        <v>2</v>
      </c>
      <c r="I125" s="776" t="s">
        <v>1</v>
      </c>
      <c r="J125" s="357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0</v>
      </c>
      <c r="F126" s="356">
        <f>IFERROR(E126/D126,0)</f>
        <v>0</v>
      </c>
      <c r="G126" s="204">
        <v>40.5</v>
      </c>
      <c r="H126" s="200">
        <v>48.03457094579894</v>
      </c>
      <c r="I126" s="356">
        <f>IFERROR(H126/G126,0)</f>
        <v>1.1860387887851591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0</v>
      </c>
      <c r="F127" s="356">
        <f t="shared" ref="F127:F132" si="19">IFERROR(E127/D127,0)</f>
        <v>0</v>
      </c>
      <c r="G127" s="204">
        <v>17</v>
      </c>
      <c r="H127" s="200">
        <v>19.800760022182299</v>
      </c>
      <c r="I127" s="356">
        <f t="shared" ref="I127:I132" si="20">IFERROR(H127/G127,0)</f>
        <v>1.1647505895401353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9"/>
        <v>0</v>
      </c>
      <c r="G128" s="267">
        <v>3</v>
      </c>
      <c r="H128" s="256">
        <f>P132</f>
        <v>2.7306506005953359</v>
      </c>
      <c r="I128" s="157">
        <f t="shared" si="20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0</v>
      </c>
      <c r="F129" s="157">
        <f t="shared" si="19"/>
        <v>0</v>
      </c>
      <c r="G129" s="204">
        <v>21</v>
      </c>
      <c r="H129" s="200">
        <v>23.444891210443132</v>
      </c>
      <c r="I129" s="157">
        <f t="shared" si="20"/>
        <v>1.1164233909734824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0</v>
      </c>
      <c r="F130" s="157">
        <f t="shared" si="19"/>
        <v>0</v>
      </c>
      <c r="G130" s="204">
        <v>42</v>
      </c>
      <c r="H130" s="200">
        <v>7.9243687734185793</v>
      </c>
      <c r="I130" s="157">
        <f t="shared" si="20"/>
        <v>0.18867544698615665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0</v>
      </c>
      <c r="F131" s="157">
        <f t="shared" si="19"/>
        <v>0</v>
      </c>
      <c r="G131" s="204">
        <v>35</v>
      </c>
      <c r="H131" s="200">
        <v>39.105384195018161</v>
      </c>
      <c r="I131" s="157">
        <f t="shared" si="20"/>
        <v>1.1172966912862332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0</v>
      </c>
      <c r="F132" s="684">
        <f t="shared" si="19"/>
        <v>0</v>
      </c>
      <c r="G132" s="688">
        <v>100.69</v>
      </c>
      <c r="H132" s="683">
        <v>94.039223791181684</v>
      </c>
      <c r="I132" s="684">
        <f t="shared" si="20"/>
        <v>0.93394799673434981</v>
      </c>
      <c r="N132" s="727" t="s">
        <v>188</v>
      </c>
      <c r="O132" s="704">
        <f>O131+'28'!O132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126381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21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2">IFERROR(C139/$B$139,0)</f>
        <v>0</v>
      </c>
      <c r="D140" s="335">
        <f t="shared" si="22"/>
        <v>0</v>
      </c>
      <c r="E140" s="335">
        <f t="shared" si="22"/>
        <v>0</v>
      </c>
      <c r="F140" s="335">
        <f t="shared" si="22"/>
        <v>0</v>
      </c>
      <c r="G140" s="335">
        <f t="shared" si="22"/>
        <v>0</v>
      </c>
      <c r="H140" s="335">
        <f t="shared" si="22"/>
        <v>0</v>
      </c>
      <c r="I140" s="326">
        <f t="shared" si="21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21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3">IFERROR(C141/$B$141,0)</f>
        <v>0</v>
      </c>
      <c r="D142" s="335">
        <f t="shared" si="23"/>
        <v>0</v>
      </c>
      <c r="E142" s="335">
        <f t="shared" si="23"/>
        <v>0</v>
      </c>
      <c r="F142" s="335">
        <f t="shared" si="23"/>
        <v>0</v>
      </c>
      <c r="G142" s="335">
        <f t="shared" si="23"/>
        <v>0</v>
      </c>
      <c r="H142" s="335">
        <f t="shared" si="23"/>
        <v>0</v>
      </c>
      <c r="I142" s="326">
        <f t="shared" si="21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21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243752</v>
      </c>
    </row>
    <row r="144" spans="1:20" ht="16.5" thickBot="1">
      <c r="A144" s="321"/>
      <c r="B144" s="336"/>
      <c r="C144" s="335">
        <f t="shared" ref="C144:H144" si="24">IFERROR(C143/$B$143,0)</f>
        <v>0</v>
      </c>
      <c r="D144" s="335">
        <f t="shared" si="24"/>
        <v>0</v>
      </c>
      <c r="E144" s="335">
        <f t="shared" si="24"/>
        <v>0</v>
      </c>
      <c r="F144" s="335">
        <f t="shared" si="24"/>
        <v>0</v>
      </c>
      <c r="G144" s="335">
        <f t="shared" si="24"/>
        <v>0</v>
      </c>
      <c r="H144" s="335">
        <f t="shared" si="24"/>
        <v>0</v>
      </c>
      <c r="I144" s="326">
        <f t="shared" si="21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21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5">IFERROR(C145/$B$145,0)</f>
        <v>0</v>
      </c>
      <c r="D146" s="335">
        <f t="shared" si="25"/>
        <v>0</v>
      </c>
      <c r="E146" s="335">
        <f t="shared" si="25"/>
        <v>0</v>
      </c>
      <c r="F146" s="335">
        <f t="shared" si="25"/>
        <v>0</v>
      </c>
      <c r="G146" s="335">
        <f t="shared" si="25"/>
        <v>0</v>
      </c>
      <c r="H146" s="335">
        <f t="shared" si="25"/>
        <v>0</v>
      </c>
      <c r="I146" s="326">
        <f t="shared" si="21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21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6">IFERROR(C147/$B$147,0)</f>
        <v>0</v>
      </c>
      <c r="D148" s="335">
        <f t="shared" si="26"/>
        <v>0</v>
      </c>
      <c r="E148" s="335">
        <f t="shared" si="26"/>
        <v>0</v>
      </c>
      <c r="F148" s="335">
        <f t="shared" si="26"/>
        <v>0</v>
      </c>
      <c r="G148" s="335">
        <f t="shared" si="26"/>
        <v>0</v>
      </c>
      <c r="H148" s="335">
        <f t="shared" si="26"/>
        <v>0</v>
      </c>
      <c r="I148" s="326">
        <f t="shared" si="21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7">B139+B141+B143+B145+B147</f>
        <v>0</v>
      </c>
      <c r="C149" s="460">
        <f t="shared" si="27"/>
        <v>0</v>
      </c>
      <c r="D149" s="323">
        <f t="shared" si="27"/>
        <v>0</v>
      </c>
      <c r="E149" s="323">
        <f>E139+E141+E143+E145+E147</f>
        <v>0</v>
      </c>
      <c r="F149" s="460">
        <f t="shared" si="27"/>
        <v>0</v>
      </c>
      <c r="G149" s="460">
        <f t="shared" si="27"/>
        <v>0</v>
      </c>
      <c r="H149" s="460">
        <f t="shared" si="27"/>
        <v>0</v>
      </c>
      <c r="I149" s="461">
        <f t="shared" si="27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8">IFERROR(C149/$B$149,0)</f>
        <v>0</v>
      </c>
      <c r="D150" s="346">
        <f t="shared" si="28"/>
        <v>0</v>
      </c>
      <c r="E150" s="346">
        <f t="shared" si="28"/>
        <v>0</v>
      </c>
      <c r="F150" s="346">
        <f t="shared" si="28"/>
        <v>0</v>
      </c>
      <c r="G150" s="346">
        <f t="shared" si="28"/>
        <v>0</v>
      </c>
      <c r="H150" s="346">
        <f t="shared" si="28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J143:J144"/>
    <mergeCell ref="J145:J146"/>
    <mergeCell ref="J147:J148"/>
    <mergeCell ref="A96:K96"/>
    <mergeCell ref="A97:A99"/>
    <mergeCell ref="J97:K98"/>
    <mergeCell ref="J114:K114"/>
    <mergeCell ref="A124:A125"/>
    <mergeCell ref="B124:B125"/>
    <mergeCell ref="C124:C125"/>
    <mergeCell ref="D124:F124"/>
    <mergeCell ref="G124:I124"/>
    <mergeCell ref="A123:I123"/>
    <mergeCell ref="B97:B99"/>
    <mergeCell ref="J129:J130"/>
    <mergeCell ref="K129:L129"/>
    <mergeCell ref="C97:C99"/>
    <mergeCell ref="J101:K101"/>
    <mergeCell ref="A136:A138"/>
    <mergeCell ref="B136:B137"/>
    <mergeCell ref="C136:I136"/>
    <mergeCell ref="J139:J140"/>
    <mergeCell ref="J141:J142"/>
    <mergeCell ref="J112:K112"/>
    <mergeCell ref="D97:F98"/>
    <mergeCell ref="G97:I98"/>
    <mergeCell ref="O61:P61"/>
    <mergeCell ref="A77:P77"/>
    <mergeCell ref="A78:A79"/>
    <mergeCell ref="B78:B79"/>
    <mergeCell ref="C78:C79"/>
    <mergeCell ref="D78:H78"/>
    <mergeCell ref="I78:M78"/>
    <mergeCell ref="P78:P79"/>
    <mergeCell ref="O66:P66"/>
    <mergeCell ref="O67:P67"/>
    <mergeCell ref="O68:P68"/>
    <mergeCell ref="O72:P72"/>
    <mergeCell ref="N78:O78"/>
    <mergeCell ref="O62:P62"/>
    <mergeCell ref="O63:P63"/>
    <mergeCell ref="O64:P64"/>
    <mergeCell ref="O65:P65"/>
    <mergeCell ref="O69:P69"/>
    <mergeCell ref="O70:P70"/>
    <mergeCell ref="O71:P71"/>
    <mergeCell ref="O14:P14"/>
    <mergeCell ref="O15:P15"/>
    <mergeCell ref="O17:P17"/>
    <mergeCell ref="O18:P18"/>
    <mergeCell ref="O19:P19"/>
    <mergeCell ref="O20:P20"/>
    <mergeCell ref="O16:P16"/>
    <mergeCell ref="O49:P49"/>
    <mergeCell ref="O50:P50"/>
    <mergeCell ref="O21:P21"/>
    <mergeCell ref="O23:P23"/>
    <mergeCell ref="O38:P38"/>
    <mergeCell ref="O39:P39"/>
    <mergeCell ref="O40:P40"/>
    <mergeCell ref="O41:P41"/>
    <mergeCell ref="O42:P42"/>
    <mergeCell ref="O43:P43"/>
    <mergeCell ref="O44:P44"/>
    <mergeCell ref="O48:P48"/>
    <mergeCell ref="O45:P45"/>
    <mergeCell ref="O46:P46"/>
    <mergeCell ref="O47:P47"/>
    <mergeCell ref="O30:P30"/>
    <mergeCell ref="O22:P22"/>
    <mergeCell ref="O5:P5"/>
    <mergeCell ref="O6:P6"/>
    <mergeCell ref="O7:P7"/>
    <mergeCell ref="O8:P8"/>
    <mergeCell ref="O9:P9"/>
    <mergeCell ref="O10:P10"/>
    <mergeCell ref="O11:P11"/>
    <mergeCell ref="O12:P12"/>
    <mergeCell ref="O13:P13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K142:N142"/>
    <mergeCell ref="K133:N133"/>
    <mergeCell ref="J103:K103"/>
    <mergeCell ref="J104:K104"/>
    <mergeCell ref="J105:K105"/>
    <mergeCell ref="J106:K106"/>
    <mergeCell ref="J107:K107"/>
    <mergeCell ref="O73:P73"/>
    <mergeCell ref="J115:K115"/>
    <mergeCell ref="J111:K111"/>
    <mergeCell ref="N99:O99"/>
    <mergeCell ref="L99:M99"/>
    <mergeCell ref="J102:K102"/>
    <mergeCell ref="N129:P129"/>
    <mergeCell ref="O52:P52"/>
    <mergeCell ref="O53:P53"/>
    <mergeCell ref="O59:P59"/>
    <mergeCell ref="O54:P54"/>
    <mergeCell ref="O55:P55"/>
    <mergeCell ref="O56:P56"/>
    <mergeCell ref="O57:P57"/>
    <mergeCell ref="O58:P58"/>
    <mergeCell ref="O60:P60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5" man="1"/>
  </rowBreaks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0" tint="-0.14999847407452621"/>
    <pageSetUpPr fitToPage="1"/>
  </sheetPr>
  <dimension ref="A1:AB150"/>
  <sheetViews>
    <sheetView view="pageBreakPreview" zoomScale="70" zoomScaleNormal="80" zoomScaleSheetLayoutView="7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7" width="15.85546875" style="1" bestFit="1" customWidth="1"/>
    <col min="8" max="8" width="16.42578125" style="1" customWidth="1"/>
    <col min="9" max="9" width="13.7109375" style="1" bestFit="1" customWidth="1"/>
    <col min="10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2" width="9.140625" style="1"/>
    <col min="23" max="24" width="10.7109375" style="1" bestFit="1" customWidth="1"/>
    <col min="25" max="25" width="9.140625" style="1"/>
    <col min="26" max="26" width="11.5703125" style="1" bestFit="1" customWidth="1"/>
    <col min="27" max="27" width="10.7109375" style="1" bestFit="1" customWidth="1"/>
    <col min="28" max="16384" width="9.140625" style="1"/>
  </cols>
  <sheetData>
    <row r="1" spans="1:28" ht="20.25">
      <c r="A1" s="1264" t="str">
        <f>CONCATENATE("Ежедневный отчет производства и отгрузки за 30 ",Q1)</f>
        <v>Ежедневный отчет производства и отгрузки за 30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8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8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8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8">
      <c r="A5" s="52" t="s">
        <v>31</v>
      </c>
      <c r="B5" s="32" t="s">
        <v>9</v>
      </c>
      <c r="C5" s="31">
        <f t="shared" ref="C5:H5" si="0">C6+C9</f>
        <v>160800</v>
      </c>
      <c r="D5" s="31">
        <f>D6+D9+D8</f>
        <v>143025.21352694629</v>
      </c>
      <c r="E5" s="51">
        <f t="shared" si="0"/>
        <v>6700</v>
      </c>
      <c r="F5" s="30">
        <f t="shared" si="0"/>
        <v>0</v>
      </c>
      <c r="G5" s="30">
        <f t="shared" si="0"/>
        <v>154100</v>
      </c>
      <c r="H5" s="30">
        <f t="shared" si="0"/>
        <v>16874.071396806572</v>
      </c>
      <c r="I5" s="29">
        <f>IFERROR((H5/G5),0)</f>
        <v>0.10950078777940669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8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18"/>
      <c r="G6" s="18">
        <f>E6+'29'!G6</f>
        <v>0</v>
      </c>
      <c r="H6" s="18">
        <f>F6+'29'!H6</f>
        <v>6671.6154299884374</v>
      </c>
      <c r="I6" s="17"/>
      <c r="J6" s="949"/>
      <c r="K6" s="67">
        <f>J6+'29'!K6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  <c r="W6" s="62"/>
      <c r="X6" s="62"/>
      <c r="Y6" s="62"/>
      <c r="Z6" s="62"/>
      <c r="AA6" s="62"/>
      <c r="AB6" s="62"/>
    </row>
    <row r="7" spans="1:28" hidden="1" outlineLevel="1">
      <c r="A7" s="79" t="s">
        <v>219</v>
      </c>
      <c r="B7" s="9" t="s">
        <v>9</v>
      </c>
      <c r="C7" s="20"/>
      <c r="D7" s="149">
        <f>'01'!D7</f>
        <v>0</v>
      </c>
      <c r="E7" s="19"/>
      <c r="F7" s="18">
        <v>0</v>
      </c>
      <c r="G7" s="18"/>
      <c r="H7" s="18">
        <f>F7+'29'!H7</f>
        <v>0</v>
      </c>
      <c r="I7" s="17"/>
      <c r="J7" s="949"/>
      <c r="K7" s="67">
        <f>J7+'29'!K7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  <c r="W7" s="62"/>
      <c r="X7" s="62"/>
      <c r="Y7" s="62"/>
      <c r="Z7" s="62"/>
      <c r="AA7" s="62"/>
      <c r="AB7" s="62"/>
    </row>
    <row r="8" spans="1:28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F8+'29'!H8</f>
        <v>0</v>
      </c>
      <c r="I8" s="17"/>
      <c r="J8" s="949"/>
      <c r="K8" s="67">
        <f>J8+'29'!K8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  <c r="W8" s="62"/>
      <c r="X8" s="62"/>
      <c r="Y8" s="62"/>
      <c r="Z8" s="62"/>
      <c r="AA8" s="62"/>
      <c r="AB8" s="62"/>
    </row>
    <row r="9" spans="1:28" s="4" customFormat="1" collapsed="1">
      <c r="A9" s="41" t="s">
        <v>65</v>
      </c>
      <c r="B9" s="26" t="s">
        <v>9</v>
      </c>
      <c r="C9" s="20">
        <f>'01'!C9</f>
        <v>160800</v>
      </c>
      <c r="D9" s="20">
        <f>'01'!D9</f>
        <v>127072.29376141207</v>
      </c>
      <c r="E9" s="97">
        <v>6700</v>
      </c>
      <c r="F9" s="24">
        <f>F10+F11+F12+F13</f>
        <v>0</v>
      </c>
      <c r="G9" s="24">
        <f>E9+'29'!G9</f>
        <v>154100</v>
      </c>
      <c r="H9" s="24">
        <f>F9+'29'!H9</f>
        <v>10202.455966818135</v>
      </c>
      <c r="I9" s="23">
        <f>IFERROR((H9/G9),0)</f>
        <v>6.6206722691876288E-2</v>
      </c>
      <c r="J9" s="946">
        <f>J10+J11+J12+J13</f>
        <v>0</v>
      </c>
      <c r="K9" s="47">
        <f>J9+'29'!K9</f>
        <v>17027.103675312697</v>
      </c>
      <c r="L9" s="25">
        <f>D9+H9-K9+M9+N9</f>
        <v>120247.64605291751</v>
      </c>
      <c r="M9" s="54"/>
      <c r="N9" s="54">
        <f>N10</f>
        <v>0</v>
      </c>
      <c r="O9" s="1262"/>
      <c r="P9" s="1263"/>
      <c r="Q9" s="604">
        <v>-23266.571785975502</v>
      </c>
      <c r="R9" s="602">
        <f>J9-Q9</f>
        <v>23266.571785975502</v>
      </c>
      <c r="S9" s="614"/>
      <c r="T9" s="2"/>
      <c r="W9" s="72"/>
      <c r="X9" s="72"/>
      <c r="Y9" s="72"/>
      <c r="Z9" s="72"/>
      <c r="AA9" s="72"/>
      <c r="AB9" s="72"/>
    </row>
    <row r="10" spans="1:28">
      <c r="A10" s="74" t="s">
        <v>64</v>
      </c>
      <c r="B10" s="9" t="s">
        <v>9</v>
      </c>
      <c r="C10" s="20">
        <f>'01'!C10</f>
        <v>0</v>
      </c>
      <c r="D10" s="20">
        <f>'01'!D10</f>
        <v>56300.273909357406</v>
      </c>
      <c r="E10" s="19"/>
      <c r="F10" s="110">
        <v>0</v>
      </c>
      <c r="G10" s="24">
        <f>E10+'29'!G10</f>
        <v>0</v>
      </c>
      <c r="H10" s="18">
        <f>F10+'29'!H10</f>
        <v>10202.455966818135</v>
      </c>
      <c r="I10" s="17"/>
      <c r="J10" s="178">
        <v>0</v>
      </c>
      <c r="K10" s="67">
        <f>J10+'29'!K10</f>
        <v>15627.103675312697</v>
      </c>
      <c r="L10" s="149">
        <f>D10+H10-K10+M10+N10</f>
        <v>50875.62620086284</v>
      </c>
      <c r="M10" s="53"/>
      <c r="N10" s="101"/>
      <c r="O10" s="1399"/>
      <c r="P10" s="1400"/>
      <c r="Q10" s="604"/>
      <c r="R10" s="602"/>
      <c r="W10" s="62"/>
      <c r="X10" s="62"/>
      <c r="Y10" s="62"/>
      <c r="Z10" s="62"/>
      <c r="AA10" s="62"/>
      <c r="AB10" s="62"/>
    </row>
    <row r="11" spans="1:28">
      <c r="A11" s="74" t="s">
        <v>244</v>
      </c>
      <c r="B11" s="9" t="s">
        <v>9</v>
      </c>
      <c r="C11" s="20">
        <f>'01'!C11</f>
        <v>0</v>
      </c>
      <c r="D11" s="20">
        <f>'01'!D11</f>
        <v>18224.01726010743</v>
      </c>
      <c r="E11" s="19"/>
      <c r="F11" s="18"/>
      <c r="G11" s="24">
        <f>E11+'29'!G11</f>
        <v>0</v>
      </c>
      <c r="H11" s="18">
        <f>F11+'29'!H11</f>
        <v>0</v>
      </c>
      <c r="I11" s="17"/>
      <c r="J11" s="178">
        <v>0</v>
      </c>
      <c r="K11" s="67">
        <f>J11+'29'!K11</f>
        <v>0</v>
      </c>
      <c r="L11" s="149">
        <f>D11+H11-K11+M11+N11</f>
        <v>18224.01726010743</v>
      </c>
      <c r="M11" s="53"/>
      <c r="N11" s="53"/>
      <c r="O11" s="1246"/>
      <c r="P11" s="1247"/>
      <c r="Q11" s="604"/>
      <c r="R11" s="602"/>
      <c r="U11" s="62"/>
      <c r="V11" s="62"/>
      <c r="W11" s="62"/>
      <c r="X11" s="62"/>
      <c r="Y11" s="62"/>
      <c r="Z11" s="62"/>
    </row>
    <row r="12" spans="1:28" outlineLevel="1">
      <c r="A12" s="79" t="s">
        <v>154</v>
      </c>
      <c r="B12" s="9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E12+'29'!G12</f>
        <v>0</v>
      </c>
      <c r="H12" s="18">
        <f>F12+'29'!H12</f>
        <v>0</v>
      </c>
      <c r="I12" s="955">
        <f>IFERROR((H12/G12),0)</f>
        <v>0</v>
      </c>
      <c r="J12" s="178"/>
      <c r="K12" s="67">
        <f>J12+'29'!K12</f>
        <v>1400</v>
      </c>
      <c r="L12" s="149">
        <f>D12+H12-K12</f>
        <v>51148.002591947239</v>
      </c>
      <c r="M12" s="53"/>
      <c r="N12" s="53"/>
      <c r="O12" s="1399"/>
      <c r="P12" s="1400"/>
      <c r="Q12" s="604"/>
      <c r="R12" s="602"/>
      <c r="U12" s="62"/>
      <c r="V12" s="62"/>
      <c r="W12" s="62"/>
      <c r="X12" s="62"/>
      <c r="Y12" s="62"/>
      <c r="Z12" s="62"/>
    </row>
    <row r="13" spans="1:28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E13+'29'!G13</f>
        <v>0</v>
      </c>
      <c r="H13" s="110">
        <f>F13+'29'!H13</f>
        <v>0</v>
      </c>
      <c r="I13" s="17"/>
      <c r="J13" s="178"/>
      <c r="K13" s="124">
        <f>J13+'29'!K13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  <c r="U13" s="62"/>
      <c r="V13" s="62"/>
      <c r="W13" s="62"/>
      <c r="X13" s="62"/>
      <c r="Y13" s="62"/>
      <c r="Z13" s="62"/>
    </row>
    <row r="14" spans="1:28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5534.0000000000009</v>
      </c>
      <c r="F14" s="30">
        <f>SUM(F15:F21)</f>
        <v>0</v>
      </c>
      <c r="G14" s="30">
        <f>SUM(G15:G21)</f>
        <v>189278.99999999997</v>
      </c>
      <c r="H14" s="30">
        <f>SUM(H15:H21)</f>
        <v>18857.68830004807</v>
      </c>
      <c r="I14" s="29">
        <f t="shared" ref="I14:I21" si="1">IFERROR((H14/G14),0)</f>
        <v>9.962905710643058E-2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248"/>
      <c r="P14" s="1249"/>
      <c r="Q14" s="605"/>
      <c r="R14" s="602"/>
      <c r="S14" s="702" t="s">
        <v>247</v>
      </c>
      <c r="T14" s="1043" t="e">
        <f>J5/F14</f>
        <v>#DIV/0!</v>
      </c>
      <c r="X14" s="62"/>
      <c r="Z14" s="62"/>
    </row>
    <row r="15" spans="1:28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93"/>
      <c r="G15" s="18">
        <f>E15+'29'!G15</f>
        <v>0</v>
      </c>
      <c r="H15" s="18">
        <f>F15+'29'!H15</f>
        <v>0</v>
      </c>
      <c r="I15" s="17">
        <f t="shared" si="1"/>
        <v>0</v>
      </c>
      <c r="J15" s="192">
        <v>0</v>
      </c>
      <c r="K15" s="67">
        <f>J15+'29'!K15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  <c r="X15" s="62"/>
      <c r="Y15" s="62"/>
    </row>
    <row r="16" spans="1:28" ht="18" customHeight="1">
      <c r="A16" s="254" t="s">
        <v>254</v>
      </c>
      <c r="B16" s="9" t="s">
        <v>9</v>
      </c>
      <c r="C16" s="20">
        <f>'01'!C16</f>
        <v>44352</v>
      </c>
      <c r="D16" s="20">
        <f>'01'!D16</f>
        <v>6069.3572595923979</v>
      </c>
      <c r="E16" s="134">
        <v>1258.4288761279738</v>
      </c>
      <c r="F16" s="171">
        <v>0</v>
      </c>
      <c r="G16" s="18">
        <f>E16+'29'!G16</f>
        <v>43041.951435602954</v>
      </c>
      <c r="H16" s="18">
        <f>F16+'29'!H16</f>
        <v>3228.5002277343951</v>
      </c>
      <c r="I16" s="956">
        <f t="shared" si="1"/>
        <v>7.5008221515344239E-2</v>
      </c>
      <c r="J16" s="751">
        <f>IFERROR(SUMIF(A101:A114,A16,E101:E114),0)+E111+E112+E113</f>
        <v>0</v>
      </c>
      <c r="K16" s="67">
        <f>J16+'29'!K16</f>
        <v>3320.85</v>
      </c>
      <c r="L16" s="398">
        <f t="shared" ref="L16:L37" si="2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  <c r="Y16" s="62"/>
    </row>
    <row r="17" spans="1:25" ht="15" customHeight="1">
      <c r="A17" s="731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E17+'29'!G17</f>
        <v>0</v>
      </c>
      <c r="H17" s="18">
        <f>F17+'29'!H17</f>
        <v>0</v>
      </c>
      <c r="I17" s="956">
        <f t="shared" si="1"/>
        <v>0</v>
      </c>
      <c r="J17" s="751">
        <f>IFERROR(SUMIF(A102:A115,A17,E102:E115),0)+E116+E119+E121+E114</f>
        <v>0</v>
      </c>
      <c r="K17" s="67">
        <f>J17+'29'!K17</f>
        <v>0</v>
      </c>
      <c r="L17" s="398">
        <f t="shared" si="2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  <c r="Y17" s="5"/>
    </row>
    <row r="18" spans="1:25">
      <c r="A18" s="254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E18+'29'!G18</f>
        <v>0</v>
      </c>
      <c r="H18" s="18">
        <f>F18+'29'!H18</f>
        <v>0</v>
      </c>
      <c r="I18" s="17">
        <f t="shared" si="1"/>
        <v>0</v>
      </c>
      <c r="J18" s="751">
        <f>IFERROR(SUMIF(A102:A115,A18,E102:E115),0)+E118+E120</f>
        <v>0</v>
      </c>
      <c r="K18" s="67">
        <f>J18+'29'!K18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5" s="56" customFormat="1">
      <c r="A19" s="254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4136.0294298605413</v>
      </c>
      <c r="F19" s="131">
        <v>0</v>
      </c>
      <c r="G19" s="18">
        <f>E19+'29'!G19</f>
        <v>141464.31414068906</v>
      </c>
      <c r="H19" s="18">
        <f>F19+'29'!H19</f>
        <v>15629.188072313675</v>
      </c>
      <c r="I19" s="957">
        <f t="shared" si="1"/>
        <v>0.11048148904019806</v>
      </c>
      <c r="J19" s="751">
        <f>IFERROR(SUMIF(A102:A115,A19,E102:E115),0)+E117+E115+E122</f>
        <v>0</v>
      </c>
      <c r="K19" s="67">
        <f>J19+'29'!K19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5">
      <c r="A20" s="25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100.95350697292864</v>
      </c>
      <c r="F20" s="110">
        <v>0</v>
      </c>
      <c r="G20" s="18">
        <f>E20+'29'!G20</f>
        <v>3452.9054655455293</v>
      </c>
      <c r="H20" s="18">
        <f>F20+'29'!H20</f>
        <v>0</v>
      </c>
      <c r="I20" s="17">
        <f t="shared" si="1"/>
        <v>0</v>
      </c>
      <c r="J20" s="751">
        <f>IFERROR(SUMIF(A102:A115,A20,E102:E115),0)</f>
        <v>0</v>
      </c>
      <c r="K20" s="67">
        <f>J20+'29'!K20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</row>
    <row r="21" spans="1:25" ht="15.75" customHeight="1" outlineLevel="1">
      <c r="A21" s="25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38.588187038556192</v>
      </c>
      <c r="F21" s="110">
        <v>0</v>
      </c>
      <c r="G21" s="18">
        <f>E21+'29'!G21</f>
        <v>1319.8289581624283</v>
      </c>
      <c r="H21" s="18">
        <f>F21+'29'!H21</f>
        <v>0</v>
      </c>
      <c r="I21" s="17">
        <f t="shared" si="1"/>
        <v>0</v>
      </c>
      <c r="J21" s="751">
        <f>IFERROR(SUMIF(A102:A115,A21,E102:E115),0)</f>
        <v>0</v>
      </c>
      <c r="K21" s="67">
        <f>J21+'29'!K21</f>
        <v>0</v>
      </c>
      <c r="L21" s="60">
        <f t="shared" si="2"/>
        <v>8.7766238721087575E-11</v>
      </c>
      <c r="M21" s="409"/>
      <c r="N21" s="429"/>
      <c r="O21" s="1252"/>
      <c r="P21" s="1253"/>
      <c r="Q21" s="602"/>
      <c r="R21" s="602"/>
    </row>
    <row r="22" spans="1:25" ht="15.75" customHeight="1" outlineLevel="1">
      <c r="A22" s="731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98">
        <v>0</v>
      </c>
      <c r="G22" s="18">
        <f>E22+'29'!G22</f>
        <v>1100</v>
      </c>
      <c r="H22" s="18">
        <f>F22+'29'!H22</f>
        <v>2130.1044634377968</v>
      </c>
      <c r="I22" s="23"/>
      <c r="J22" s="751">
        <f>IFERROR(SUMIF(A103:A123,A22,E103:E123),0)+E109</f>
        <v>0</v>
      </c>
      <c r="K22" s="67">
        <f>J22+'29'!K22</f>
        <v>757.20000000000016</v>
      </c>
      <c r="L22" s="60">
        <f t="shared" si="2"/>
        <v>4206.655098319975</v>
      </c>
      <c r="M22" s="409"/>
      <c r="N22" s="429"/>
      <c r="O22" s="1325"/>
      <c r="P22" s="1253"/>
      <c r="Q22" s="602"/>
      <c r="R22" s="602"/>
    </row>
    <row r="23" spans="1:25" s="4" customFormat="1">
      <c r="A23" s="58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E23+'29'!G23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J23+'29'!K23</f>
        <v>20</v>
      </c>
      <c r="L23" s="584">
        <f>D23+H23-K23+M23</f>
        <v>32</v>
      </c>
      <c r="M23" s="416"/>
      <c r="N23" s="432"/>
      <c r="O23" s="1254"/>
      <c r="P23" s="1255"/>
      <c r="Q23" s="606"/>
      <c r="R23" s="606"/>
      <c r="S23" s="616"/>
      <c r="T23" s="1050"/>
    </row>
    <row r="24" spans="1:25" s="4" customFormat="1" hidden="1" outlineLevel="1">
      <c r="A24" s="254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E24+'29'!G24</f>
        <v>0</v>
      </c>
      <c r="H24" s="18">
        <f>F24+'29'!H24</f>
        <v>0</v>
      </c>
      <c r="I24" s="23"/>
      <c r="J24" s="752">
        <v>0</v>
      </c>
      <c r="K24" s="67">
        <f>J24+'29'!K24</f>
        <v>0</v>
      </c>
      <c r="L24" s="60">
        <f t="shared" si="2"/>
        <v>0</v>
      </c>
      <c r="M24" s="416"/>
      <c r="N24" s="432"/>
      <c r="O24" s="925"/>
      <c r="P24" s="926"/>
      <c r="Q24" s="606"/>
      <c r="R24" s="606"/>
      <c r="S24" s="616"/>
      <c r="T24" s="28"/>
    </row>
    <row r="25" spans="1:25" s="4" customFormat="1" hidden="1" outlineLevel="1">
      <c r="A25" s="254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E25+'29'!G25</f>
        <v>0</v>
      </c>
      <c r="H25" s="18">
        <f>F25+'29'!H25</f>
        <v>0</v>
      </c>
      <c r="I25" s="23"/>
      <c r="J25" s="752">
        <v>0</v>
      </c>
      <c r="K25" s="67">
        <f>J25+'29'!K25</f>
        <v>20</v>
      </c>
      <c r="L25" s="60">
        <f t="shared" si="2"/>
        <v>-4</v>
      </c>
      <c r="M25" s="416"/>
      <c r="N25" s="432"/>
      <c r="O25" s="925"/>
      <c r="P25" s="926"/>
      <c r="Q25" s="606"/>
      <c r="R25" s="606"/>
      <c r="S25" s="616"/>
      <c r="T25" s="28"/>
    </row>
    <row r="26" spans="1:25" s="4" customFormat="1" hidden="1" outlineLevel="1">
      <c r="A26" s="254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E26+'29'!G26</f>
        <v>0</v>
      </c>
      <c r="H26" s="18">
        <f>F26+'29'!H26</f>
        <v>0</v>
      </c>
      <c r="I26" s="23"/>
      <c r="J26" s="752">
        <v>0</v>
      </c>
      <c r="K26" s="67">
        <f>J26+'29'!K26</f>
        <v>0</v>
      </c>
      <c r="L26" s="60">
        <f t="shared" si="2"/>
        <v>36</v>
      </c>
      <c r="M26" s="416"/>
      <c r="N26" s="432"/>
      <c r="O26" s="925"/>
      <c r="P26" s="926"/>
      <c r="Q26" s="606"/>
      <c r="R26" s="606"/>
      <c r="S26" s="616"/>
      <c r="T26" s="28"/>
    </row>
    <row r="27" spans="1:25" s="4" customFormat="1" hidden="1" outlineLevel="1">
      <c r="A27" s="25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E27+'29'!G27</f>
        <v>0</v>
      </c>
      <c r="H27" s="18">
        <f>F27+'29'!H27</f>
        <v>0</v>
      </c>
      <c r="I27" s="23"/>
      <c r="J27" s="752"/>
      <c r="K27" s="67">
        <f>J27+'29'!K27</f>
        <v>0</v>
      </c>
      <c r="L27" s="60">
        <f t="shared" si="2"/>
        <v>0</v>
      </c>
      <c r="M27" s="416"/>
      <c r="N27" s="432"/>
      <c r="O27" s="925"/>
      <c r="P27" s="926"/>
      <c r="Q27" s="606"/>
      <c r="R27" s="606"/>
      <c r="S27" s="616"/>
      <c r="T27" s="28"/>
    </row>
    <row r="28" spans="1:25" s="4" customFormat="1" hidden="1" outlineLevel="1">
      <c r="A28" s="585"/>
      <c r="B28" s="9" t="s">
        <v>9</v>
      </c>
      <c r="C28" s="25"/>
      <c r="D28" s="25"/>
      <c r="E28" s="48"/>
      <c r="F28" s="98">
        <f>J28</f>
        <v>0</v>
      </c>
      <c r="G28" s="18">
        <f>E28+'29'!G28</f>
        <v>0</v>
      </c>
      <c r="H28" s="18">
        <f>F28+'29'!H28</f>
        <v>0</v>
      </c>
      <c r="I28" s="23"/>
      <c r="J28" s="752"/>
      <c r="K28" s="67">
        <f>J28+'29'!K28</f>
        <v>0</v>
      </c>
      <c r="L28" s="60">
        <f t="shared" si="2"/>
        <v>0</v>
      </c>
      <c r="M28" s="416"/>
      <c r="N28" s="432"/>
      <c r="O28" s="925"/>
      <c r="P28" s="926"/>
      <c r="Q28" s="606"/>
      <c r="R28" s="606"/>
      <c r="S28" s="616"/>
      <c r="T28" s="28"/>
    </row>
    <row r="29" spans="1:25" s="4" customFormat="1" hidden="1" outlineLevel="1">
      <c r="A29" s="585"/>
      <c r="B29" s="9" t="s">
        <v>9</v>
      </c>
      <c r="C29" s="25"/>
      <c r="D29" s="25"/>
      <c r="E29" s="48"/>
      <c r="F29" s="98">
        <f>J29</f>
        <v>0</v>
      </c>
      <c r="G29" s="18">
        <f>E29+'29'!G29</f>
        <v>0</v>
      </c>
      <c r="H29" s="18">
        <f>F29+'29'!H29</f>
        <v>0</v>
      </c>
      <c r="I29" s="23"/>
      <c r="J29" s="752"/>
      <c r="K29" s="67">
        <f>J29+'29'!K29</f>
        <v>0</v>
      </c>
      <c r="L29" s="60">
        <f t="shared" si="2"/>
        <v>0</v>
      </c>
      <c r="M29" s="416"/>
      <c r="N29" s="432"/>
      <c r="O29" s="925"/>
      <c r="P29" s="926"/>
      <c r="Q29" s="606"/>
      <c r="R29" s="606"/>
      <c r="S29" s="616"/>
      <c r="T29" s="28"/>
    </row>
    <row r="30" spans="1:25" s="4" customFormat="1" collapsed="1">
      <c r="A30" s="58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E30+'29'!G30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J30+'29'!K30</f>
        <v>994.39999999999986</v>
      </c>
      <c r="L30" s="584">
        <f t="shared" si="2"/>
        <v>1073.6000000000001</v>
      </c>
      <c r="M30" s="416"/>
      <c r="N30" s="432"/>
      <c r="O30" s="1324"/>
      <c r="P30" s="1255"/>
      <c r="Q30" s="606"/>
      <c r="R30" s="606"/>
      <c r="S30" s="616"/>
      <c r="T30" s="28"/>
    </row>
    <row r="31" spans="1:25" s="4" customFormat="1" hidden="1" outlineLevel="1">
      <c r="A31" s="254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E31+'29'!G31</f>
        <v>0</v>
      </c>
      <c r="H31" s="315">
        <f>F31+'29'!H31</f>
        <v>0</v>
      </c>
      <c r="I31" s="23"/>
      <c r="J31" s="865">
        <v>0</v>
      </c>
      <c r="K31" s="67">
        <f>J31+'29'!K31</f>
        <v>0</v>
      </c>
      <c r="L31" s="60">
        <f t="shared" si="2"/>
        <v>0</v>
      </c>
      <c r="M31" s="416"/>
      <c r="N31" s="432"/>
      <c r="O31" s="925"/>
      <c r="P31" s="926"/>
      <c r="Q31" s="606"/>
      <c r="R31" s="606"/>
      <c r="S31" s="616"/>
      <c r="T31" s="28"/>
    </row>
    <row r="32" spans="1:25" s="4" customFormat="1" hidden="1" outlineLevel="1">
      <c r="A32" s="254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E32+'29'!G32</f>
        <v>0</v>
      </c>
      <c r="H32" s="18">
        <f>F32+'29'!H32</f>
        <v>554.40000000000009</v>
      </c>
      <c r="I32" s="23"/>
      <c r="J32" s="865">
        <v>0</v>
      </c>
      <c r="K32" s="67">
        <f>J32+'29'!K32</f>
        <v>994.39999999999986</v>
      </c>
      <c r="L32" s="1026">
        <f t="shared" si="2"/>
        <v>1068.3200000000004</v>
      </c>
      <c r="M32" s="416"/>
      <c r="N32" s="432"/>
      <c r="O32" s="925"/>
      <c r="P32" s="926"/>
      <c r="Q32" s="606"/>
      <c r="R32" s="606"/>
      <c r="S32" s="616"/>
      <c r="T32" s="28"/>
    </row>
    <row r="33" spans="1:27" s="4" customFormat="1" hidden="1" outlineLevel="1">
      <c r="A33" s="254" t="str">
        <f>'01'!A33</f>
        <v>ЦЕМ I 52.5Н</v>
      </c>
      <c r="B33" s="9" t="s">
        <v>9</v>
      </c>
      <c r="C33" s="25"/>
      <c r="D33" s="1027">
        <f>'01'!D33</f>
        <v>5.28</v>
      </c>
      <c r="E33" s="48"/>
      <c r="F33" s="864">
        <v>0</v>
      </c>
      <c r="G33" s="18">
        <f>E33+'29'!G33</f>
        <v>0</v>
      </c>
      <c r="H33" s="18">
        <f>F33+'29'!H33</f>
        <v>0</v>
      </c>
      <c r="I33" s="23"/>
      <c r="J33" s="865">
        <v>0</v>
      </c>
      <c r="K33" s="67">
        <f>J33+'29'!K33</f>
        <v>0</v>
      </c>
      <c r="L33" s="1026">
        <f t="shared" si="2"/>
        <v>5.28</v>
      </c>
      <c r="M33" s="416"/>
      <c r="N33" s="432"/>
      <c r="O33" s="925"/>
      <c r="P33" s="926"/>
      <c r="Q33" s="606"/>
      <c r="R33" s="606"/>
      <c r="S33" s="616"/>
      <c r="T33" s="28"/>
    </row>
    <row r="34" spans="1:27" s="4" customFormat="1" hidden="1" outlineLevel="1">
      <c r="A34" s="25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E34+'29'!G34</f>
        <v>0</v>
      </c>
      <c r="H34" s="18">
        <f>F34+'29'!H34</f>
        <v>0</v>
      </c>
      <c r="I34" s="23"/>
      <c r="J34" s="865"/>
      <c r="K34" s="67">
        <f>J34+'29'!K34</f>
        <v>0</v>
      </c>
      <c r="L34" s="60">
        <f t="shared" si="2"/>
        <v>0</v>
      </c>
      <c r="M34" s="416"/>
      <c r="N34" s="432"/>
      <c r="O34" s="925"/>
      <c r="P34" s="926"/>
      <c r="Q34" s="606"/>
      <c r="R34" s="606"/>
      <c r="S34" s="616"/>
      <c r="T34" s="28"/>
    </row>
    <row r="35" spans="1:27" s="4" customFormat="1" hidden="1" outlineLevel="1">
      <c r="A35" s="585"/>
      <c r="B35" s="9" t="s">
        <v>9</v>
      </c>
      <c r="C35" s="25"/>
      <c r="D35" s="25"/>
      <c r="E35" s="48"/>
      <c r="F35" s="863">
        <f>J35</f>
        <v>0</v>
      </c>
      <c r="G35" s="18">
        <f>E35+'29'!G35</f>
        <v>0</v>
      </c>
      <c r="H35" s="18">
        <f>F35+'29'!H35</f>
        <v>0</v>
      </c>
      <c r="I35" s="23"/>
      <c r="J35" s="865"/>
      <c r="K35" s="67">
        <f>J35+'29'!K35</f>
        <v>0</v>
      </c>
      <c r="L35" s="60">
        <f t="shared" si="2"/>
        <v>0</v>
      </c>
      <c r="M35" s="416"/>
      <c r="N35" s="432"/>
      <c r="O35" s="925"/>
      <c r="P35" s="926"/>
      <c r="Q35" s="606"/>
      <c r="R35" s="606"/>
      <c r="S35" s="616"/>
      <c r="T35" s="28"/>
    </row>
    <row r="36" spans="1:27" s="4" customFormat="1" hidden="1" outlineLevel="1">
      <c r="A36" s="731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E36+'29'!G36</f>
        <v>0</v>
      </c>
      <c r="H36" s="18">
        <f>F36+'29'!H36</f>
        <v>0</v>
      </c>
      <c r="I36" s="23"/>
      <c r="J36" s="110">
        <v>0</v>
      </c>
      <c r="K36" s="67">
        <f>J36+'29'!K36</f>
        <v>0</v>
      </c>
      <c r="L36" s="60">
        <f t="shared" si="2"/>
        <v>1673.24</v>
      </c>
      <c r="M36" s="416"/>
      <c r="N36" s="432"/>
      <c r="O36" s="925"/>
      <c r="P36" s="926"/>
      <c r="Q36" s="606"/>
      <c r="R36" s="606"/>
      <c r="S36" s="616"/>
      <c r="T36" s="28"/>
    </row>
    <row r="37" spans="1:27" s="4" customFormat="1" hidden="1" outlineLevel="1">
      <c r="A37" s="731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E37+'29'!G37</f>
        <v>0</v>
      </c>
      <c r="H37" s="18">
        <f>F37+'29'!H37</f>
        <v>0</v>
      </c>
      <c r="I37" s="23"/>
      <c r="J37" s="110">
        <v>0</v>
      </c>
      <c r="K37" s="67">
        <f>J37+'29'!K37</f>
        <v>0</v>
      </c>
      <c r="L37" s="60">
        <f t="shared" si="2"/>
        <v>294.63999999999987</v>
      </c>
      <c r="M37" s="416"/>
      <c r="N37" s="432"/>
      <c r="O37" s="925"/>
      <c r="P37" s="926"/>
      <c r="Q37" s="606"/>
      <c r="R37" s="606"/>
      <c r="S37" s="616"/>
      <c r="T37" s="28"/>
    </row>
    <row r="38" spans="1:27" s="4" customFormat="1" collapsed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E38+'29'!G38</f>
        <v>148991.7165075487</v>
      </c>
      <c r="H38" s="671">
        <f>F38+'29'!H38</f>
        <v>9132.5707721894778</v>
      </c>
      <c r="I38" s="958">
        <f>IFERROR((H38/G38),0)</f>
        <v>6.1295828964604039E-2</v>
      </c>
      <c r="J38" s="753">
        <f>SUM(J39:J40)</f>
        <v>0</v>
      </c>
      <c r="K38" s="672">
        <f>J38+'29'!K38</f>
        <v>9083.5707721894778</v>
      </c>
      <c r="L38" s="310">
        <f>D38+H38-K38</f>
        <v>1805.9829593932955</v>
      </c>
      <c r="M38" s="76"/>
      <c r="N38" s="45"/>
      <c r="O38" s="1256"/>
      <c r="P38" s="1257"/>
      <c r="Q38" s="607"/>
      <c r="R38" s="602"/>
      <c r="S38" s="614"/>
      <c r="T38" s="2"/>
      <c r="AA38" s="72"/>
    </row>
    <row r="39" spans="1:27" ht="15.75" customHeight="1">
      <c r="A39" s="74" t="s">
        <v>91</v>
      </c>
      <c r="B39" s="9" t="s">
        <v>9</v>
      </c>
      <c r="C39" s="20"/>
      <c r="D39" s="20"/>
      <c r="E39" s="19"/>
      <c r="F39" s="110">
        <v>0</v>
      </c>
      <c r="G39" s="18"/>
      <c r="H39" s="18">
        <f>F39+'29'!H39</f>
        <v>6840.5707721894778</v>
      </c>
      <c r="I39" s="17"/>
      <c r="J39" s="750">
        <f>F39</f>
        <v>0</v>
      </c>
      <c r="K39" s="67">
        <f>J39+'29'!K39</f>
        <v>6840.5707721894778</v>
      </c>
      <c r="L39" s="20"/>
      <c r="M39" s="76"/>
      <c r="N39" s="45"/>
      <c r="O39" s="1256"/>
      <c r="P39" s="1257"/>
      <c r="Q39" s="607"/>
      <c r="R39" s="602"/>
      <c r="S39" s="614"/>
      <c r="T39" s="2"/>
      <c r="AA39" s="62"/>
    </row>
    <row r="40" spans="1:27" ht="15.75" customHeight="1">
      <c r="A40" s="74" t="s">
        <v>109</v>
      </c>
      <c r="B40" s="9" t="s">
        <v>9</v>
      </c>
      <c r="C40" s="20"/>
      <c r="D40" s="20"/>
      <c r="E40" s="19"/>
      <c r="F40" s="110">
        <v>0</v>
      </c>
      <c r="G40" s="18"/>
      <c r="H40" s="18">
        <f>F40+'29'!H40</f>
        <v>2292</v>
      </c>
      <c r="I40" s="17"/>
      <c r="J40" s="178">
        <v>0</v>
      </c>
      <c r="K40" s="67">
        <f>J40+'29'!K40</f>
        <v>2243</v>
      </c>
      <c r="L40" s="20"/>
      <c r="M40" s="76"/>
      <c r="N40" s="45"/>
      <c r="O40" s="1256"/>
      <c r="P40" s="1257"/>
      <c r="Q40" s="607"/>
      <c r="R40" s="602"/>
      <c r="S40" s="614"/>
      <c r="T40" s="2"/>
      <c r="AA40" s="62"/>
    </row>
    <row r="41" spans="1:27" ht="15.75" hidden="1" customHeight="1" outlineLevel="1">
      <c r="A41" s="74" t="s">
        <v>67</v>
      </c>
      <c r="B41" s="9" t="s">
        <v>9</v>
      </c>
      <c r="C41" s="20"/>
      <c r="D41" s="20"/>
      <c r="E41" s="19"/>
      <c r="F41" s="18"/>
      <c r="G41" s="18"/>
      <c r="H41" s="18">
        <f>F41+'29'!H41</f>
        <v>0</v>
      </c>
      <c r="I41" s="17"/>
      <c r="J41" s="192"/>
      <c r="K41" s="67">
        <f>J41+'29'!K41</f>
        <v>0</v>
      </c>
      <c r="L41" s="20"/>
      <c r="M41" s="76"/>
      <c r="N41" s="45"/>
      <c r="O41" s="1256"/>
      <c r="P41" s="1257"/>
      <c r="Q41" s="607"/>
      <c r="R41" s="602"/>
      <c r="S41" s="614"/>
      <c r="T41" s="2"/>
      <c r="AA41" s="62"/>
    </row>
    <row r="42" spans="1:27" ht="15.75" hidden="1" customHeight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F42+'29'!H42</f>
        <v>0</v>
      </c>
      <c r="I42" s="17"/>
      <c r="J42" s="949"/>
      <c r="K42" s="67">
        <f>J42+'29'!K42</f>
        <v>0</v>
      </c>
      <c r="L42" s="20"/>
      <c r="M42" s="76"/>
      <c r="N42" s="45"/>
      <c r="O42" s="1256"/>
      <c r="P42" s="1257"/>
      <c r="Q42" s="607"/>
      <c r="R42" s="602"/>
      <c r="S42" s="614"/>
      <c r="T42" s="2"/>
      <c r="AA42" s="62"/>
    </row>
    <row r="43" spans="1:27" ht="15.75" customHeight="1" collapsed="1">
      <c r="A43" s="74" t="s">
        <v>63</v>
      </c>
      <c r="B43" s="9" t="s">
        <v>9</v>
      </c>
      <c r="C43" s="20">
        <f>'01'!C43</f>
        <v>96601.878796744204</v>
      </c>
      <c r="D43" s="20"/>
      <c r="E43" s="312">
        <f>C43/30</f>
        <v>3220.06262655814</v>
      </c>
      <c r="F43" s="110">
        <v>0</v>
      </c>
      <c r="G43" s="18">
        <f>E43+'29'!G43</f>
        <v>96601.87879674416</v>
      </c>
      <c r="H43" s="18">
        <f>F43+'29'!H43</f>
        <v>8403.7999999999993</v>
      </c>
      <c r="I43" s="17">
        <f>IFERROR((H43/G43),0)</f>
        <v>8.6994167242668979E-2</v>
      </c>
      <c r="J43" s="949">
        <f>F43</f>
        <v>0</v>
      </c>
      <c r="K43" s="67">
        <f>J43+'29'!K43</f>
        <v>8403.7999999999993</v>
      </c>
      <c r="L43" s="20">
        <f>D43+H43-K43</f>
        <v>0</v>
      </c>
      <c r="M43" s="76"/>
      <c r="N43" s="45"/>
      <c r="O43" s="1256"/>
      <c r="P43" s="1257"/>
      <c r="Q43" s="607"/>
      <c r="R43" s="602"/>
      <c r="S43" s="614"/>
      <c r="T43" s="2"/>
      <c r="AA43" s="62"/>
    </row>
    <row r="44" spans="1:27" s="4" customFormat="1">
      <c r="A44" s="74" t="s">
        <v>40</v>
      </c>
      <c r="B44" s="26" t="s">
        <v>9</v>
      </c>
      <c r="C44" s="20">
        <f>'01'!C44</f>
        <v>40846.933088751408</v>
      </c>
      <c r="D44" s="20">
        <f>'01'!D44</f>
        <v>3759.4565289122183</v>
      </c>
      <c r="E44" s="707">
        <f>C44/30</f>
        <v>1361.5644362917135</v>
      </c>
      <c r="F44" s="110">
        <v>0</v>
      </c>
      <c r="G44" s="18">
        <f>E44+'29'!G44</f>
        <v>40846.933088751401</v>
      </c>
      <c r="H44" s="18">
        <f>F44+'29'!H44</f>
        <v>7255</v>
      </c>
      <c r="I44" s="17">
        <f>IFERROR((H44/G44),0)</f>
        <v>0.17761431401071118</v>
      </c>
      <c r="J44" s="178">
        <v>0</v>
      </c>
      <c r="K44" s="67">
        <f>J44+'29'!K44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2"/>
      <c r="AA44" s="72"/>
    </row>
    <row r="45" spans="1:27" s="4" customFormat="1" hidden="1" outlineLevel="1">
      <c r="A45" s="74" t="s">
        <v>70</v>
      </c>
      <c r="B45" s="9" t="s">
        <v>9</v>
      </c>
      <c r="C45" s="20"/>
      <c r="D45" s="20"/>
      <c r="E45" s="19"/>
      <c r="F45" s="18">
        <v>0</v>
      </c>
      <c r="G45" s="18"/>
      <c r="H45" s="18">
        <f>F45+'29'!H45</f>
        <v>0</v>
      </c>
      <c r="I45" s="17"/>
      <c r="J45" s="192"/>
      <c r="K45" s="67">
        <f>J45+'29'!K45</f>
        <v>0</v>
      </c>
      <c r="L45" s="20"/>
      <c r="M45" s="76"/>
      <c r="N45" s="45"/>
      <c r="O45" s="1256"/>
      <c r="P45" s="1257"/>
      <c r="Q45" s="607"/>
      <c r="R45" s="606"/>
      <c r="S45" s="614"/>
      <c r="T45" s="2"/>
      <c r="AA45" s="72"/>
    </row>
    <row r="46" spans="1:27" s="4" customFormat="1" hidden="1" outlineLevel="1">
      <c r="A46" s="74" t="s">
        <v>71</v>
      </c>
      <c r="B46" s="9" t="s">
        <v>9</v>
      </c>
      <c r="C46" s="20"/>
      <c r="D46" s="20"/>
      <c r="E46" s="19"/>
      <c r="F46" s="18"/>
      <c r="G46" s="18"/>
      <c r="H46" s="18">
        <f>F46+'29'!H46</f>
        <v>0</v>
      </c>
      <c r="I46" s="17"/>
      <c r="J46" s="192"/>
      <c r="K46" s="67">
        <f>J46+'29'!K46</f>
        <v>0</v>
      </c>
      <c r="L46" s="20"/>
      <c r="M46" s="76"/>
      <c r="N46" s="45"/>
      <c r="O46" s="1256"/>
      <c r="P46" s="1257"/>
      <c r="Q46" s="607"/>
      <c r="R46" s="606"/>
      <c r="S46" s="614"/>
      <c r="T46" s="2"/>
      <c r="AA46" s="72"/>
    </row>
    <row r="47" spans="1:27" s="4" customFormat="1" hidden="1" outlineLevel="1">
      <c r="A47" s="74" t="s">
        <v>106</v>
      </c>
      <c r="B47" s="9" t="s">
        <v>9</v>
      </c>
      <c r="C47" s="20">
        <f>'01'!C47</f>
        <v>0</v>
      </c>
      <c r="D47" s="20">
        <f>'01'!D47</f>
        <v>0</v>
      </c>
      <c r="E47" s="19">
        <f>C47/31</f>
        <v>0</v>
      </c>
      <c r="F47" s="18">
        <v>0</v>
      </c>
      <c r="G47" s="18">
        <f>E47+'29'!G47</f>
        <v>0</v>
      </c>
      <c r="H47" s="18">
        <f>F47+'29'!H47</f>
        <v>0</v>
      </c>
      <c r="I47" s="17">
        <f>IFERROR((H47/G47),0)</f>
        <v>0</v>
      </c>
      <c r="J47" s="192"/>
      <c r="K47" s="67">
        <f>J47+'29'!K47</f>
        <v>0</v>
      </c>
      <c r="L47" s="20">
        <f>D47+H47-K47</f>
        <v>0</v>
      </c>
      <c r="M47" s="76"/>
      <c r="N47" s="45"/>
      <c r="O47" s="1256"/>
      <c r="P47" s="1257"/>
      <c r="Q47" s="607"/>
      <c r="R47" s="606"/>
      <c r="S47" s="614"/>
      <c r="T47" s="2"/>
      <c r="AA47" s="72"/>
    </row>
    <row r="48" spans="1:27" s="4" customFormat="1" collapsed="1">
      <c r="A48" s="74" t="s">
        <v>106</v>
      </c>
      <c r="B48" s="9" t="s">
        <v>9</v>
      </c>
      <c r="C48" s="20">
        <f>'01'!C48</f>
        <v>238663.46526254449</v>
      </c>
      <c r="D48" s="20">
        <f>'01'!D48</f>
        <v>14554.971764167974</v>
      </c>
      <c r="E48" s="19">
        <f>C48/30</f>
        <v>7955.4488420848165</v>
      </c>
      <c r="F48" s="110">
        <v>0</v>
      </c>
      <c r="G48" s="18">
        <f>E48+'29'!G48</f>
        <v>238663.46526254457</v>
      </c>
      <c r="H48" s="18">
        <f>F48+'29'!H48</f>
        <v>15244.370772189477</v>
      </c>
      <c r="I48" s="17">
        <f>IFERROR((H48/G48),0)</f>
        <v>6.3873918680514119E-2</v>
      </c>
      <c r="J48" s="750">
        <v>0</v>
      </c>
      <c r="K48" s="67">
        <f>J48+'29'!K48</f>
        <v>27730.381517661059</v>
      </c>
      <c r="L48" s="20">
        <f>D48+H48-K48</f>
        <v>2068.961018696391</v>
      </c>
      <c r="M48" s="76"/>
      <c r="N48" s="45"/>
      <c r="O48" s="1256"/>
      <c r="P48" s="1257"/>
      <c r="Q48" s="607"/>
      <c r="R48" s="606"/>
      <c r="S48" s="614"/>
      <c r="T48" s="2"/>
      <c r="AA48" s="72"/>
    </row>
    <row r="49" spans="1:26" s="4" customFormat="1">
      <c r="A49" s="41" t="s">
        <v>107</v>
      </c>
      <c r="B49" s="26" t="s">
        <v>9</v>
      </c>
      <c r="C49" s="20">
        <f>'01'!C49</f>
        <v>256898.95024371953</v>
      </c>
      <c r="D49" s="20">
        <f>'01'!D49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245898.95024371953</v>
      </c>
      <c r="H49" s="18">
        <f>F49+'29'!H49</f>
        <v>32176.186994748638</v>
      </c>
      <c r="I49" s="17">
        <f>IFERROR((H49/G49),0)</f>
        <v>0.13085125805888001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43"/>
      <c r="O49" s="1244"/>
      <c r="P49" s="1245"/>
      <c r="Q49" s="608"/>
      <c r="R49" s="606"/>
      <c r="S49" s="602"/>
      <c r="T49" s="2"/>
    </row>
    <row r="50" spans="1:26">
      <c r="A50" s="123" t="s">
        <v>61</v>
      </c>
      <c r="B50" s="9" t="s">
        <v>9</v>
      </c>
      <c r="C50" s="20">
        <f>'01'!C50</f>
        <v>0</v>
      </c>
      <c r="D50" s="20">
        <f>'01'!D50</f>
        <v>2323.23</v>
      </c>
      <c r="E50" s="19">
        <v>0</v>
      </c>
      <c r="F50" s="18"/>
      <c r="G50" s="18">
        <f>E50+'29'!G50</f>
        <v>0</v>
      </c>
      <c r="H50" s="18">
        <f>F50+'29'!H50</f>
        <v>0</v>
      </c>
      <c r="I50" s="17">
        <f>IFERROR((H50/G50),0)</f>
        <v>0</v>
      </c>
      <c r="J50" s="192"/>
      <c r="K50" s="67">
        <f>J50+'29'!K50</f>
        <v>0</v>
      </c>
      <c r="L50" s="20">
        <f>D50+H50-K50+M50</f>
        <v>2323.23</v>
      </c>
      <c r="M50" s="410"/>
      <c r="N50" s="43"/>
      <c r="O50" s="1244"/>
      <c r="P50" s="1245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'01'!C51</f>
        <v>256898.95024371953</v>
      </c>
      <c r="D51" s="20">
        <f>'01'!D51</f>
        <v>4567.1619969842723</v>
      </c>
      <c r="E51" s="134">
        <v>11000</v>
      </c>
      <c r="F51" s="110">
        <v>0</v>
      </c>
      <c r="G51" s="18">
        <f>E51+'29'!G51</f>
        <v>245898.95024371953</v>
      </c>
      <c r="H51" s="18">
        <f>F51+'29'!H51</f>
        <v>32176.186994748638</v>
      </c>
      <c r="I51" s="17">
        <f>IFERROR((H51/G51),0)</f>
        <v>0.13085125805888001</v>
      </c>
      <c r="J51" s="192">
        <f>O51-P51</f>
        <v>0</v>
      </c>
      <c r="K51" s="67">
        <f>J51+'29'!K51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9" t="s">
        <v>9</v>
      </c>
      <c r="C52" s="20"/>
      <c r="D52" s="20"/>
      <c r="E52" s="19"/>
      <c r="F52" s="18"/>
      <c r="G52" s="18"/>
      <c r="H52" s="18"/>
      <c r="I52" s="17"/>
      <c r="J52" s="192"/>
      <c r="K52" s="67"/>
      <c r="L52" s="20"/>
      <c r="M52" s="76"/>
      <c r="N52" s="45"/>
      <c r="O52" s="1256"/>
      <c r="P52" s="1257"/>
      <c r="Q52" s="607"/>
      <c r="R52" s="606"/>
      <c r="S52" s="602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'01'!C53</f>
        <v>0</v>
      </c>
      <c r="D53" s="20">
        <f>'01'!D53</f>
        <v>0</v>
      </c>
      <c r="E53" s="240">
        <f t="shared" ref="E53:E58" si="3">C53/$Q$2</f>
        <v>0</v>
      </c>
      <c r="F53" s="73">
        <v>0</v>
      </c>
      <c r="G53" s="18">
        <f>E53+'29'!G53</f>
        <v>0</v>
      </c>
      <c r="H53" s="18">
        <f>F53+'29'!H53</f>
        <v>0</v>
      </c>
      <c r="I53" s="957">
        <f t="shared" ref="I53:I58" si="4">IFERROR((H53/G53),0)</f>
        <v>0</v>
      </c>
      <c r="J53" s="754"/>
      <c r="K53" s="67">
        <f>J53+'29'!K53</f>
        <v>0</v>
      </c>
      <c r="L53" s="60">
        <f t="shared" ref="L53:L63" si="5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'01'!C54</f>
        <v>10000</v>
      </c>
      <c r="D54" s="20">
        <f>'01'!D54</f>
        <v>13684.915881223626</v>
      </c>
      <c r="E54" s="240">
        <f t="shared" si="3"/>
        <v>322.58064516129031</v>
      </c>
      <c r="F54" s="73">
        <v>0</v>
      </c>
      <c r="G54" s="18">
        <f>E54+'29'!G54</f>
        <v>9677.419354838712</v>
      </c>
      <c r="H54" s="18">
        <f>F54+'29'!H54</f>
        <v>0</v>
      </c>
      <c r="I54" s="957">
        <f t="shared" si="4"/>
        <v>0</v>
      </c>
      <c r="J54" s="754">
        <v>0</v>
      </c>
      <c r="K54" s="67">
        <f>J54+'29'!K54</f>
        <v>1475.3367227920221</v>
      </c>
      <c r="L54" s="60">
        <f t="shared" si="5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'01'!C55</f>
        <v>17000</v>
      </c>
      <c r="D55" s="20">
        <f>'01'!D55</f>
        <v>3999.5665967852347</v>
      </c>
      <c r="E55" s="240">
        <f t="shared" si="3"/>
        <v>548.38709677419354</v>
      </c>
      <c r="F55" s="73">
        <v>0</v>
      </c>
      <c r="G55" s="18">
        <f>E55+'29'!G55</f>
        <v>16451.6129032258</v>
      </c>
      <c r="H55" s="73">
        <f>F55+'29'!H55</f>
        <v>0</v>
      </c>
      <c r="I55" s="957">
        <f t="shared" si="4"/>
        <v>0</v>
      </c>
      <c r="J55" s="754">
        <v>0</v>
      </c>
      <c r="K55" s="67">
        <f>J55+'29'!K55</f>
        <v>1358.9626219234012</v>
      </c>
      <c r="L55" s="60">
        <f t="shared" si="5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'01'!C56</f>
        <v>0</v>
      </c>
      <c r="D56" s="20">
        <f>'01'!D56</f>
        <v>0</v>
      </c>
      <c r="E56" s="240">
        <f t="shared" si="3"/>
        <v>0</v>
      </c>
      <c r="F56" s="73">
        <v>0</v>
      </c>
      <c r="G56" s="18">
        <f>E56+'29'!G56</f>
        <v>0</v>
      </c>
      <c r="H56" s="18">
        <f>F56+'29'!H56</f>
        <v>0</v>
      </c>
      <c r="I56" s="957">
        <f t="shared" si="4"/>
        <v>0</v>
      </c>
      <c r="J56" s="624"/>
      <c r="K56" s="67">
        <f>J56+'29'!K56</f>
        <v>0</v>
      </c>
      <c r="L56" s="60">
        <f t="shared" si="5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'01'!C57</f>
        <v>0</v>
      </c>
      <c r="D57" s="20">
        <f>'01'!D57</f>
        <v>178.07499999999999</v>
      </c>
      <c r="E57" s="240">
        <f t="shared" si="3"/>
        <v>0</v>
      </c>
      <c r="F57" s="73">
        <v>0</v>
      </c>
      <c r="G57" s="18">
        <f>E57+'29'!G57</f>
        <v>0</v>
      </c>
      <c r="H57" s="18">
        <f>F57+'29'!H57</f>
        <v>0</v>
      </c>
      <c r="I57" s="957">
        <f t="shared" si="4"/>
        <v>0</v>
      </c>
      <c r="J57" s="624"/>
      <c r="K57" s="67">
        <f>J57+'29'!K57</f>
        <v>0</v>
      </c>
      <c r="L57" s="60">
        <f t="shared" si="5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'01'!C58</f>
        <v>0</v>
      </c>
      <c r="D58" s="20">
        <f>'01'!D58</f>
        <v>3480.6937513418743</v>
      </c>
      <c r="E58" s="240">
        <f t="shared" si="3"/>
        <v>0</v>
      </c>
      <c r="F58" s="73">
        <v>0</v>
      </c>
      <c r="G58" s="18">
        <f>E58+'29'!G58</f>
        <v>0</v>
      </c>
      <c r="H58" s="18">
        <f>F58+'29'!H58</f>
        <v>0</v>
      </c>
      <c r="I58" s="957">
        <f t="shared" si="4"/>
        <v>0</v>
      </c>
      <c r="J58" s="754">
        <v>0</v>
      </c>
      <c r="K58" s="67">
        <f>J58+'29'!K58</f>
        <v>0</v>
      </c>
      <c r="L58" s="60">
        <f t="shared" si="5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'01'!D59</f>
        <v>4269.0880030013104</v>
      </c>
      <c r="E59" s="240"/>
      <c r="F59" s="73">
        <v>0</v>
      </c>
      <c r="G59" s="18"/>
      <c r="H59" s="18">
        <f>F59+'29'!H59</f>
        <v>0</v>
      </c>
      <c r="I59" s="957"/>
      <c r="J59" s="754"/>
      <c r="K59" s="67">
        <f>J59+'29'!K59</f>
        <v>0</v>
      </c>
      <c r="L59" s="60">
        <f t="shared" si="5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F60+'29'!H60</f>
        <v>0</v>
      </c>
      <c r="I60" s="957"/>
      <c r="J60" s="754"/>
      <c r="K60" s="67">
        <f>J60+'29'!K60</f>
        <v>0</v>
      </c>
      <c r="L60" s="60">
        <f t="shared" si="5"/>
        <v>0</v>
      </c>
      <c r="M60" s="411"/>
      <c r="N60" s="57"/>
      <c r="O60" s="1278"/>
      <c r="P60" s="1279"/>
      <c r="Q60" s="609"/>
      <c r="R60" s="7"/>
      <c r="S60" s="615"/>
      <c r="T60" s="2"/>
    </row>
    <row r="61" spans="1:26" s="56" customFormat="1">
      <c r="A61" s="61" t="s">
        <v>83</v>
      </c>
      <c r="B61" s="59" t="s">
        <v>9</v>
      </c>
      <c r="C61" s="20"/>
      <c r="D61" s="20">
        <f>'01'!D61</f>
        <v>1063.653</v>
      </c>
      <c r="E61" s="240"/>
      <c r="F61" s="73"/>
      <c r="G61" s="18"/>
      <c r="H61" s="18">
        <f>F61+'29'!H61</f>
        <v>0</v>
      </c>
      <c r="I61" s="957"/>
      <c r="J61" s="624">
        <f>D139+D141</f>
        <v>0</v>
      </c>
      <c r="K61" s="67">
        <f>J61+'29'!K61</f>
        <v>0</v>
      </c>
      <c r="L61" s="60">
        <f t="shared" si="5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'01'!D62</f>
        <v>1531.7249999999999</v>
      </c>
      <c r="E62" s="529"/>
      <c r="F62" s="530">
        <v>0</v>
      </c>
      <c r="G62" s="531"/>
      <c r="H62" s="18">
        <f>F62+'29'!H62</f>
        <v>0</v>
      </c>
      <c r="I62" s="532"/>
      <c r="J62" s="754">
        <v>0</v>
      </c>
      <c r="K62" s="528">
        <f>J62+'29'!K62</f>
        <v>0</v>
      </c>
      <c r="L62" s="60">
        <f t="shared" si="5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'01'!C63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F63+'29'!H63</f>
        <v>3329.1499999999996</v>
      </c>
      <c r="I63" s="1064"/>
      <c r="J63" s="1065">
        <v>0</v>
      </c>
      <c r="K63" s="1066">
        <f>J63+'29'!K63</f>
        <v>2011.9747735336571</v>
      </c>
      <c r="L63" s="20">
        <f t="shared" si="5"/>
        <v>5722.792418496927</v>
      </c>
      <c r="M63" s="533"/>
      <c r="N63" s="534"/>
      <c r="O63" s="1278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'01'!D64</f>
        <v>452.58776173652768</v>
      </c>
      <c r="E64" s="529"/>
      <c r="F64" s="530"/>
      <c r="G64" s="531"/>
      <c r="H64" s="18">
        <f>F64+'29'!H64</f>
        <v>0</v>
      </c>
      <c r="I64" s="532"/>
      <c r="J64" s="624"/>
      <c r="K64" s="528">
        <f>J64+'29'!K64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'01'!D65</f>
        <v>0</v>
      </c>
      <c r="E65" s="240"/>
      <c r="F65" s="73"/>
      <c r="G65" s="18"/>
      <c r="H65" s="18">
        <f>F65+'29'!H65</f>
        <v>0</v>
      </c>
      <c r="I65" s="957"/>
      <c r="J65" s="624"/>
      <c r="K65" s="67">
        <f>J65+'29'!K65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'01'!D66</f>
        <v>0</v>
      </c>
      <c r="E66" s="240"/>
      <c r="F66" s="73"/>
      <c r="G66" s="18"/>
      <c r="H66" s="18">
        <f>F66+'29'!H66</f>
        <v>0</v>
      </c>
      <c r="I66" s="957"/>
      <c r="J66" s="624"/>
      <c r="K66" s="67">
        <f>J66+'29'!K66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'01'!D67</f>
        <v>243.8</v>
      </c>
      <c r="E67" s="240"/>
      <c r="F67" s="73">
        <v>0</v>
      </c>
      <c r="G67" s="18"/>
      <c r="H67" s="18">
        <f>F67+'29'!H67</f>
        <v>0</v>
      </c>
      <c r="I67" s="957"/>
      <c r="J67" s="624"/>
      <c r="K67" s="67">
        <f>J67+'29'!K67</f>
        <v>0</v>
      </c>
      <c r="L67" s="60">
        <f t="shared" ref="L67:L73" si="6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'01'!D68</f>
        <v>0</v>
      </c>
      <c r="E68" s="240"/>
      <c r="F68" s="73"/>
      <c r="G68" s="18"/>
      <c r="H68" s="18">
        <f>F68+'29'!H68</f>
        <v>0</v>
      </c>
      <c r="I68" s="957"/>
      <c r="J68" s="624"/>
      <c r="K68" s="67">
        <f>J68+'29'!K68</f>
        <v>0</v>
      </c>
      <c r="L68" s="60">
        <f t="shared" si="6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'01'!D69</f>
        <v>-14212.944176010715</v>
      </c>
      <c r="E69" s="240"/>
      <c r="F69" s="73"/>
      <c r="G69" s="18"/>
      <c r="H69" s="18">
        <f>F69+'29'!H69</f>
        <v>0</v>
      </c>
      <c r="I69" s="957"/>
      <c r="J69" s="755">
        <v>0</v>
      </c>
      <c r="K69" s="67">
        <f>J69+'29'!K69</f>
        <v>2011.9747735336571</v>
      </c>
      <c r="L69" s="60">
        <f t="shared" si="6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'01'!D70</f>
        <v>17922.173606304772</v>
      </c>
      <c r="E70" s="240"/>
      <c r="F70" s="73">
        <v>0</v>
      </c>
      <c r="G70" s="18"/>
      <c r="H70" s="18">
        <f>F70+'29'!H70</f>
        <v>3329.1499999999996</v>
      </c>
      <c r="I70" s="957"/>
      <c r="J70" s="624"/>
      <c r="K70" s="67">
        <f>J70+'29'!K70</f>
        <v>0</v>
      </c>
      <c r="L70" s="60">
        <f t="shared" si="6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'01'!D71</f>
        <v>0</v>
      </c>
      <c r="E71" s="240"/>
      <c r="F71" s="73"/>
      <c r="G71" s="18"/>
      <c r="H71" s="18">
        <f>F71+'29'!H71</f>
        <v>0</v>
      </c>
      <c r="I71" s="957"/>
      <c r="J71" s="624"/>
      <c r="K71" s="67">
        <f>J71+'29'!K71</f>
        <v>0</v>
      </c>
      <c r="L71" s="60">
        <f t="shared" si="6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'01'!D72</f>
        <v>145.84215184813729</v>
      </c>
      <c r="E72" s="389"/>
      <c r="F72" s="390">
        <f>N82</f>
        <v>0</v>
      </c>
      <c r="G72" s="391"/>
      <c r="H72" s="391">
        <f>F72+'29'!H72</f>
        <v>1911.376034856974</v>
      </c>
      <c r="I72" s="392"/>
      <c r="J72" s="952">
        <f>K131</f>
        <v>0</v>
      </c>
      <c r="K72" s="396">
        <f>J72+'29'!K72</f>
        <v>1866.56160653087</v>
      </c>
      <c r="L72" s="558">
        <f t="shared" si="6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>
        <f>'01'!D73</f>
        <v>0</v>
      </c>
      <c r="E73" s="814"/>
      <c r="F73" s="815"/>
      <c r="G73" s="816"/>
      <c r="H73" s="816">
        <f>F73+'29'!H73</f>
        <v>0</v>
      </c>
      <c r="I73" s="817"/>
      <c r="J73" s="814"/>
      <c r="K73" s="818">
        <f>J73+'29'!K73</f>
        <v>0</v>
      </c>
      <c r="L73" s="819">
        <f t="shared" si="6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382" t="s">
        <v>30</v>
      </c>
      <c r="B77" s="1383"/>
      <c r="C77" s="1383"/>
      <c r="D77" s="1383"/>
      <c r="E77" s="1383"/>
      <c r="F77" s="1383"/>
      <c r="G77" s="1383"/>
      <c r="H77" s="1383"/>
      <c r="I77" s="1383"/>
      <c r="J77" s="1383"/>
      <c r="K77" s="1383"/>
      <c r="L77" s="1383"/>
      <c r="M77" s="1383"/>
      <c r="N77" s="1383"/>
      <c r="O77" s="1383"/>
      <c r="P77" s="1384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68" t="s">
        <v>28</v>
      </c>
      <c r="O79" s="710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7">IFERROR(D80/C80,0)</f>
        <v>0</v>
      </c>
      <c r="F80" s="66">
        <v>0</v>
      </c>
      <c r="G80" s="8">
        <f t="shared" ref="G80:G94" si="8">24-F80</f>
        <v>24</v>
      </c>
      <c r="H80" s="17">
        <f t="shared" ref="H80:H86" si="9">F80/24</f>
        <v>0</v>
      </c>
      <c r="I80" s="19" t="e">
        <v>#DIV/0!</v>
      </c>
      <c r="J80" s="17">
        <f t="shared" ref="J80:J94" si="10">IFERROR(I80/C80,0)</f>
        <v>0</v>
      </c>
      <c r="K80" s="66">
        <v>0</v>
      </c>
      <c r="L80" s="8">
        <f>24*30-K80</f>
        <v>720</v>
      </c>
      <c r="M80" s="36">
        <f>K80/(24*30)</f>
        <v>0</v>
      </c>
      <c r="N80" s="965"/>
      <c r="O80" s="302">
        <f>N80+'29'!O80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7"/>
        <v>0</v>
      </c>
      <c r="F81" s="66">
        <v>0</v>
      </c>
      <c r="G81" s="8">
        <f t="shared" si="8"/>
        <v>24</v>
      </c>
      <c r="H81" s="17">
        <f t="shared" si="9"/>
        <v>0</v>
      </c>
      <c r="I81" s="19" t="e">
        <v>#DIV/0!</v>
      </c>
      <c r="J81" s="17">
        <f t="shared" si="10"/>
        <v>0</v>
      </c>
      <c r="K81" s="66">
        <v>0</v>
      </c>
      <c r="L81" s="8">
        <f>24*30-K81</f>
        <v>720</v>
      </c>
      <c r="M81" s="36">
        <f t="shared" ref="M81:M94" si="11">K81/(24*30)</f>
        <v>0</v>
      </c>
      <c r="N81" s="965"/>
      <c r="O81" s="302">
        <f>N81+'29'!O81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37">
        <f>'01'!C82</f>
        <v>45</v>
      </c>
      <c r="D82" s="134">
        <f t="shared" ref="D82:D90" si="12">IFERROR(N82/F82,0)</f>
        <v>0</v>
      </c>
      <c r="E82" s="17">
        <f t="shared" si="7"/>
        <v>0</v>
      </c>
      <c r="F82" s="134">
        <v>0</v>
      </c>
      <c r="G82" s="18">
        <f t="shared" si="8"/>
        <v>24</v>
      </c>
      <c r="H82" s="17">
        <f t="shared" si="9"/>
        <v>0</v>
      </c>
      <c r="I82" s="134">
        <f t="shared" ref="I82:I90" si="13">IFERROR(O82/K82,0)</f>
        <v>43.535460826585258</v>
      </c>
      <c r="J82" s="17">
        <f t="shared" si="10"/>
        <v>0.96745468503522791</v>
      </c>
      <c r="K82" s="19">
        <f>F82+'29'!K82</f>
        <v>43.903888888888886</v>
      </c>
      <c r="L82" s="192">
        <f>24*30-K82</f>
        <v>676.0961111111111</v>
      </c>
      <c r="M82" s="36">
        <f t="shared" si="11"/>
        <v>6.0977623456790121E-2</v>
      </c>
      <c r="N82" s="716">
        <v>0</v>
      </c>
      <c r="O82" s="303">
        <f>N82+'29'!O82</f>
        <v>1911.376034856974</v>
      </c>
      <c r="P82" s="711"/>
      <c r="Q82" s="34">
        <v>127.08333333333333</v>
      </c>
      <c r="R82" s="34">
        <v>127.08333333333333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2"/>
        <v>0</v>
      </c>
      <c r="E83" s="17">
        <f t="shared" si="7"/>
        <v>0</v>
      </c>
      <c r="F83" s="134">
        <v>0</v>
      </c>
      <c r="G83" s="18">
        <f t="shared" si="8"/>
        <v>24</v>
      </c>
      <c r="H83" s="17">
        <f t="shared" si="9"/>
        <v>0</v>
      </c>
      <c r="I83" s="134">
        <f t="shared" si="13"/>
        <v>498.27193460328596</v>
      </c>
      <c r="J83" s="17">
        <f t="shared" si="10"/>
        <v>0.9965438692065719</v>
      </c>
      <c r="K83" s="19">
        <f>F83+'29'!K83</f>
        <v>64.575555555555553</v>
      </c>
      <c r="L83" s="192">
        <f>G83+'29'!L83</f>
        <v>655.42444444444448</v>
      </c>
      <c r="M83" s="36">
        <f t="shared" si="11"/>
        <v>8.9688271604938266E-2</v>
      </c>
      <c r="N83" s="716">
        <v>0</v>
      </c>
      <c r="O83" s="303">
        <f>N83+'29'!O83</f>
        <v>32176.186994748638</v>
      </c>
      <c r="P83" s="711"/>
      <c r="Q83" s="34">
        <v>127.08333333333333</v>
      </c>
      <c r="R83" s="34">
        <v>127.08333333333333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2"/>
        <v>0</v>
      </c>
      <c r="E84" s="17">
        <f t="shared" si="7"/>
        <v>0</v>
      </c>
      <c r="F84" s="134">
        <v>0</v>
      </c>
      <c r="G84" s="18">
        <f t="shared" si="8"/>
        <v>24</v>
      </c>
      <c r="H84" s="17">
        <f t="shared" si="9"/>
        <v>0</v>
      </c>
      <c r="I84" s="134">
        <f t="shared" si="13"/>
        <v>259.69099144791005</v>
      </c>
      <c r="J84" s="17">
        <f t="shared" si="10"/>
        <v>0</v>
      </c>
      <c r="K84" s="19">
        <f>F84+'29'!K84</f>
        <v>64.977499999999992</v>
      </c>
      <c r="L84" s="624">
        <f>G84+'29'!L84</f>
        <v>655.02250000000004</v>
      </c>
      <c r="M84" s="36">
        <f t="shared" si="11"/>
        <v>9.0246527777777766E-2</v>
      </c>
      <c r="N84" s="716">
        <v>0</v>
      </c>
      <c r="O84" s="303">
        <f>N84+'29'!O84</f>
        <v>16874.071396806572</v>
      </c>
      <c r="P84" s="711"/>
      <c r="Q84" s="34">
        <v>127.08333333333333</v>
      </c>
      <c r="R84" s="34">
        <v>127.08333333333333</v>
      </c>
      <c r="S84" s="779"/>
      <c r="T84" s="2"/>
    </row>
    <row r="85" spans="1:20" hidden="1" outlineLevel="1">
      <c r="A85" s="38" t="s">
        <v>55</v>
      </c>
      <c r="B85" s="21" t="s">
        <v>17</v>
      </c>
      <c r="C85" s="37" t="e">
        <f>#REF!</f>
        <v>#REF!</v>
      </c>
      <c r="D85" s="134">
        <f t="shared" si="12"/>
        <v>0</v>
      </c>
      <c r="E85" s="17">
        <f t="shared" si="7"/>
        <v>0</v>
      </c>
      <c r="F85" s="134">
        <v>0</v>
      </c>
      <c r="G85" s="18">
        <f t="shared" si="8"/>
        <v>24</v>
      </c>
      <c r="H85" s="17">
        <f t="shared" si="9"/>
        <v>0</v>
      </c>
      <c r="I85" s="134">
        <f t="shared" si="13"/>
        <v>0</v>
      </c>
      <c r="J85" s="17">
        <f t="shared" si="10"/>
        <v>0</v>
      </c>
      <c r="K85" s="19" t="e">
        <f>F85+'29'!K85</f>
        <v>#REF!</v>
      </c>
      <c r="L85" s="192" t="e">
        <f>G85+'29'!L85</f>
        <v>#REF!</v>
      </c>
      <c r="M85" s="36" t="e">
        <f>K85/(24*12)</f>
        <v>#REF!</v>
      </c>
      <c r="N85" s="965">
        <v>0</v>
      </c>
      <c r="O85" s="302" t="e">
        <f>N85+'29'!O85</f>
        <v>#REF!</v>
      </c>
      <c r="P85" s="711"/>
      <c r="Q85" s="34"/>
      <c r="R85" s="34"/>
      <c r="T85" s="2"/>
    </row>
    <row r="86" spans="1:20" hidden="1" outlineLevel="1">
      <c r="A86" s="38" t="s">
        <v>57</v>
      </c>
      <c r="B86" s="21" t="s">
        <v>17</v>
      </c>
      <c r="C86" s="65">
        <f>'01'!C86</f>
        <v>0</v>
      </c>
      <c r="D86" s="134">
        <f t="shared" si="12"/>
        <v>0</v>
      </c>
      <c r="E86" s="17">
        <f t="shared" si="7"/>
        <v>0</v>
      </c>
      <c r="F86" s="134">
        <v>0</v>
      </c>
      <c r="G86" s="18">
        <f t="shared" si="8"/>
        <v>24</v>
      </c>
      <c r="H86" s="17">
        <f t="shared" si="9"/>
        <v>0</v>
      </c>
      <c r="I86" s="134">
        <f t="shared" si="13"/>
        <v>0</v>
      </c>
      <c r="J86" s="17">
        <f t="shared" si="10"/>
        <v>0</v>
      </c>
      <c r="K86" s="19">
        <f>F86+'29'!K86</f>
        <v>0</v>
      </c>
      <c r="L86" s="192">
        <f>G86+'29'!L86</f>
        <v>696</v>
      </c>
      <c r="M86" s="36">
        <f>K86/(24*12)</f>
        <v>0</v>
      </c>
      <c r="N86" s="965">
        <v>0</v>
      </c>
      <c r="O86" s="303">
        <f>N86+'29'!O86</f>
        <v>0</v>
      </c>
      <c r="P86" s="771"/>
      <c r="Q86" s="34"/>
      <c r="R86" s="34"/>
      <c r="T86" s="2"/>
    </row>
    <row r="87" spans="1:20" hidden="1" outlineLevel="1">
      <c r="A87" s="38" t="s">
        <v>53</v>
      </c>
      <c r="B87" s="21" t="s">
        <v>17</v>
      </c>
      <c r="C87" s="65">
        <v>35</v>
      </c>
      <c r="D87" s="134">
        <f t="shared" si="12"/>
        <v>0</v>
      </c>
      <c r="E87" s="17">
        <f t="shared" si="7"/>
        <v>0</v>
      </c>
      <c r="F87" s="134">
        <v>0</v>
      </c>
      <c r="G87" s="18">
        <f t="shared" si="8"/>
        <v>24</v>
      </c>
      <c r="H87" s="17">
        <f t="shared" ref="H87:H94" si="14">F87/24</f>
        <v>0</v>
      </c>
      <c r="I87" s="134">
        <f t="shared" si="13"/>
        <v>0</v>
      </c>
      <c r="J87" s="17">
        <f t="shared" si="10"/>
        <v>0</v>
      </c>
      <c r="K87" s="19">
        <f>F87+'29'!K87</f>
        <v>0</v>
      </c>
      <c r="L87" s="192">
        <f>G87+'29'!L87</f>
        <v>696</v>
      </c>
      <c r="M87" s="36">
        <f t="shared" si="11"/>
        <v>0</v>
      </c>
      <c r="N87" s="965">
        <v>0</v>
      </c>
      <c r="O87" s="303">
        <f>N87+'29'!O87</f>
        <v>0</v>
      </c>
      <c r="P87" s="771"/>
      <c r="Q87" s="34"/>
      <c r="R87" s="34"/>
      <c r="T87" s="2"/>
    </row>
    <row r="88" spans="1:20" hidden="1" collapsed="1">
      <c r="A88" s="38" t="s">
        <v>54</v>
      </c>
      <c r="B88" s="21" t="s">
        <v>17</v>
      </c>
      <c r="C88" s="65"/>
      <c r="D88" s="134">
        <f t="shared" si="12"/>
        <v>0</v>
      </c>
      <c r="E88" s="17">
        <f t="shared" si="7"/>
        <v>0</v>
      </c>
      <c r="F88" s="134">
        <v>0</v>
      </c>
      <c r="G88" s="18">
        <f t="shared" si="8"/>
        <v>24</v>
      </c>
      <c r="H88" s="17">
        <f t="shared" si="14"/>
        <v>0</v>
      </c>
      <c r="I88" s="134">
        <f t="shared" si="13"/>
        <v>0</v>
      </c>
      <c r="J88" s="17">
        <f t="shared" si="10"/>
        <v>0</v>
      </c>
      <c r="K88" s="19">
        <f>F88+'29'!K88</f>
        <v>0</v>
      </c>
      <c r="L88" s="192">
        <f>G88+'29'!L88</f>
        <v>696</v>
      </c>
      <c r="M88" s="36">
        <f t="shared" si="11"/>
        <v>0</v>
      </c>
      <c r="N88" s="716">
        <v>0</v>
      </c>
      <c r="O88" s="303">
        <f>N88+'29'!O88</f>
        <v>0</v>
      </c>
      <c r="P88" s="771"/>
      <c r="Q88" s="34"/>
      <c r="R88" s="34"/>
      <c r="T88" s="2"/>
    </row>
    <row r="89" spans="1:20" outlineLevel="1">
      <c r="A89" s="38" t="s">
        <v>229</v>
      </c>
      <c r="B89" s="21" t="s">
        <v>17</v>
      </c>
      <c r="C89" s="60">
        <f>'01'!C89</f>
        <v>47</v>
      </c>
      <c r="D89" s="134">
        <f t="shared" si="12"/>
        <v>0</v>
      </c>
      <c r="E89" s="17">
        <f t="shared" si="7"/>
        <v>0</v>
      </c>
      <c r="F89" s="134">
        <v>0</v>
      </c>
      <c r="G89" s="18">
        <f t="shared" si="8"/>
        <v>24</v>
      </c>
      <c r="H89" s="17">
        <f t="shared" si="14"/>
        <v>0</v>
      </c>
      <c r="I89" s="134">
        <f t="shared" si="13"/>
        <v>41.420860547642825</v>
      </c>
      <c r="J89" s="17">
        <f t="shared" si="10"/>
        <v>0.88129490526899623</v>
      </c>
      <c r="K89" s="19">
        <f>F89+'29'!K89</f>
        <v>1.6950000000000001</v>
      </c>
      <c r="L89" s="192">
        <f>G89+'29'!L89</f>
        <v>718.30500000000006</v>
      </c>
      <c r="M89" s="36">
        <f t="shared" si="11"/>
        <v>2.3541666666666667E-3</v>
      </c>
      <c r="N89" s="1001">
        <v>0</v>
      </c>
      <c r="O89" s="303">
        <f>N89+'29'!O89</f>
        <v>70.208358628254587</v>
      </c>
      <c r="P89" s="768"/>
      <c r="Q89" s="34">
        <v>0</v>
      </c>
      <c r="R89" s="34">
        <v>0</v>
      </c>
      <c r="T89" s="2"/>
    </row>
    <row r="90" spans="1:20" outlineLevel="1">
      <c r="A90" s="38" t="s">
        <v>195</v>
      </c>
      <c r="B90" s="21" t="s">
        <v>17</v>
      </c>
      <c r="C90" s="60">
        <f>'01'!C90</f>
        <v>47</v>
      </c>
      <c r="D90" s="134">
        <f t="shared" si="12"/>
        <v>0</v>
      </c>
      <c r="E90" s="17">
        <f t="shared" si="7"/>
        <v>0</v>
      </c>
      <c r="F90" s="134">
        <v>0</v>
      </c>
      <c r="G90" s="18">
        <f t="shared" si="8"/>
        <v>24</v>
      </c>
      <c r="H90" s="17">
        <f t="shared" si="14"/>
        <v>0</v>
      </c>
      <c r="I90" s="134">
        <f t="shared" si="13"/>
        <v>48.591763261195744</v>
      </c>
      <c r="J90" s="17">
        <f t="shared" si="10"/>
        <v>1.0338673034296968</v>
      </c>
      <c r="K90" s="19">
        <f>F90+'29'!K90</f>
        <v>32.664166666666674</v>
      </c>
      <c r="L90" s="192">
        <f>G90+'29'!L90</f>
        <v>687.33583333333331</v>
      </c>
      <c r="M90" s="36">
        <f t="shared" si="11"/>
        <v>4.5366898148148156E-2</v>
      </c>
      <c r="N90" s="1001">
        <v>0</v>
      </c>
      <c r="O90" s="303">
        <f>N90+'29'!O90</f>
        <v>1587.2094537909084</v>
      </c>
      <c r="P90" s="768"/>
      <c r="Q90" s="34">
        <v>0</v>
      </c>
      <c r="R90" s="34">
        <v>0</v>
      </c>
      <c r="T90" s="2"/>
    </row>
    <row r="91" spans="1:20" hidden="1">
      <c r="A91" s="38" t="s">
        <v>47</v>
      </c>
      <c r="B91" s="21" t="s">
        <v>17</v>
      </c>
      <c r="C91" s="65">
        <f>'01'!C91</f>
        <v>0</v>
      </c>
      <c r="D91" s="134">
        <f>IFERROR(N91/F91,0)</f>
        <v>0</v>
      </c>
      <c r="E91" s="17">
        <f t="shared" si="7"/>
        <v>0</v>
      </c>
      <c r="F91" s="134">
        <v>0</v>
      </c>
      <c r="G91" s="18">
        <f t="shared" si="8"/>
        <v>24</v>
      </c>
      <c r="H91" s="17">
        <f t="shared" si="14"/>
        <v>0</v>
      </c>
      <c r="I91" s="134">
        <f>IFERROR(O91/K91,0)</f>
        <v>0</v>
      </c>
      <c r="J91" s="17">
        <f t="shared" si="10"/>
        <v>0</v>
      </c>
      <c r="K91" s="19">
        <f>F91+'29'!K91</f>
        <v>0</v>
      </c>
      <c r="L91" s="192">
        <f>G91+'29'!L91</f>
        <v>720</v>
      </c>
      <c r="M91" s="36">
        <f t="shared" si="11"/>
        <v>0</v>
      </c>
      <c r="N91" s="716">
        <v>0</v>
      </c>
      <c r="O91" s="303">
        <f>N91+'29'!O91</f>
        <v>0</v>
      </c>
      <c r="P91" s="711"/>
      <c r="Q91" s="34">
        <v>0</v>
      </c>
      <c r="R91" s="34">
        <v>0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>IFERROR(N92/F92,0)</f>
        <v>0</v>
      </c>
      <c r="E92" s="17">
        <f t="shared" si="7"/>
        <v>0</v>
      </c>
      <c r="F92" s="134">
        <v>0</v>
      </c>
      <c r="G92" s="18">
        <f t="shared" si="8"/>
        <v>24</v>
      </c>
      <c r="H92" s="17">
        <f t="shared" si="14"/>
        <v>0</v>
      </c>
      <c r="I92" s="134">
        <f>IFERROR(O92/K92,0)</f>
        <v>140.11316982515353</v>
      </c>
      <c r="J92" s="17">
        <f t="shared" si="10"/>
        <v>0.89583581578868565</v>
      </c>
      <c r="K92" s="240">
        <f>F92+'29'!K92</f>
        <v>71.521666666666675</v>
      </c>
      <c r="L92" s="624">
        <f>G92+'29'!L92</f>
        <v>648.47833333333335</v>
      </c>
      <c r="M92" s="36">
        <f t="shared" si="11"/>
        <v>9.9335648148148159E-2</v>
      </c>
      <c r="N92" s="716">
        <v>0</v>
      </c>
      <c r="O92" s="303">
        <f>N92+'29'!O92</f>
        <v>10021.127427844691</v>
      </c>
      <c r="P92" s="711"/>
      <c r="Q92" s="34">
        <v>0</v>
      </c>
      <c r="R92" s="34">
        <v>0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>IFERROR(N93/F93,0)</f>
        <v>0</v>
      </c>
      <c r="E93" s="17">
        <f t="shared" si="7"/>
        <v>0</v>
      </c>
      <c r="F93" s="134">
        <v>0</v>
      </c>
      <c r="G93" s="18">
        <f t="shared" si="8"/>
        <v>24</v>
      </c>
      <c r="H93" s="17">
        <f t="shared" si="14"/>
        <v>0</v>
      </c>
      <c r="I93" s="134">
        <f>IFERROR(O93/K93,0)</f>
        <v>144.80399190974401</v>
      </c>
      <c r="J93" s="17">
        <f t="shared" si="10"/>
        <v>0.94516947445354405</v>
      </c>
      <c r="K93" s="240">
        <f>F93+'29'!K93</f>
        <v>64.288611111111109</v>
      </c>
      <c r="L93" s="624">
        <f>G93+'29'!L93</f>
        <v>655.71138888888891</v>
      </c>
      <c r="M93" s="36">
        <f t="shared" si="11"/>
        <v>8.928973765432098E-2</v>
      </c>
      <c r="N93" s="716">
        <v>0</v>
      </c>
      <c r="O93" s="303">
        <f>N93+'29'!O93</f>
        <v>9309.2475232220113</v>
      </c>
      <c r="P93" s="711"/>
      <c r="Q93" s="34">
        <v>0</v>
      </c>
      <c r="R93" s="34">
        <v>0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>IFERROR(N94/F94,0)</f>
        <v>0</v>
      </c>
      <c r="E94" s="870">
        <f t="shared" si="7"/>
        <v>0</v>
      </c>
      <c r="F94" s="878"/>
      <c r="G94" s="531">
        <f t="shared" si="8"/>
        <v>24</v>
      </c>
      <c r="H94" s="870">
        <f t="shared" si="14"/>
        <v>0</v>
      </c>
      <c r="I94" s="765">
        <f>IFERROR(O94/K94,0)</f>
        <v>89.046875</v>
      </c>
      <c r="J94" s="870">
        <f t="shared" si="10"/>
        <v>1.4841145833333333</v>
      </c>
      <c r="K94" s="878">
        <f>F94+'29'!K94</f>
        <v>32</v>
      </c>
      <c r="L94" s="874">
        <f>G94+'29'!L94</f>
        <v>688</v>
      </c>
      <c r="M94" s="873">
        <f t="shared" si="11"/>
        <v>4.4444444444444446E-2</v>
      </c>
      <c r="N94" s="966">
        <f>E111+E120+E121+E122</f>
        <v>0</v>
      </c>
      <c r="O94" s="871">
        <f>N94+'29'!O94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>IFERROR(N95/F95,0)</f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F95+'29'!K95</f>
        <v>7</v>
      </c>
      <c r="L95" s="709">
        <f>G95+'29'!L95</f>
        <v>713</v>
      </c>
      <c r="M95" s="712">
        <f>K95/(24*30)</f>
        <v>9.7222222222222224E-3</v>
      </c>
      <c r="N95" s="967">
        <f>E112+E114+E115+E118+E119</f>
        <v>0</v>
      </c>
      <c r="O95" s="713">
        <f>N95+'29'!O95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49" t="s">
        <v>3</v>
      </c>
      <c r="H99" s="12" t="s">
        <v>2</v>
      </c>
      <c r="I99" s="850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3867</v>
      </c>
      <c r="E100" s="30">
        <f>E101+E110</f>
        <v>0</v>
      </c>
      <c r="F100" s="29">
        <f t="shared" ref="F100:F109" si="15">IFERROR((E100/D100),0)</f>
        <v>0</v>
      </c>
      <c r="G100" s="51">
        <f>G101+G110</f>
        <v>190379</v>
      </c>
      <c r="H100" s="30">
        <f>H101+H110</f>
        <v>19708.249999999993</v>
      </c>
      <c r="I100" s="29">
        <f t="shared" ref="I100:I109" si="16">IFERROR((H100/G100),0)</f>
        <v>0.10352113415870444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3867</v>
      </c>
      <c r="E101" s="24">
        <f>SUM(E102:E109)</f>
        <v>0</v>
      </c>
      <c r="F101" s="23">
        <f t="shared" si="15"/>
        <v>0</v>
      </c>
      <c r="G101" s="555">
        <f>SUM(G102:G109)</f>
        <v>138207</v>
      </c>
      <c r="H101" s="24">
        <f>SUM(H102:H109)</f>
        <v>15844.349999999995</v>
      </c>
      <c r="I101" s="23">
        <f t="shared" si="16"/>
        <v>0.11464216718400656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5"/>
        <v>0</v>
      </c>
      <c r="G102" s="19">
        <f>D102+'29'!G102</f>
        <v>0</v>
      </c>
      <c r="H102" s="625">
        <f>E102+'29'!H102</f>
        <v>0</v>
      </c>
      <c r="I102" s="17">
        <f t="shared" si="16"/>
        <v>0</v>
      </c>
      <c r="J102" s="1341"/>
      <c r="K102" s="1343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270</v>
      </c>
      <c r="E103" s="166">
        <v>0</v>
      </c>
      <c r="F103" s="17">
        <f t="shared" si="15"/>
        <v>0</v>
      </c>
      <c r="G103" s="741">
        <f>D103+'29'!G103</f>
        <v>10880</v>
      </c>
      <c r="H103" s="695">
        <f>E103+'29'!H103</f>
        <v>0</v>
      </c>
      <c r="I103" s="17">
        <f t="shared" si="16"/>
        <v>0</v>
      </c>
      <c r="J103" s="1341"/>
      <c r="K103" s="1343"/>
      <c r="L103" s="247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3434</v>
      </c>
      <c r="E104" s="110">
        <v>0</v>
      </c>
      <c r="F104" s="17">
        <f t="shared" si="15"/>
        <v>0</v>
      </c>
      <c r="G104" s="19">
        <f>D104+'29'!G104</f>
        <v>122726</v>
      </c>
      <c r="H104" s="625">
        <f>E104+'29'!H104</f>
        <v>12980.249999999995</v>
      </c>
      <c r="I104" s="17">
        <f t="shared" si="16"/>
        <v>0.10576609683359675</v>
      </c>
      <c r="J104" s="1341"/>
      <c r="K104" s="1343"/>
      <c r="L104" s="247"/>
      <c r="M104" s="247"/>
      <c r="N104" s="247"/>
      <c r="O104" s="247"/>
      <c r="P104" s="16"/>
      <c r="T104" s="2"/>
    </row>
    <row r="105" spans="1:20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5"/>
        <v>0</v>
      </c>
      <c r="G105" s="19">
        <f>D105+'29'!G105</f>
        <v>0</v>
      </c>
      <c r="H105" s="625">
        <f>E105+'29'!H105</f>
        <v>475.6</v>
      </c>
      <c r="I105" s="17">
        <f t="shared" si="16"/>
        <v>0</v>
      </c>
      <c r="J105" s="1341"/>
      <c r="K105" s="1343"/>
      <c r="L105" s="16"/>
      <c r="M105" s="16"/>
      <c r="N105" s="247"/>
      <c r="O105" s="247"/>
      <c r="P105" s="16"/>
      <c r="Q105" s="6"/>
      <c r="T105" s="2"/>
    </row>
    <row r="106" spans="1:20">
      <c r="A106" s="254" t="s">
        <v>254</v>
      </c>
      <c r="B106" s="9" t="s">
        <v>9</v>
      </c>
      <c r="C106" s="20">
        <f>'01'!C106</f>
        <v>0</v>
      </c>
      <c r="D106" s="69">
        <v>0</v>
      </c>
      <c r="E106" s="110">
        <v>0</v>
      </c>
      <c r="F106" s="17">
        <f t="shared" si="15"/>
        <v>0</v>
      </c>
      <c r="G106" s="19">
        <f>D106+'29'!G106</f>
        <v>0</v>
      </c>
      <c r="H106" s="625">
        <f>E106+'29'!H106</f>
        <v>1280.3</v>
      </c>
      <c r="I106" s="17">
        <f t="shared" si="16"/>
        <v>0</v>
      </c>
      <c r="J106" s="1341"/>
      <c r="K106" s="1343"/>
      <c r="L106" s="247"/>
      <c r="M106" s="247"/>
      <c r="N106" s="247"/>
      <c r="O106" s="247"/>
      <c r="P106" s="16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5"/>
        <v>0</v>
      </c>
      <c r="G107" s="19">
        <f>D107+'29'!G107</f>
        <v>0</v>
      </c>
      <c r="H107" s="625">
        <f>E107+'29'!H107</f>
        <v>0</v>
      </c>
      <c r="I107" s="17">
        <f t="shared" si="16"/>
        <v>0</v>
      </c>
      <c r="J107" s="1341"/>
      <c r="K107" s="1343"/>
      <c r="L107" s="247"/>
      <c r="M107" s="247"/>
      <c r="N107" s="247"/>
      <c r="O107" s="247"/>
      <c r="P107" s="16"/>
      <c r="T107" s="2"/>
    </row>
    <row r="108" spans="1:20">
      <c r="A108" s="254" t="s">
        <v>245</v>
      </c>
      <c r="B108" s="9" t="s">
        <v>9</v>
      </c>
      <c r="C108" s="20">
        <f>'01'!C108</f>
        <v>3558</v>
      </c>
      <c r="D108" s="134">
        <v>163</v>
      </c>
      <c r="E108" s="110">
        <v>0</v>
      </c>
      <c r="F108" s="17">
        <f t="shared" si="15"/>
        <v>0</v>
      </c>
      <c r="G108" s="19">
        <f>D108+'29'!G108</f>
        <v>3501</v>
      </c>
      <c r="H108" s="625">
        <f>E108+'29'!H108</f>
        <v>826.59999999999991</v>
      </c>
      <c r="I108" s="17">
        <f t="shared" si="16"/>
        <v>0.23610397029420163</v>
      </c>
      <c r="J108" s="807"/>
      <c r="K108" s="808"/>
      <c r="L108" s="247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0</v>
      </c>
      <c r="E109" s="110">
        <v>0</v>
      </c>
      <c r="F109" s="17">
        <f t="shared" si="15"/>
        <v>0</v>
      </c>
      <c r="G109" s="19">
        <f>D109+'29'!G109</f>
        <v>1100</v>
      </c>
      <c r="H109" s="625">
        <f>E109+'29'!H109</f>
        <v>281.59999999999997</v>
      </c>
      <c r="I109" s="17">
        <f t="shared" si="16"/>
        <v>0.25599999999999995</v>
      </c>
      <c r="J109" s="807"/>
      <c r="K109" s="808"/>
      <c r="L109" s="247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1667</v>
      </c>
      <c r="E110" s="24">
        <f>SUM(E111:E122)</f>
        <v>0</v>
      </c>
      <c r="F110" s="1054">
        <f>IFERROR((E110/D110),0)</f>
        <v>0</v>
      </c>
      <c r="G110" s="735">
        <f>SUM(G111:G122)</f>
        <v>52172</v>
      </c>
      <c r="H110" s="24">
        <f>SUM(H111:H122)</f>
        <v>3863.8999999999996</v>
      </c>
      <c r="I110" s="1054">
        <f>IFERROR((H110/G110),0)</f>
        <v>7.4060798895959512E-2</v>
      </c>
      <c r="J110" s="807"/>
      <c r="K110" s="808"/>
      <c r="L110" s="247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/>
      <c r="G111" s="19">
        <f>D111+'29'!G111</f>
        <v>0</v>
      </c>
      <c r="H111" s="626">
        <f>E111+'29'!H111</f>
        <v>1026.1499999999999</v>
      </c>
      <c r="I111" s="17"/>
      <c r="J111" s="1341"/>
      <c r="K111" s="1343"/>
      <c r="L111" s="16"/>
      <c r="M111" s="15"/>
      <c r="N111" s="16"/>
      <c r="O111" s="16"/>
      <c r="P111" s="16"/>
      <c r="Q111" s="28"/>
      <c r="S111" s="1"/>
      <c r="T111" s="2"/>
    </row>
    <row r="112" spans="1:20">
      <c r="A112" s="254" t="s">
        <v>252</v>
      </c>
      <c r="B112" s="9" t="s">
        <v>9</v>
      </c>
      <c r="C112" s="20">
        <f>'01'!C112</f>
        <v>0</v>
      </c>
      <c r="D112" s="134">
        <v>0</v>
      </c>
      <c r="E112" s="110">
        <v>0</v>
      </c>
      <c r="F112" s="17"/>
      <c r="G112" s="19">
        <f>D112+'29'!G112</f>
        <v>0</v>
      </c>
      <c r="H112" s="626">
        <f>E112+'29'!H112</f>
        <v>994.39999999999986</v>
      </c>
      <c r="I112" s="17"/>
      <c r="J112" s="1344"/>
      <c r="K112" s="1345"/>
      <c r="L112" s="16"/>
      <c r="M112" s="15"/>
      <c r="N112" s="247"/>
      <c r="O112" s="247"/>
      <c r="P112" s="16"/>
      <c r="T112" s="2"/>
    </row>
    <row r="113" spans="1:20">
      <c r="A113" s="254" t="s">
        <v>253</v>
      </c>
      <c r="B113" s="9" t="s">
        <v>9</v>
      </c>
      <c r="C113" s="20">
        <f>'01'!C113</f>
        <v>0</v>
      </c>
      <c r="D113" s="134">
        <v>0</v>
      </c>
      <c r="E113" s="110">
        <v>0</v>
      </c>
      <c r="F113" s="17"/>
      <c r="G113" s="19">
        <f>D113+'29'!G113</f>
        <v>0</v>
      </c>
      <c r="H113" s="626">
        <f>E113+'29'!H113</f>
        <v>20</v>
      </c>
      <c r="I113" s="17"/>
      <c r="J113" s="809"/>
      <c r="K113" s="810"/>
      <c r="L113" s="10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9" t="s">
        <v>9</v>
      </c>
      <c r="C114" s="20">
        <f>'01'!C114</f>
        <v>500</v>
      </c>
      <c r="D114" s="134">
        <v>16</v>
      </c>
      <c r="E114" s="301">
        <v>0</v>
      </c>
      <c r="F114" s="17"/>
      <c r="G114" s="19">
        <f>D114+'29'!G114</f>
        <v>480</v>
      </c>
      <c r="H114" s="626">
        <f>E114+'29'!H114</f>
        <v>0</v>
      </c>
      <c r="I114" s="17"/>
      <c r="J114" s="1344"/>
      <c r="K114" s="1345"/>
      <c r="L114" s="7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/>
      <c r="G115" s="19">
        <f>D115+'29'!G115</f>
        <v>0</v>
      </c>
      <c r="H115" s="626">
        <f>E115+'29'!H115</f>
        <v>0</v>
      </c>
      <c r="I115" s="17"/>
      <c r="J115" s="1376"/>
      <c r="K115" s="1377"/>
      <c r="L115" s="7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/>
      <c r="G116" s="19">
        <f>D116+'29'!G116</f>
        <v>0</v>
      </c>
      <c r="H116" s="626">
        <f>E116+'29'!H116</f>
        <v>0</v>
      </c>
      <c r="I116" s="17"/>
      <c r="J116" s="797"/>
      <c r="K116" s="798"/>
      <c r="L116" s="7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/>
      <c r="G117" s="19">
        <f>D117+'29'!G117</f>
        <v>0</v>
      </c>
      <c r="H117" s="626">
        <f>E117+'29'!H117</f>
        <v>0</v>
      </c>
      <c r="I117" s="17"/>
      <c r="J117" s="797"/>
      <c r="K117" s="798"/>
      <c r="L117" s="7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375</v>
      </c>
      <c r="E118" s="110">
        <v>0</v>
      </c>
      <c r="F118" s="17"/>
      <c r="G118" s="19">
        <f>D118+'29'!G118</f>
        <v>10430</v>
      </c>
      <c r="H118" s="626">
        <f>E118+'29'!H118</f>
        <v>0</v>
      </c>
      <c r="I118" s="17"/>
      <c r="J118" s="797"/>
      <c r="K118" s="798"/>
      <c r="L118" s="7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/>
      <c r="G119" s="19">
        <f>D119+'29'!G119</f>
        <v>0</v>
      </c>
      <c r="H119" s="626">
        <f>E119+'29'!H119</f>
        <v>0</v>
      </c>
      <c r="I119" s="17"/>
      <c r="J119" s="856"/>
      <c r="K119" s="857"/>
      <c r="L119" s="7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672</v>
      </c>
      <c r="E120" s="110">
        <v>0</v>
      </c>
      <c r="F120" s="17"/>
      <c r="G120" s="19">
        <f>D120+'29'!G120</f>
        <v>21782</v>
      </c>
      <c r="H120" s="626">
        <f>E120+'29'!H120</f>
        <v>0</v>
      </c>
      <c r="I120" s="17"/>
      <c r="J120" s="856"/>
      <c r="K120" s="857"/>
      <c r="L120" s="7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/>
      <c r="G121" s="19">
        <f>D121+'29'!G121</f>
        <v>1360</v>
      </c>
      <c r="H121" s="626">
        <f>E121+'29'!H121</f>
        <v>0</v>
      </c>
      <c r="I121" s="17"/>
      <c r="J121" s="856"/>
      <c r="K121" s="857"/>
      <c r="L121" s="7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604</v>
      </c>
      <c r="E122" s="110">
        <v>0</v>
      </c>
      <c r="F122" s="17"/>
      <c r="G122" s="19">
        <f>D122+'29'!G122</f>
        <v>18120</v>
      </c>
      <c r="H122" s="626">
        <f>E122+'29'!H122</f>
        <v>1823.35</v>
      </c>
      <c r="I122" s="17"/>
      <c r="J122" s="856"/>
      <c r="K122" s="857"/>
      <c r="L122" s="7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4"/>
      <c r="G124" s="1302" t="s">
        <v>4</v>
      </c>
      <c r="H124" s="1303"/>
      <c r="I124" s="1304"/>
      <c r="J124" s="822" t="s">
        <v>89</v>
      </c>
      <c r="K124" s="304" t="s">
        <v>90</v>
      </c>
      <c r="L124" s="10"/>
      <c r="M124" s="7"/>
      <c r="N124" s="7"/>
      <c r="O124" s="7"/>
      <c r="P124" s="7"/>
      <c r="T124" s="2"/>
    </row>
    <row r="125" spans="1:20">
      <c r="A125" s="1292"/>
      <c r="B125" s="1268"/>
      <c r="C125" s="1334"/>
      <c r="D125" s="918" t="s">
        <v>3</v>
      </c>
      <c r="E125" s="12" t="s">
        <v>2</v>
      </c>
      <c r="F125" s="920" t="s">
        <v>1</v>
      </c>
      <c r="G125" s="986" t="s">
        <v>3</v>
      </c>
      <c r="H125" s="12" t="s">
        <v>2</v>
      </c>
      <c r="I125" s="987" t="s">
        <v>1</v>
      </c>
      <c r="J125" s="823">
        <f>SUM(N85:N91)</f>
        <v>0</v>
      </c>
      <c r="K125" s="306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0</v>
      </c>
      <c r="F126" s="356">
        <f>IFERROR(E126/D126,0)</f>
        <v>0</v>
      </c>
      <c r="G126" s="984">
        <v>40.5</v>
      </c>
      <c r="H126" s="200">
        <v>49.745726144885921</v>
      </c>
      <c r="I126" s="356">
        <f>IFERROR(H126/G126,0)</f>
        <v>1.2282895344416276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0</v>
      </c>
      <c r="F127" s="356">
        <f t="shared" ref="F127:F132" si="17">IFERROR(E127/D127,0)</f>
        <v>0</v>
      </c>
      <c r="G127" s="984">
        <v>17</v>
      </c>
      <c r="H127" s="200">
        <v>20.429497353832549</v>
      </c>
      <c r="I127" s="356">
        <f t="shared" ref="I127:I132" si="18">IFERROR(H127/G127,0)</f>
        <v>1.2017351384607382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157">
        <f t="shared" si="17"/>
        <v>0</v>
      </c>
      <c r="G128" s="381">
        <v>3</v>
      </c>
      <c r="H128" s="256">
        <f>P132</f>
        <v>2.7306506005953359</v>
      </c>
      <c r="I128" s="157">
        <f t="shared" si="18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0</v>
      </c>
      <c r="F129" s="157">
        <f t="shared" si="17"/>
        <v>0</v>
      </c>
      <c r="G129" s="984">
        <v>21</v>
      </c>
      <c r="H129" s="200">
        <v>24.253609837605538</v>
      </c>
      <c r="I129" s="157">
        <f t="shared" si="18"/>
        <v>1.1549338017907398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0</v>
      </c>
      <c r="F130" s="157">
        <f t="shared" si="17"/>
        <v>0</v>
      </c>
      <c r="G130" s="984">
        <v>42</v>
      </c>
      <c r="H130" s="200">
        <v>8.0577339239813934</v>
      </c>
      <c r="I130" s="157">
        <f t="shared" si="18"/>
        <v>0.19185080771384269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0</v>
      </c>
      <c r="F131" s="157">
        <f t="shared" si="17"/>
        <v>0</v>
      </c>
      <c r="G131" s="984">
        <v>35</v>
      </c>
      <c r="H131" s="200">
        <v>40.422348287913238</v>
      </c>
      <c r="I131" s="157">
        <f t="shared" si="18"/>
        <v>1.154924236797521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0</v>
      </c>
      <c r="F132" s="684">
        <f t="shared" si="17"/>
        <v>0</v>
      </c>
      <c r="G132" s="985">
        <v>100.69</v>
      </c>
      <c r="H132" s="683">
        <v>97.164756822161181</v>
      </c>
      <c r="I132" s="684">
        <f t="shared" si="18"/>
        <v>0.96498914313398731</v>
      </c>
      <c r="N132" s="727" t="s">
        <v>188</v>
      </c>
      <c r="O132" s="704">
        <f>O131+'29'!O132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K133" s="1173" t="s">
        <v>112</v>
      </c>
      <c r="L133" s="1174"/>
      <c r="M133" s="1174"/>
      <c r="N133" s="1175"/>
    </row>
    <row r="134" spans="1:20" ht="16.5" thickBot="1">
      <c r="C134" s="5"/>
      <c r="D134" s="2"/>
      <c r="E134" s="2"/>
      <c r="F134" s="2"/>
      <c r="K134" s="364" t="s">
        <v>95</v>
      </c>
      <c r="L134" s="364" t="s">
        <v>147</v>
      </c>
      <c r="M134" s="364" t="s">
        <v>104</v>
      </c>
      <c r="N134" s="379">
        <v>123816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9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0">IFERROR(C139/$B$139,0)</f>
        <v>0</v>
      </c>
      <c r="D140" s="335">
        <f t="shared" si="20"/>
        <v>0</v>
      </c>
      <c r="E140" s="335">
        <f t="shared" si="20"/>
        <v>0</v>
      </c>
      <c r="F140" s="335">
        <f t="shared" si="20"/>
        <v>0</v>
      </c>
      <c r="G140" s="335">
        <f t="shared" si="20"/>
        <v>0</v>
      </c>
      <c r="H140" s="335">
        <f t="shared" si="20"/>
        <v>0</v>
      </c>
      <c r="I140" s="326">
        <f t="shared" si="19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9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1">IFERROR(C141/$B$141,0)</f>
        <v>0</v>
      </c>
      <c r="D142" s="335">
        <f t="shared" si="21"/>
        <v>0</v>
      </c>
      <c r="E142" s="335">
        <f t="shared" si="21"/>
        <v>0</v>
      </c>
      <c r="F142" s="335">
        <f t="shared" si="21"/>
        <v>0</v>
      </c>
      <c r="G142" s="335">
        <f t="shared" si="21"/>
        <v>0</v>
      </c>
      <c r="H142" s="335">
        <f t="shared" si="21"/>
        <v>0</v>
      </c>
      <c r="I142" s="326">
        <f t="shared" si="19"/>
        <v>0</v>
      </c>
      <c r="J142" s="1215"/>
      <c r="K142" s="1173" t="s">
        <v>113</v>
      </c>
      <c r="L142" s="1174"/>
      <c r="M142" s="1174"/>
      <c r="N142" s="1175"/>
    </row>
    <row r="143" spans="1:20" ht="16.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9"/>
        <v>0</v>
      </c>
      <c r="J143" s="1215">
        <f>D144+E144+F144+G144</f>
        <v>0</v>
      </c>
      <c r="K143" s="364" t="s">
        <v>95</v>
      </c>
      <c r="L143" s="364" t="s">
        <v>147</v>
      </c>
      <c r="M143" s="364" t="s">
        <v>104</v>
      </c>
      <c r="N143" s="379">
        <v>173790</v>
      </c>
    </row>
    <row r="144" spans="1:20" ht="16.5" thickBot="1">
      <c r="A144" s="321"/>
      <c r="B144" s="336"/>
      <c r="C144" s="335">
        <f t="shared" ref="C144:H144" si="22">IFERROR(C143/$B$143,0)</f>
        <v>0</v>
      </c>
      <c r="D144" s="335">
        <f t="shared" si="22"/>
        <v>0</v>
      </c>
      <c r="E144" s="335">
        <f t="shared" si="22"/>
        <v>0</v>
      </c>
      <c r="F144" s="335">
        <f t="shared" si="22"/>
        <v>0</v>
      </c>
      <c r="G144" s="335">
        <f t="shared" si="22"/>
        <v>0</v>
      </c>
      <c r="H144" s="335">
        <f t="shared" si="22"/>
        <v>0</v>
      </c>
      <c r="I144" s="326">
        <f t="shared" si="19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9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3">IFERROR(C145/$B$145,0)</f>
        <v>0</v>
      </c>
      <c r="D146" s="335">
        <f t="shared" si="23"/>
        <v>0</v>
      </c>
      <c r="E146" s="335">
        <f t="shared" si="23"/>
        <v>0</v>
      </c>
      <c r="F146" s="335">
        <f t="shared" si="23"/>
        <v>0</v>
      </c>
      <c r="G146" s="335">
        <f t="shared" si="23"/>
        <v>0</v>
      </c>
      <c r="H146" s="335">
        <f t="shared" si="23"/>
        <v>0</v>
      </c>
      <c r="I146" s="326">
        <f t="shared" si="19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9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4">IFERROR(C147/$B$147,0)</f>
        <v>0</v>
      </c>
      <c r="D148" s="335">
        <f t="shared" si="24"/>
        <v>0</v>
      </c>
      <c r="E148" s="335">
        <f t="shared" si="24"/>
        <v>0</v>
      </c>
      <c r="F148" s="335">
        <f t="shared" si="24"/>
        <v>0</v>
      </c>
      <c r="G148" s="335">
        <f t="shared" si="24"/>
        <v>0</v>
      </c>
      <c r="H148" s="335">
        <f t="shared" si="24"/>
        <v>0</v>
      </c>
      <c r="I148" s="326">
        <f t="shared" si="19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5">B139+B141+B143+B145+B147</f>
        <v>0</v>
      </c>
      <c r="C149" s="349">
        <f t="shared" si="25"/>
        <v>0</v>
      </c>
      <c r="D149" s="349">
        <f t="shared" si="25"/>
        <v>0</v>
      </c>
      <c r="E149" s="349">
        <f>E139+E141+E143+E145+E147</f>
        <v>0</v>
      </c>
      <c r="F149" s="349">
        <f t="shared" si="25"/>
        <v>0</v>
      </c>
      <c r="G149" s="349">
        <f t="shared" si="25"/>
        <v>0</v>
      </c>
      <c r="H149" s="349">
        <f t="shared" si="25"/>
        <v>0</v>
      </c>
      <c r="I149" s="324">
        <f t="shared" si="25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6">IFERROR(C149/$B$149,0)</f>
        <v>0</v>
      </c>
      <c r="D150" s="346">
        <f t="shared" si="26"/>
        <v>0</v>
      </c>
      <c r="E150" s="346">
        <f t="shared" si="26"/>
        <v>0</v>
      </c>
      <c r="F150" s="346">
        <f t="shared" si="26"/>
        <v>0</v>
      </c>
      <c r="G150" s="346">
        <f t="shared" si="26"/>
        <v>0</v>
      </c>
      <c r="H150" s="346">
        <f t="shared" si="26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15:K115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7" man="1"/>
  </rowBreaks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0" tint="-0.14999847407452621"/>
    <pageSetUpPr fitToPage="1"/>
  </sheetPr>
  <dimension ref="A1:AB150"/>
  <sheetViews>
    <sheetView view="pageBreakPreview" zoomScale="80" zoomScaleNormal="80" zoomScaleSheetLayoutView="80" workbookViewId="0">
      <pane xSplit="2" ySplit="4" topLeftCell="C5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ColWidth="9.140625" defaultRowHeight="15.75" outlineLevelRow="1" outlineLevelCol="1"/>
  <cols>
    <col min="1" max="1" width="53.85546875" style="1" customWidth="1"/>
    <col min="2" max="2" width="18.5703125" style="1" customWidth="1"/>
    <col min="3" max="3" width="16" style="1" customWidth="1"/>
    <col min="4" max="4" width="18.42578125" style="1" bestFit="1" customWidth="1"/>
    <col min="5" max="7" width="15.85546875" style="1" bestFit="1" customWidth="1"/>
    <col min="8" max="8" width="17.42578125" style="1" customWidth="1"/>
    <col min="9" max="9" width="13.7109375" style="1" bestFit="1" customWidth="1"/>
    <col min="10" max="10" width="21.28515625" style="1" customWidth="1"/>
    <col min="11" max="11" width="19.5703125" style="1" customWidth="1"/>
    <col min="12" max="12" width="17.140625" style="1" bestFit="1" customWidth="1"/>
    <col min="13" max="13" width="16.140625" style="1" customWidth="1"/>
    <col min="14" max="14" width="17.7109375" style="1" customWidth="1"/>
    <col min="15" max="15" width="16.140625" style="1" customWidth="1"/>
    <col min="16" max="16" width="14.5703125" style="1" customWidth="1"/>
    <col min="17" max="17" width="15.85546875" style="1" hidden="1" customWidth="1" outlineLevel="1"/>
    <col min="18" max="18" width="13.85546875" style="1" hidden="1" customWidth="1" outlineLevel="1"/>
    <col min="19" max="19" width="25.140625" style="1" customWidth="1" collapsed="1"/>
    <col min="20" max="20" width="19.7109375" style="1" customWidth="1"/>
    <col min="21" max="21" width="10.7109375" style="1" bestFit="1" customWidth="1"/>
    <col min="22" max="22" width="13.42578125" style="1" bestFit="1" customWidth="1"/>
    <col min="23" max="24" width="10.7109375" style="1" bestFit="1" customWidth="1"/>
    <col min="25" max="25" width="9.140625" style="1"/>
    <col min="26" max="26" width="11.5703125" style="1" bestFit="1" customWidth="1"/>
    <col min="27" max="27" width="10.7109375" style="1" bestFit="1" customWidth="1"/>
    <col min="28" max="16384" width="9.140625" style="1"/>
  </cols>
  <sheetData>
    <row r="1" spans="1:28" ht="20.25">
      <c r="A1" s="1264" t="str">
        <f>CONCATENATE("Ежедневный отчет производства и отгрузки за 31 ",Q1)</f>
        <v>Ежедневный отчет производства и отгрузки за 31 август</v>
      </c>
      <c r="B1" s="1264"/>
      <c r="C1" s="1264"/>
      <c r="D1" s="1264"/>
      <c r="E1" s="1264"/>
      <c r="F1" s="1264"/>
      <c r="G1" s="1264"/>
      <c r="H1" s="1264"/>
      <c r="I1" s="1264"/>
      <c r="J1" s="1264"/>
      <c r="K1" s="1264"/>
      <c r="L1" s="1264"/>
      <c r="M1" s="1264"/>
      <c r="N1" s="1264"/>
      <c r="O1" s="1264"/>
      <c r="P1" s="1264"/>
      <c r="Q1" s="39" t="s">
        <v>263</v>
      </c>
      <c r="R1" s="39"/>
    </row>
    <row r="2" spans="1:28" ht="8.25" customHeight="1" thickBot="1">
      <c r="A2" s="6"/>
      <c r="B2" s="6"/>
      <c r="C2" s="6"/>
      <c r="D2" s="6"/>
      <c r="E2" s="6"/>
      <c r="F2" s="6"/>
      <c r="G2" s="6"/>
      <c r="H2" s="6"/>
      <c r="I2" s="6"/>
      <c r="J2" s="6"/>
      <c r="L2" s="6"/>
      <c r="M2" s="6"/>
      <c r="N2" s="6"/>
      <c r="O2" s="6"/>
      <c r="Q2" s="39">
        <v>31</v>
      </c>
      <c r="R2" s="39"/>
      <c r="S2" s="604"/>
    </row>
    <row r="3" spans="1:28" ht="52.5" customHeight="1">
      <c r="A3" s="1265" t="s">
        <v>7</v>
      </c>
      <c r="B3" s="1267" t="s">
        <v>6</v>
      </c>
      <c r="C3" s="1269" t="s">
        <v>38</v>
      </c>
      <c r="D3" s="1269" t="s">
        <v>37</v>
      </c>
      <c r="E3" s="1271" t="s">
        <v>36</v>
      </c>
      <c r="F3" s="1272"/>
      <c r="G3" s="1272"/>
      <c r="H3" s="1272"/>
      <c r="I3" s="1273"/>
      <c r="J3" s="1272" t="s">
        <v>35</v>
      </c>
      <c r="K3" s="1273"/>
      <c r="L3" s="1269" t="s">
        <v>34</v>
      </c>
      <c r="M3" s="1269" t="s">
        <v>33</v>
      </c>
      <c r="N3" s="1269" t="s">
        <v>49</v>
      </c>
      <c r="O3" s="1274" t="s">
        <v>26</v>
      </c>
      <c r="P3" s="1275"/>
      <c r="Q3" s="601"/>
      <c r="R3" s="601"/>
      <c r="S3" s="602"/>
    </row>
    <row r="4" spans="1:28" ht="31.5">
      <c r="A4" s="1266"/>
      <c r="B4" s="1268"/>
      <c r="C4" s="1270"/>
      <c r="D4" s="1270"/>
      <c r="E4" s="918" t="s">
        <v>32</v>
      </c>
      <c r="F4" s="12" t="s">
        <v>28</v>
      </c>
      <c r="G4" s="12" t="s">
        <v>18</v>
      </c>
      <c r="H4" s="12" t="s">
        <v>27</v>
      </c>
      <c r="I4" s="920" t="s">
        <v>1</v>
      </c>
      <c r="J4" s="13" t="s">
        <v>28</v>
      </c>
      <c r="K4" s="920" t="s">
        <v>27</v>
      </c>
      <c r="L4" s="1270"/>
      <c r="M4" s="1270"/>
      <c r="N4" s="1270"/>
      <c r="O4" s="1276"/>
      <c r="P4" s="1277"/>
      <c r="Q4" s="602"/>
      <c r="R4" s="602"/>
      <c r="S4" s="613"/>
    </row>
    <row r="5" spans="1:28">
      <c r="A5" s="52" t="s">
        <v>31</v>
      </c>
      <c r="B5" s="32" t="s">
        <v>9</v>
      </c>
      <c r="C5" s="31">
        <f>C6+C9</f>
        <v>160800</v>
      </c>
      <c r="D5" s="31">
        <f>D6+D9+D8</f>
        <v>143025.21352694629</v>
      </c>
      <c r="E5" s="51">
        <f>E6+E9</f>
        <v>6700</v>
      </c>
      <c r="F5" s="30">
        <f>F6+F9</f>
        <v>0</v>
      </c>
      <c r="G5" s="30">
        <f>G6+G9</f>
        <v>160800</v>
      </c>
      <c r="H5" s="30">
        <f>H6+H9</f>
        <v>16874.071396806572</v>
      </c>
      <c r="I5" s="29">
        <f>IFERROR((H5/G5),0)</f>
        <v>0.10493825495526475</v>
      </c>
      <c r="J5" s="948">
        <f>J6+J9</f>
        <v>0</v>
      </c>
      <c r="K5" s="50">
        <f>K6+K9+K8</f>
        <v>17027.103675312697</v>
      </c>
      <c r="L5" s="87">
        <f>L6+L9+L8</f>
        <v>142872.18124844017</v>
      </c>
      <c r="M5" s="407"/>
      <c r="N5" s="55"/>
      <c r="O5" s="1260"/>
      <c r="P5" s="1261"/>
      <c r="Q5" s="603"/>
      <c r="R5" s="602"/>
      <c r="S5" s="614"/>
      <c r="T5" s="2"/>
    </row>
    <row r="6" spans="1:28">
      <c r="A6" s="74" t="s">
        <v>218</v>
      </c>
      <c r="B6" s="9" t="s">
        <v>9</v>
      </c>
      <c r="C6" s="20">
        <f>'01'!C6</f>
        <v>0</v>
      </c>
      <c r="D6" s="20">
        <f>'01'!D6</f>
        <v>15952.919765534218</v>
      </c>
      <c r="E6" s="19">
        <v>0</v>
      </c>
      <c r="F6" s="18"/>
      <c r="G6" s="18">
        <f>E6+'30'!G6</f>
        <v>0</v>
      </c>
      <c r="H6" s="18">
        <f>F6+'30'!H6</f>
        <v>6671.6154299884374</v>
      </c>
      <c r="I6" s="17"/>
      <c r="J6" s="949"/>
      <c r="K6" s="67">
        <f>J6+'30'!K6</f>
        <v>0</v>
      </c>
      <c r="L6" s="20">
        <f>D6+H6-K6-M6-N6</f>
        <v>22624.535195522654</v>
      </c>
      <c r="M6" s="53"/>
      <c r="N6" s="53">
        <f>N10</f>
        <v>0</v>
      </c>
      <c r="O6" s="1246"/>
      <c r="P6" s="1247"/>
      <c r="Q6" s="604"/>
      <c r="R6" s="602"/>
      <c r="S6" s="614"/>
      <c r="T6" s="2"/>
      <c r="W6" s="62"/>
      <c r="X6" s="62"/>
      <c r="Y6" s="62"/>
      <c r="Z6" s="62"/>
      <c r="AA6" s="62"/>
      <c r="AB6" s="62"/>
    </row>
    <row r="7" spans="1:28" hidden="1" outlineLevel="1">
      <c r="A7" s="79" t="s">
        <v>219</v>
      </c>
      <c r="B7" s="9" t="s">
        <v>9</v>
      </c>
      <c r="C7" s="20"/>
      <c r="D7" s="149">
        <f>'01'!D7</f>
        <v>0</v>
      </c>
      <c r="E7" s="19"/>
      <c r="F7" s="18">
        <v>0</v>
      </c>
      <c r="G7" s="18"/>
      <c r="H7" s="18">
        <f>F7+'30'!H7</f>
        <v>0</v>
      </c>
      <c r="I7" s="17"/>
      <c r="J7" s="949"/>
      <c r="K7" s="67">
        <f>J7+'30'!K7</f>
        <v>0</v>
      </c>
      <c r="L7" s="20">
        <f>D7+H7-K7-M7-N7</f>
        <v>0</v>
      </c>
      <c r="M7" s="53"/>
      <c r="N7" s="53"/>
      <c r="O7" s="1246"/>
      <c r="P7" s="1247"/>
      <c r="Q7" s="604"/>
      <c r="R7" s="602"/>
      <c r="S7" s="614"/>
      <c r="T7" s="2"/>
      <c r="W7" s="62"/>
      <c r="X7" s="62"/>
      <c r="Y7" s="62"/>
      <c r="Z7" s="62"/>
      <c r="AA7" s="62"/>
      <c r="AB7" s="62"/>
    </row>
    <row r="8" spans="1:28" hidden="1" outlineLevel="1">
      <c r="A8" s="79" t="s">
        <v>94</v>
      </c>
      <c r="B8" s="9" t="s">
        <v>9</v>
      </c>
      <c r="C8" s="20"/>
      <c r="D8" s="149">
        <f>'01'!D8</f>
        <v>0</v>
      </c>
      <c r="E8" s="19"/>
      <c r="F8" s="18"/>
      <c r="G8" s="18"/>
      <c r="H8" s="18">
        <f>F8+'30'!H8</f>
        <v>0</v>
      </c>
      <c r="I8" s="17"/>
      <c r="J8" s="949"/>
      <c r="K8" s="67">
        <f>J8+'30'!K8</f>
        <v>0</v>
      </c>
      <c r="L8" s="20">
        <f>D8+H8-K8</f>
        <v>0</v>
      </c>
      <c r="M8" s="53"/>
      <c r="N8" s="53"/>
      <c r="O8" s="1246"/>
      <c r="P8" s="1247"/>
      <c r="Q8" s="604"/>
      <c r="R8" s="602"/>
      <c r="S8" s="614"/>
      <c r="T8" s="2"/>
      <c r="W8" s="62"/>
      <c r="X8" s="62"/>
      <c r="Y8" s="62"/>
      <c r="Z8" s="62"/>
      <c r="AA8" s="62"/>
      <c r="AB8" s="62"/>
    </row>
    <row r="9" spans="1:28" s="4" customFormat="1" collapsed="1">
      <c r="A9" s="41" t="s">
        <v>65</v>
      </c>
      <c r="B9" s="26" t="s">
        <v>9</v>
      </c>
      <c r="C9" s="25">
        <f>'01'!C9</f>
        <v>160800</v>
      </c>
      <c r="D9" s="25">
        <f>'01'!D9</f>
        <v>127072.29376141207</v>
      </c>
      <c r="E9" s="97">
        <v>6700</v>
      </c>
      <c r="F9" s="24">
        <f>F10+F11+F12+F13</f>
        <v>0</v>
      </c>
      <c r="G9" s="24">
        <f>E9+'30'!G9</f>
        <v>160800</v>
      </c>
      <c r="H9" s="24">
        <f>F9+'30'!H9</f>
        <v>10202.455966818135</v>
      </c>
      <c r="I9" s="23">
        <f>IFERROR((H9/G9),0)</f>
        <v>6.3448109246381446E-2</v>
      </c>
      <c r="J9" s="946">
        <f>J10+J11+J12+J13</f>
        <v>0</v>
      </c>
      <c r="K9" s="47">
        <f>J9+'30'!K9</f>
        <v>17027.103675312697</v>
      </c>
      <c r="L9" s="25">
        <f>D9+H9-K9+M9+N9</f>
        <v>120247.64605291751</v>
      </c>
      <c r="M9" s="54"/>
      <c r="N9" s="54">
        <f>N10</f>
        <v>0</v>
      </c>
      <c r="O9" s="1262"/>
      <c r="P9" s="1263"/>
      <c r="Q9" s="604">
        <v>-23266.571785975502</v>
      </c>
      <c r="R9" s="602">
        <f>J9-Q9</f>
        <v>23266.571785975502</v>
      </c>
      <c r="S9" s="614"/>
      <c r="T9" s="2"/>
      <c r="W9" s="72"/>
      <c r="X9" s="72"/>
      <c r="Y9" s="72"/>
      <c r="Z9" s="72"/>
      <c r="AA9" s="72"/>
      <c r="AB9" s="72"/>
    </row>
    <row r="10" spans="1:28">
      <c r="A10" s="74" t="s">
        <v>64</v>
      </c>
      <c r="B10" s="9" t="s">
        <v>9</v>
      </c>
      <c r="C10" s="20">
        <f>'01'!C10</f>
        <v>0</v>
      </c>
      <c r="D10" s="20">
        <f>'01'!D10</f>
        <v>56300.273909357406</v>
      </c>
      <c r="E10" s="19"/>
      <c r="F10" s="110">
        <v>0</v>
      </c>
      <c r="G10" s="24">
        <f>E10+'30'!G10</f>
        <v>0</v>
      </c>
      <c r="H10" s="18">
        <f>F10+'30'!H10</f>
        <v>10202.455966818135</v>
      </c>
      <c r="I10" s="17"/>
      <c r="J10" s="178">
        <v>0</v>
      </c>
      <c r="K10" s="67">
        <f>J10+'30'!K10</f>
        <v>15627.103675312697</v>
      </c>
      <c r="L10" s="149">
        <f>D10+H10-K10+M10+N10</f>
        <v>50875.62620086284</v>
      </c>
      <c r="M10" s="53"/>
      <c r="N10" s="101"/>
      <c r="O10" s="1246"/>
      <c r="P10" s="1247"/>
      <c r="Q10" s="604"/>
      <c r="R10" s="602"/>
      <c r="W10" s="62"/>
      <c r="X10" s="62"/>
      <c r="Y10" s="62"/>
      <c r="Z10" s="62"/>
      <c r="AA10" s="62"/>
      <c r="AB10" s="62"/>
    </row>
    <row r="11" spans="1:28">
      <c r="A11" s="74" t="s">
        <v>244</v>
      </c>
      <c r="B11" s="9" t="s">
        <v>9</v>
      </c>
      <c r="C11" s="20">
        <f>'01'!C11</f>
        <v>0</v>
      </c>
      <c r="D11" s="20">
        <f>'01'!D11</f>
        <v>18224.01726010743</v>
      </c>
      <c r="E11" s="19"/>
      <c r="F11" s="18"/>
      <c r="G11" s="24">
        <f>E11+'30'!G11</f>
        <v>0</v>
      </c>
      <c r="H11" s="18">
        <f>F11+'30'!H11</f>
        <v>0</v>
      </c>
      <c r="I11" s="17"/>
      <c r="J11" s="178">
        <v>0</v>
      </c>
      <c r="K11" s="67">
        <f>J11+'30'!K11</f>
        <v>0</v>
      </c>
      <c r="L11" s="149">
        <f>D11+H11-K11+M11+N11</f>
        <v>18224.01726010743</v>
      </c>
      <c r="M11" s="53"/>
      <c r="N11" s="317"/>
      <c r="O11" s="1246"/>
      <c r="P11" s="1247"/>
      <c r="Q11" s="604"/>
      <c r="R11" s="602"/>
      <c r="U11" s="62"/>
      <c r="V11" s="62"/>
      <c r="W11" s="62"/>
      <c r="X11" s="62"/>
      <c r="Y11" s="62"/>
      <c r="Z11" s="62"/>
    </row>
    <row r="12" spans="1:28" outlineLevel="1">
      <c r="A12" s="79" t="s">
        <v>154</v>
      </c>
      <c r="B12" s="9" t="s">
        <v>9</v>
      </c>
      <c r="C12" s="310"/>
      <c r="D12" s="20">
        <f>'01'!D12</f>
        <v>52548.002591947239</v>
      </c>
      <c r="E12" s="312">
        <f>C12/31</f>
        <v>0</v>
      </c>
      <c r="F12" s="18"/>
      <c r="G12" s="18">
        <f>E12+'30'!G12</f>
        <v>0</v>
      </c>
      <c r="H12" s="18">
        <f>F12+'30'!H12</f>
        <v>0</v>
      </c>
      <c r="I12" s="955">
        <f>IFERROR((H12/G12),0)</f>
        <v>0</v>
      </c>
      <c r="J12" s="178"/>
      <c r="K12" s="67">
        <f>J12+'30'!K12</f>
        <v>1400</v>
      </c>
      <c r="L12" s="149">
        <f>D12+H12-K12</f>
        <v>51148.002591947239</v>
      </c>
      <c r="M12" s="53"/>
      <c r="N12" s="53"/>
      <c r="O12" s="1246"/>
      <c r="P12" s="1247"/>
      <c r="Q12" s="604"/>
      <c r="R12" s="602"/>
      <c r="U12" s="62"/>
      <c r="V12" s="62"/>
      <c r="W12" s="62"/>
      <c r="X12" s="62"/>
      <c r="Y12" s="62"/>
      <c r="Z12" s="62"/>
    </row>
    <row r="13" spans="1:28" hidden="1" outlineLevel="1">
      <c r="A13" s="79" t="s">
        <v>157</v>
      </c>
      <c r="B13" s="95" t="s">
        <v>9</v>
      </c>
      <c r="C13" s="96"/>
      <c r="D13" s="149">
        <f>'01'!D13</f>
        <v>0</v>
      </c>
      <c r="E13" s="97"/>
      <c r="F13" s="110"/>
      <c r="G13" s="24">
        <f>E13+'30'!G13</f>
        <v>0</v>
      </c>
      <c r="H13" s="110">
        <f>F13+'30'!H13</f>
        <v>0</v>
      </c>
      <c r="I13" s="17"/>
      <c r="J13" s="178"/>
      <c r="K13" s="124">
        <f>J13+'30'!K13</f>
        <v>0</v>
      </c>
      <c r="L13" s="149">
        <f>D13+H13-K13+M13-N13</f>
        <v>0</v>
      </c>
      <c r="M13" s="101"/>
      <c r="N13" s="101"/>
      <c r="O13" s="1133"/>
      <c r="P13" s="1134"/>
      <c r="Q13" s="604"/>
      <c r="R13" s="602"/>
      <c r="U13" s="62"/>
      <c r="V13" s="62"/>
      <c r="W13" s="62"/>
      <c r="X13" s="62"/>
      <c r="Y13" s="62"/>
      <c r="Z13" s="62"/>
    </row>
    <row r="14" spans="1:28">
      <c r="A14" s="52" t="s">
        <v>39</v>
      </c>
      <c r="B14" s="32" t="s">
        <v>9</v>
      </c>
      <c r="C14" s="31">
        <f>SUM(C15:C21)</f>
        <v>195040</v>
      </c>
      <c r="D14" s="31">
        <f>'01'!D14</f>
        <v>25904.61438418684</v>
      </c>
      <c r="E14" s="51">
        <f>SUM(E15:E21)</f>
        <v>5760.9999999999991</v>
      </c>
      <c r="F14" s="30">
        <f>SUM(F15:F21)</f>
        <v>0</v>
      </c>
      <c r="G14" s="30">
        <f>SUM(G15:G21)</f>
        <v>195039.99999999997</v>
      </c>
      <c r="H14" s="1033">
        <f>SUM(H15:H21)</f>
        <v>18857.68830004807</v>
      </c>
      <c r="I14" s="29">
        <f t="shared" ref="I14:I21" si="0">IFERROR((H14/G14),0)</f>
        <v>9.6686260767268634E-2</v>
      </c>
      <c r="J14" s="948">
        <f>SUM(J15:J21)</f>
        <v>0</v>
      </c>
      <c r="K14" s="50">
        <f>SUM(K15:K21)</f>
        <v>18951.049999999992</v>
      </c>
      <c r="L14" s="31">
        <f>SUM(L15:L21)</f>
        <v>25811.252684234911</v>
      </c>
      <c r="M14" s="408"/>
      <c r="N14" s="49"/>
      <c r="O14" s="1401"/>
      <c r="P14" s="1402"/>
      <c r="Q14" s="605"/>
      <c r="R14" s="602"/>
      <c r="S14" s="702" t="s">
        <v>247</v>
      </c>
      <c r="T14" s="1043" t="e">
        <f>J5/F14</f>
        <v>#DIV/0!</v>
      </c>
      <c r="X14" s="62"/>
      <c r="Z14" s="62"/>
    </row>
    <row r="15" spans="1:28" hidden="1">
      <c r="A15" s="254" t="s">
        <v>60</v>
      </c>
      <c r="B15" s="9" t="s">
        <v>9</v>
      </c>
      <c r="C15" s="20">
        <f>'01'!C15</f>
        <v>0</v>
      </c>
      <c r="D15" s="20">
        <f>'01'!D15</f>
        <v>0</v>
      </c>
      <c r="E15" s="19">
        <v>0</v>
      </c>
      <c r="F15" s="193"/>
      <c r="G15" s="18">
        <f>E15+'30'!G15</f>
        <v>0</v>
      </c>
      <c r="H15" s="18">
        <f>F15+'30'!H15</f>
        <v>0</v>
      </c>
      <c r="I15" s="17">
        <f t="shared" si="0"/>
        <v>0</v>
      </c>
      <c r="J15" s="192">
        <v>0</v>
      </c>
      <c r="K15" s="67">
        <f>J15+'30'!K15</f>
        <v>0</v>
      </c>
      <c r="L15" s="20">
        <f>D15+H15-K15+M15</f>
        <v>0</v>
      </c>
      <c r="M15" s="53"/>
      <c r="N15" s="427"/>
      <c r="O15" s="1250"/>
      <c r="P15" s="1251"/>
      <c r="Q15" s="602"/>
      <c r="R15" s="602"/>
      <c r="S15" s="702"/>
      <c r="T15" s="702"/>
      <c r="X15" s="62"/>
      <c r="Y15" s="62"/>
    </row>
    <row r="16" spans="1:28">
      <c r="A16" s="46" t="s">
        <v>254</v>
      </c>
      <c r="B16" s="9" t="s">
        <v>9</v>
      </c>
      <c r="C16" s="20">
        <f>'01'!C16</f>
        <v>44352</v>
      </c>
      <c r="D16" s="20">
        <f>'01'!D16</f>
        <v>6069.3572595923979</v>
      </c>
      <c r="E16" s="134">
        <v>1310.0485643970469</v>
      </c>
      <c r="F16" s="171">
        <v>0</v>
      </c>
      <c r="G16" s="18">
        <f>E16+'30'!G16</f>
        <v>44352</v>
      </c>
      <c r="H16" s="18">
        <f>F16+'30'!H16</f>
        <v>3228.5002277343951</v>
      </c>
      <c r="I16" s="956">
        <f t="shared" si="0"/>
        <v>7.27926638648628E-2</v>
      </c>
      <c r="J16" s="751">
        <f>IFERROR(SUMIF(A101:A114,A16,E101:E114),0)+E111+E112+E113</f>
        <v>0</v>
      </c>
      <c r="K16" s="67">
        <f>J16+'30'!K16</f>
        <v>3320.85</v>
      </c>
      <c r="L16" s="398">
        <f t="shared" ref="L16:L37" si="1">D16+H16-K16+M16</f>
        <v>5977.0074873267931</v>
      </c>
      <c r="M16" s="53"/>
      <c r="N16" s="427"/>
      <c r="O16" s="1250"/>
      <c r="P16" s="1251"/>
      <c r="Q16" s="603"/>
      <c r="R16" s="602"/>
      <c r="S16" s="702"/>
      <c r="T16" s="702"/>
      <c r="Y16" s="62"/>
    </row>
    <row r="17" spans="1:25" ht="15" customHeight="1">
      <c r="A17" s="44" t="s">
        <v>262</v>
      </c>
      <c r="B17" s="9" t="s">
        <v>9</v>
      </c>
      <c r="C17" s="20">
        <f>'01'!C17</f>
        <v>0</v>
      </c>
      <c r="D17" s="20">
        <f>'01'!D17</f>
        <v>483.23739591927495</v>
      </c>
      <c r="E17" s="108">
        <v>0</v>
      </c>
      <c r="F17" s="173">
        <v>0</v>
      </c>
      <c r="G17" s="18">
        <f>E17+'30'!G17</f>
        <v>0</v>
      </c>
      <c r="H17" s="18">
        <f>F17+'30'!H17</f>
        <v>0</v>
      </c>
      <c r="I17" s="956">
        <f t="shared" si="0"/>
        <v>0</v>
      </c>
      <c r="J17" s="751">
        <f>IFERROR(SUMIF(A102:A115,A17,E102:E115),0)+E116+E119+E121+E114</f>
        <v>0</v>
      </c>
      <c r="K17" s="67">
        <f>J17+'30'!K17</f>
        <v>0</v>
      </c>
      <c r="L17" s="398">
        <f t="shared" si="1"/>
        <v>483.23739591927495</v>
      </c>
      <c r="M17" s="101"/>
      <c r="N17" s="427"/>
      <c r="O17" s="1250"/>
      <c r="P17" s="1251"/>
      <c r="Q17" s="602"/>
      <c r="R17" s="602"/>
      <c r="S17" s="702" t="s">
        <v>248</v>
      </c>
      <c r="T17" s="1044" t="e">
        <f>O51/F5</f>
        <v>#DIV/0!</v>
      </c>
      <c r="Y17" s="5"/>
    </row>
    <row r="18" spans="1:25">
      <c r="A18" s="46" t="s">
        <v>85</v>
      </c>
      <c r="B18" s="9" t="s">
        <v>9</v>
      </c>
      <c r="C18" s="20">
        <f>'01'!C18</f>
        <v>1360</v>
      </c>
      <c r="D18" s="20">
        <f>'01'!D18</f>
        <v>3183.2380657083054</v>
      </c>
      <c r="E18" s="134"/>
      <c r="F18" s="171"/>
      <c r="G18" s="18">
        <f>E18+'30'!G18</f>
        <v>0</v>
      </c>
      <c r="H18" s="18">
        <f>F18+'30'!H18</f>
        <v>0</v>
      </c>
      <c r="I18" s="17">
        <f t="shared" si="0"/>
        <v>0</v>
      </c>
      <c r="J18" s="751">
        <f>IFERROR(SUMIF(A102:A115,A18,E102:E115),0)+E118+E120</f>
        <v>0</v>
      </c>
      <c r="K18" s="67">
        <f>J18+'30'!K18</f>
        <v>0</v>
      </c>
      <c r="L18" s="60">
        <f>D18+H18-K18-M18</f>
        <v>3183.2380657083054</v>
      </c>
      <c r="M18" s="101"/>
      <c r="N18" s="427"/>
      <c r="O18" s="1250"/>
      <c r="P18" s="1251"/>
      <c r="Q18" s="602"/>
      <c r="R18" s="602"/>
    </row>
    <row r="19" spans="1:25" s="56" customFormat="1">
      <c r="A19" s="123" t="str">
        <f>'01'!A19</f>
        <v>ЦЕМ I 52.5Н</v>
      </c>
      <c r="B19" s="59" t="s">
        <v>9</v>
      </c>
      <c r="C19" s="20">
        <f>'01'!C19</f>
        <v>145770</v>
      </c>
      <c r="D19" s="20">
        <f>'01'!D19</f>
        <v>12764.733711905967</v>
      </c>
      <c r="E19" s="250">
        <v>4305.68585931091</v>
      </c>
      <c r="F19" s="131">
        <v>0</v>
      </c>
      <c r="G19" s="18">
        <f>E19+'30'!G19</f>
        <v>145769.99999999997</v>
      </c>
      <c r="H19" s="18">
        <f>F19+'30'!H19</f>
        <v>15629.188072313675</v>
      </c>
      <c r="I19" s="957">
        <f t="shared" si="0"/>
        <v>0.10721813865893996</v>
      </c>
      <c r="J19" s="751">
        <f>IFERROR(SUMIF(A102:A115,A19,E102:E115),0)+E117+E115+E122</f>
        <v>0</v>
      </c>
      <c r="K19" s="67">
        <f>J19+'30'!K19</f>
        <v>14803.599999999995</v>
      </c>
      <c r="L19" s="60">
        <f>D19+H19-K19-M19</f>
        <v>13590.321784219646</v>
      </c>
      <c r="M19" s="403"/>
      <c r="N19" s="428"/>
      <c r="O19" s="1258"/>
      <c r="P19" s="1259"/>
      <c r="Q19" s="602"/>
      <c r="R19" s="602"/>
    </row>
    <row r="20" spans="1:25">
      <c r="A20" s="44" t="s">
        <v>245</v>
      </c>
      <c r="B20" s="9" t="s">
        <v>9</v>
      </c>
      <c r="C20" s="20">
        <f>'01'!C20</f>
        <v>3558</v>
      </c>
      <c r="D20" s="20">
        <f>'01'!D20</f>
        <v>3404.0479510608047</v>
      </c>
      <c r="E20" s="134">
        <v>105.09453445447087</v>
      </c>
      <c r="F20" s="110">
        <v>0</v>
      </c>
      <c r="G20" s="18">
        <f>E20+'30'!G20</f>
        <v>3558</v>
      </c>
      <c r="H20" s="18">
        <f>F20+'30'!H20</f>
        <v>0</v>
      </c>
      <c r="I20" s="17">
        <f t="shared" si="0"/>
        <v>0</v>
      </c>
      <c r="J20" s="751">
        <f>IFERROR(SUMIF(A102:A115,A20,E102:E115),0)</f>
        <v>0</v>
      </c>
      <c r="K20" s="67">
        <f>J20+'30'!K20</f>
        <v>826.59999999999991</v>
      </c>
      <c r="L20" s="60">
        <f>D20+H20-K20+M20</f>
        <v>2577.4479510608048</v>
      </c>
      <c r="M20" s="53"/>
      <c r="N20" s="427"/>
      <c r="O20" s="1250"/>
      <c r="P20" s="1251"/>
      <c r="Q20" s="602"/>
      <c r="R20" s="602"/>
      <c r="S20" s="5"/>
    </row>
    <row r="21" spans="1:25" ht="15.75" customHeight="1" outlineLevel="1">
      <c r="A21" s="44" t="s">
        <v>50</v>
      </c>
      <c r="B21" s="9" t="s">
        <v>9</v>
      </c>
      <c r="C21" s="20">
        <f>'01'!C21</f>
        <v>0</v>
      </c>
      <c r="D21" s="20">
        <f>'01'!D21</f>
        <v>8.7766238721087575E-11</v>
      </c>
      <c r="E21" s="134">
        <v>40.171041837571778</v>
      </c>
      <c r="F21" s="110">
        <v>0</v>
      </c>
      <c r="G21" s="18">
        <f>E21+'30'!G21</f>
        <v>1360</v>
      </c>
      <c r="H21" s="18">
        <f>F21+'30'!H21</f>
        <v>0</v>
      </c>
      <c r="I21" s="17">
        <f t="shared" si="0"/>
        <v>0</v>
      </c>
      <c r="J21" s="751">
        <f>IFERROR(SUMIF(A102:A115,A21,E102:E115),0)</f>
        <v>0</v>
      </c>
      <c r="K21" s="239">
        <f>J21+'30'!K21</f>
        <v>0</v>
      </c>
      <c r="L21" s="60">
        <f t="shared" si="1"/>
        <v>8.7766238721087575E-11</v>
      </c>
      <c r="M21" s="747"/>
      <c r="N21" s="429"/>
      <c r="O21" s="1244"/>
      <c r="P21" s="1245"/>
      <c r="Q21" s="602"/>
      <c r="R21" s="602"/>
    </row>
    <row r="22" spans="1:25" ht="15.75" customHeight="1" outlineLevel="1">
      <c r="A22" s="44" t="s">
        <v>191</v>
      </c>
      <c r="B22" s="26"/>
      <c r="C22" s="20">
        <f>'01'!C22</f>
        <v>1100</v>
      </c>
      <c r="D22" s="20">
        <f>'01'!D22</f>
        <v>2833.750634882178</v>
      </c>
      <c r="E22" s="134">
        <v>0</v>
      </c>
      <c r="F22" s="98">
        <v>0</v>
      </c>
      <c r="G22" s="18">
        <f>E22+'30'!G22</f>
        <v>1100</v>
      </c>
      <c r="H22" s="18">
        <f>F22+'30'!H22</f>
        <v>2130.1044634377968</v>
      </c>
      <c r="I22" s="23"/>
      <c r="J22" s="751">
        <f>IFERROR(SUMIF(A103:A123,A22,E103:E123),0)+E109</f>
        <v>0</v>
      </c>
      <c r="K22" s="239">
        <f>J22+'30'!K22</f>
        <v>757.20000000000016</v>
      </c>
      <c r="L22" s="60">
        <f t="shared" si="1"/>
        <v>4206.655098319975</v>
      </c>
      <c r="M22" s="409"/>
      <c r="N22" s="429"/>
      <c r="O22" s="1404"/>
      <c r="P22" s="1245"/>
      <c r="Q22" s="602"/>
      <c r="R22" s="602"/>
    </row>
    <row r="23" spans="1:25" s="4" customFormat="1">
      <c r="A23" s="245" t="s">
        <v>226</v>
      </c>
      <c r="B23" s="26" t="s">
        <v>9</v>
      </c>
      <c r="C23" s="25">
        <f>'01'!C23</f>
        <v>0</v>
      </c>
      <c r="D23" s="25">
        <f>'01'!D23</f>
        <v>52</v>
      </c>
      <c r="E23" s="48">
        <v>0</v>
      </c>
      <c r="F23" s="24">
        <f>SUM(F24:F29)</f>
        <v>0</v>
      </c>
      <c r="G23" s="24">
        <f>E23+'30'!G23</f>
        <v>0</v>
      </c>
      <c r="H23" s="24">
        <f>SUM(H24:H29)</f>
        <v>0</v>
      </c>
      <c r="I23" s="23">
        <f>IFERROR((H23/G23),0)</f>
        <v>0</v>
      </c>
      <c r="J23" s="946">
        <f>SUM(J24:J29)</f>
        <v>0</v>
      </c>
      <c r="K23" s="47">
        <f>J23+'30'!K23</f>
        <v>20</v>
      </c>
      <c r="L23" s="584">
        <f>D23+H23-K23+M23</f>
        <v>32</v>
      </c>
      <c r="M23" s="416"/>
      <c r="N23" s="432"/>
      <c r="O23" s="1254"/>
      <c r="P23" s="1255"/>
      <c r="Q23" s="606"/>
      <c r="R23" s="606"/>
      <c r="S23" s="616"/>
      <c r="T23" s="28"/>
    </row>
    <row r="24" spans="1:25" s="4" customFormat="1" hidden="1" outlineLevel="1">
      <c r="A24" s="105" t="s">
        <v>153</v>
      </c>
      <c r="B24" s="9" t="s">
        <v>9</v>
      </c>
      <c r="C24" s="25"/>
      <c r="D24" s="68">
        <f>'01'!D24</f>
        <v>0</v>
      </c>
      <c r="E24" s="48"/>
      <c r="F24" s="98">
        <v>0</v>
      </c>
      <c r="G24" s="18">
        <f>E24+'30'!G24</f>
        <v>0</v>
      </c>
      <c r="H24" s="18">
        <f>F24+'30'!H24</f>
        <v>0</v>
      </c>
      <c r="I24" s="23"/>
      <c r="J24" s="752">
        <v>0</v>
      </c>
      <c r="K24" s="67">
        <f>J24+'30'!K24</f>
        <v>0</v>
      </c>
      <c r="L24" s="60">
        <f t="shared" si="1"/>
        <v>0</v>
      </c>
      <c r="M24" s="416"/>
      <c r="N24" s="432"/>
      <c r="O24" s="925"/>
      <c r="P24" s="926"/>
      <c r="Q24" s="606"/>
      <c r="R24" s="606"/>
      <c r="S24" s="616"/>
      <c r="T24" s="28"/>
    </row>
    <row r="25" spans="1:25" s="4" customFormat="1" hidden="1" outlineLevel="1">
      <c r="A25" s="46" t="s">
        <v>85</v>
      </c>
      <c r="B25" s="9" t="s">
        <v>9</v>
      </c>
      <c r="C25" s="25"/>
      <c r="D25" s="68">
        <f>'01'!D25</f>
        <v>16</v>
      </c>
      <c r="E25" s="48"/>
      <c r="F25" s="98">
        <v>0</v>
      </c>
      <c r="G25" s="18">
        <f>E25+'30'!G25</f>
        <v>0</v>
      </c>
      <c r="H25" s="18">
        <f>F25+'30'!H25</f>
        <v>0</v>
      </c>
      <c r="I25" s="23"/>
      <c r="J25" s="752">
        <v>0</v>
      </c>
      <c r="K25" s="67">
        <f>J25+'30'!K25</f>
        <v>20</v>
      </c>
      <c r="L25" s="60">
        <f t="shared" si="1"/>
        <v>-4</v>
      </c>
      <c r="M25" s="416"/>
      <c r="N25" s="432"/>
      <c r="O25" s="925"/>
      <c r="P25" s="926"/>
      <c r="Q25" s="606"/>
      <c r="R25" s="606"/>
      <c r="S25" s="616"/>
      <c r="T25" s="28"/>
    </row>
    <row r="26" spans="1:25" s="4" customFormat="1" hidden="1" outlineLevel="1">
      <c r="A26" s="123" t="str">
        <f>'01'!A26</f>
        <v xml:space="preserve">ЦEМ I 52,5H Портландцемент (МКР) </v>
      </c>
      <c r="B26" s="9" t="s">
        <v>9</v>
      </c>
      <c r="C26" s="25"/>
      <c r="D26" s="68">
        <f>'01'!D26</f>
        <v>36</v>
      </c>
      <c r="E26" s="48"/>
      <c r="F26" s="98">
        <v>0</v>
      </c>
      <c r="G26" s="18">
        <f>E26+'30'!G26</f>
        <v>0</v>
      </c>
      <c r="H26" s="18">
        <f>F26+'30'!H26</f>
        <v>0</v>
      </c>
      <c r="I26" s="23"/>
      <c r="J26" s="752">
        <v>0</v>
      </c>
      <c r="K26" s="67">
        <f>J26+'30'!K26</f>
        <v>0</v>
      </c>
      <c r="L26" s="60">
        <f t="shared" si="1"/>
        <v>36</v>
      </c>
      <c r="M26" s="416"/>
      <c r="N26" s="432"/>
      <c r="O26" s="925"/>
      <c r="P26" s="926"/>
      <c r="Q26" s="606"/>
      <c r="R26" s="606"/>
      <c r="S26" s="616"/>
      <c r="T26" s="28"/>
    </row>
    <row r="27" spans="1:25" s="4" customFormat="1" hidden="1" outlineLevel="1">
      <c r="A27" s="44" t="s">
        <v>50</v>
      </c>
      <c r="B27" s="9" t="s">
        <v>9</v>
      </c>
      <c r="C27" s="25"/>
      <c r="D27" s="68">
        <f>'01'!D27</f>
        <v>0</v>
      </c>
      <c r="E27" s="48"/>
      <c r="F27" s="98">
        <v>0</v>
      </c>
      <c r="G27" s="18">
        <f>E27+'30'!G27</f>
        <v>0</v>
      </c>
      <c r="H27" s="18">
        <f>F27+'30'!H27</f>
        <v>0</v>
      </c>
      <c r="I27" s="23"/>
      <c r="J27" s="752"/>
      <c r="K27" s="67">
        <f>J27+'30'!K27</f>
        <v>0</v>
      </c>
      <c r="L27" s="60">
        <f t="shared" si="1"/>
        <v>0</v>
      </c>
      <c r="M27" s="416"/>
      <c r="N27" s="432"/>
      <c r="O27" s="925"/>
      <c r="P27" s="926"/>
      <c r="Q27" s="606"/>
      <c r="R27" s="606"/>
      <c r="S27" s="616"/>
      <c r="T27" s="28"/>
    </row>
    <row r="28" spans="1:25" s="4" customFormat="1" hidden="1" outlineLevel="1">
      <c r="A28" s="245"/>
      <c r="B28" s="9" t="s">
        <v>9</v>
      </c>
      <c r="C28" s="25"/>
      <c r="D28" s="25"/>
      <c r="E28" s="48"/>
      <c r="F28" s="98">
        <f>J28</f>
        <v>0</v>
      </c>
      <c r="G28" s="18">
        <f>E28+'30'!G28</f>
        <v>0</v>
      </c>
      <c r="H28" s="18">
        <f>F28+'30'!H28</f>
        <v>0</v>
      </c>
      <c r="I28" s="23"/>
      <c r="J28" s="752"/>
      <c r="K28" s="67">
        <f>J28+'30'!K28</f>
        <v>0</v>
      </c>
      <c r="L28" s="60">
        <f t="shared" si="1"/>
        <v>0</v>
      </c>
      <c r="M28" s="416"/>
      <c r="N28" s="432"/>
      <c r="O28" s="925"/>
      <c r="P28" s="926"/>
      <c r="Q28" s="606"/>
      <c r="R28" s="606"/>
      <c r="S28" s="616"/>
      <c r="T28" s="28"/>
    </row>
    <row r="29" spans="1:25" s="4" customFormat="1" hidden="1" outlineLevel="1">
      <c r="A29" s="245"/>
      <c r="B29" s="9" t="s">
        <v>9</v>
      </c>
      <c r="C29" s="25"/>
      <c r="D29" s="25"/>
      <c r="E29" s="48"/>
      <c r="F29" s="98">
        <f>J29</f>
        <v>0</v>
      </c>
      <c r="G29" s="18">
        <f>E29+'30'!G29</f>
        <v>0</v>
      </c>
      <c r="H29" s="18">
        <f>F29+'30'!H29</f>
        <v>0</v>
      </c>
      <c r="I29" s="23"/>
      <c r="J29" s="752"/>
      <c r="K29" s="67">
        <f>J29+'30'!K29</f>
        <v>0</v>
      </c>
      <c r="L29" s="60">
        <f t="shared" si="1"/>
        <v>0</v>
      </c>
      <c r="M29" s="416"/>
      <c r="N29" s="432"/>
      <c r="O29" s="925"/>
      <c r="P29" s="926"/>
      <c r="Q29" s="606"/>
      <c r="R29" s="606"/>
      <c r="S29" s="616"/>
      <c r="T29" s="28"/>
    </row>
    <row r="30" spans="1:25" s="4" customFormat="1" collapsed="1">
      <c r="A30" s="245" t="s">
        <v>227</v>
      </c>
      <c r="B30" s="670" t="s">
        <v>9</v>
      </c>
      <c r="C30" s="25"/>
      <c r="D30" s="310">
        <f>'01'!D30</f>
        <v>1513.6</v>
      </c>
      <c r="E30" s="48"/>
      <c r="F30" s="98">
        <f>SUM(F31:F37)</f>
        <v>0</v>
      </c>
      <c r="G30" s="24">
        <f>E30+'30'!G30</f>
        <v>0</v>
      </c>
      <c r="H30" s="24">
        <f>SUM(H31:H37)</f>
        <v>554.40000000000009</v>
      </c>
      <c r="I30" s="23">
        <f>IFERROR((H30/G30),0)</f>
        <v>0</v>
      </c>
      <c r="J30" s="946">
        <f>SUM(J31:J37)</f>
        <v>0</v>
      </c>
      <c r="K30" s="47">
        <f>J30+'30'!K30</f>
        <v>994.39999999999986</v>
      </c>
      <c r="L30" s="584">
        <f t="shared" si="1"/>
        <v>1073.6000000000001</v>
      </c>
      <c r="M30" s="416"/>
      <c r="N30" s="432"/>
      <c r="O30" s="1324"/>
      <c r="P30" s="1255"/>
      <c r="Q30" s="606"/>
      <c r="R30" s="606"/>
      <c r="S30" s="616"/>
      <c r="T30" s="28"/>
    </row>
    <row r="31" spans="1:25" s="4" customFormat="1" hidden="1" outlineLevel="1">
      <c r="A31" s="105" t="s">
        <v>153</v>
      </c>
      <c r="B31" s="9" t="s">
        <v>9</v>
      </c>
      <c r="C31" s="25"/>
      <c r="D31" s="20">
        <f>'01'!D31</f>
        <v>0</v>
      </c>
      <c r="E31" s="48"/>
      <c r="F31" s="864">
        <v>0</v>
      </c>
      <c r="G31" s="18">
        <f>E31+'30'!G31</f>
        <v>0</v>
      </c>
      <c r="H31" s="18">
        <f>F31+'30'!H31</f>
        <v>0</v>
      </c>
      <c r="I31" s="23"/>
      <c r="J31" s="950">
        <v>0</v>
      </c>
      <c r="K31" s="67">
        <f>J31+'30'!K31</f>
        <v>0</v>
      </c>
      <c r="L31" s="60">
        <f t="shared" si="1"/>
        <v>0</v>
      </c>
      <c r="M31" s="416"/>
      <c r="N31" s="432"/>
      <c r="O31" s="925"/>
      <c r="P31" s="926"/>
      <c r="Q31" s="606"/>
      <c r="R31" s="606"/>
      <c r="S31" s="616"/>
      <c r="T31" s="28"/>
    </row>
    <row r="32" spans="1:25" s="4" customFormat="1" hidden="1" outlineLevel="1">
      <c r="A32" s="46" t="s">
        <v>254</v>
      </c>
      <c r="B32" s="9" t="s">
        <v>9</v>
      </c>
      <c r="C32" s="25"/>
      <c r="D32" s="20">
        <f>'01'!D32</f>
        <v>1508.32</v>
      </c>
      <c r="E32" s="48"/>
      <c r="F32" s="864">
        <v>0</v>
      </c>
      <c r="G32" s="18">
        <f>E32+'30'!G32</f>
        <v>0</v>
      </c>
      <c r="H32" s="18">
        <f>F32+'30'!H32</f>
        <v>554.40000000000009</v>
      </c>
      <c r="I32" s="23"/>
      <c r="J32" s="950">
        <v>0</v>
      </c>
      <c r="K32" s="67">
        <f>J32+'30'!K32</f>
        <v>994.39999999999986</v>
      </c>
      <c r="L32" s="60">
        <f t="shared" si="1"/>
        <v>1068.3200000000004</v>
      </c>
      <c r="M32" s="416"/>
      <c r="N32" s="432"/>
      <c r="O32" s="925"/>
      <c r="P32" s="926"/>
      <c r="Q32" s="606"/>
      <c r="R32" s="606"/>
      <c r="S32" s="616"/>
      <c r="T32" s="28"/>
    </row>
    <row r="33" spans="1:27" s="4" customFormat="1" hidden="1" outlineLevel="1">
      <c r="A33" s="123" t="str">
        <f>'01'!A33</f>
        <v>ЦЕМ I 52.5Н</v>
      </c>
      <c r="B33" s="9" t="s">
        <v>9</v>
      </c>
      <c r="C33" s="25"/>
      <c r="D33" s="20">
        <f>'01'!D33</f>
        <v>5.28</v>
      </c>
      <c r="E33" s="48"/>
      <c r="F33" s="864">
        <v>0</v>
      </c>
      <c r="G33" s="18">
        <f>E33+'30'!G33</f>
        <v>0</v>
      </c>
      <c r="H33" s="18">
        <f>F33+'30'!H33</f>
        <v>0</v>
      </c>
      <c r="I33" s="23"/>
      <c r="J33" s="950">
        <v>0</v>
      </c>
      <c r="K33" s="67">
        <f>J33+'30'!K33</f>
        <v>0</v>
      </c>
      <c r="L33" s="60">
        <f t="shared" si="1"/>
        <v>5.28</v>
      </c>
      <c r="M33" s="416"/>
      <c r="N33" s="432"/>
      <c r="O33" s="925"/>
      <c r="P33" s="926"/>
      <c r="Q33" s="606"/>
      <c r="R33" s="606"/>
      <c r="S33" s="616"/>
      <c r="T33" s="28"/>
    </row>
    <row r="34" spans="1:27" s="4" customFormat="1" hidden="1" outlineLevel="1">
      <c r="A34" s="44" t="s">
        <v>50</v>
      </c>
      <c r="B34" s="9" t="s">
        <v>9</v>
      </c>
      <c r="C34" s="25"/>
      <c r="D34" s="20">
        <f>'01'!D34</f>
        <v>0</v>
      </c>
      <c r="E34" s="48"/>
      <c r="F34" s="864">
        <v>0</v>
      </c>
      <c r="G34" s="18">
        <f>E34+'30'!G34</f>
        <v>0</v>
      </c>
      <c r="H34" s="18">
        <f>F34+'30'!H34</f>
        <v>0</v>
      </c>
      <c r="I34" s="23"/>
      <c r="J34" s="950"/>
      <c r="K34" s="67">
        <f>J34+'30'!K34</f>
        <v>0</v>
      </c>
      <c r="L34" s="60">
        <f t="shared" si="1"/>
        <v>0</v>
      </c>
      <c r="M34" s="416"/>
      <c r="N34" s="432"/>
      <c r="O34" s="925"/>
      <c r="P34" s="926"/>
      <c r="Q34" s="606"/>
      <c r="R34" s="606"/>
      <c r="S34" s="616"/>
      <c r="T34" s="28"/>
    </row>
    <row r="35" spans="1:27" s="4" customFormat="1" hidden="1" outlineLevel="1">
      <c r="A35" s="245"/>
      <c r="B35" s="9" t="s">
        <v>9</v>
      </c>
      <c r="C35" s="25"/>
      <c r="D35" s="25"/>
      <c r="E35" s="48"/>
      <c r="F35" s="863">
        <f>J35</f>
        <v>0</v>
      </c>
      <c r="G35" s="18">
        <f>E35+'30'!G35</f>
        <v>0</v>
      </c>
      <c r="H35" s="18">
        <f>F35+'30'!H35</f>
        <v>0</v>
      </c>
      <c r="I35" s="23"/>
      <c r="J35" s="950"/>
      <c r="K35" s="67">
        <f>J35+'30'!K35</f>
        <v>0</v>
      </c>
      <c r="L35" s="60">
        <f t="shared" si="1"/>
        <v>0</v>
      </c>
      <c r="M35" s="416"/>
      <c r="N35" s="432"/>
      <c r="O35" s="925"/>
      <c r="P35" s="926"/>
      <c r="Q35" s="606"/>
      <c r="R35" s="606"/>
      <c r="S35" s="616"/>
      <c r="T35" s="28"/>
    </row>
    <row r="36" spans="1:27" s="4" customFormat="1" hidden="1" collapsed="1">
      <c r="A36" s="733" t="s">
        <v>234</v>
      </c>
      <c r="B36" s="9" t="s">
        <v>9</v>
      </c>
      <c r="C36" s="68">
        <f>'01'!C36</f>
        <v>3500</v>
      </c>
      <c r="D36" s="68">
        <f>'01'!D36</f>
        <v>1673.24</v>
      </c>
      <c r="E36" s="48"/>
      <c r="F36" s="863">
        <f>J36</f>
        <v>0</v>
      </c>
      <c r="G36" s="18">
        <f>E36+'30'!G36</f>
        <v>0</v>
      </c>
      <c r="H36" s="18">
        <f>F36+'30'!H36</f>
        <v>0</v>
      </c>
      <c r="I36" s="23"/>
      <c r="J36" s="110">
        <v>0</v>
      </c>
      <c r="K36" s="67">
        <f>J36+'30'!K36</f>
        <v>0</v>
      </c>
      <c r="L36" s="60">
        <f t="shared" si="1"/>
        <v>1673.24</v>
      </c>
      <c r="M36" s="416"/>
      <c r="N36" s="432"/>
      <c r="O36" s="925"/>
      <c r="P36" s="926"/>
      <c r="Q36" s="606"/>
      <c r="R36" s="606"/>
      <c r="S36" s="616"/>
      <c r="T36" s="28"/>
    </row>
    <row r="37" spans="1:27" s="4" customFormat="1" hidden="1">
      <c r="A37" s="733" t="s">
        <v>235</v>
      </c>
      <c r="B37" s="9" t="s">
        <v>9</v>
      </c>
      <c r="C37" s="68">
        <f>'01'!C37</f>
        <v>0</v>
      </c>
      <c r="D37" s="68">
        <f>'01'!D37</f>
        <v>294.63999999999987</v>
      </c>
      <c r="E37" s="48"/>
      <c r="F37" s="863">
        <f>J37</f>
        <v>0</v>
      </c>
      <c r="G37" s="18">
        <f>E37+'30'!G37</f>
        <v>0</v>
      </c>
      <c r="H37" s="18">
        <f>F37+'30'!H37</f>
        <v>0</v>
      </c>
      <c r="I37" s="23"/>
      <c r="J37" s="110">
        <v>0</v>
      </c>
      <c r="K37" s="67">
        <f>J37+'30'!K37</f>
        <v>0</v>
      </c>
      <c r="L37" s="60">
        <f t="shared" si="1"/>
        <v>294.63999999999987</v>
      </c>
      <c r="M37" s="416"/>
      <c r="N37" s="432"/>
      <c r="O37" s="925"/>
      <c r="P37" s="926"/>
      <c r="Q37" s="606"/>
      <c r="R37" s="606"/>
      <c r="S37" s="616"/>
      <c r="T37" s="28"/>
    </row>
    <row r="38" spans="1:27" s="4" customFormat="1">
      <c r="A38" s="669" t="s">
        <v>66</v>
      </c>
      <c r="B38" s="670" t="s">
        <v>9</v>
      </c>
      <c r="C38" s="310">
        <f>'01'!C38</f>
        <v>153958.10705780028</v>
      </c>
      <c r="D38" s="310">
        <f>'01'!D38</f>
        <v>1756.9829593932955</v>
      </c>
      <c r="E38" s="97">
        <f>C38/31</f>
        <v>4966.3905502516218</v>
      </c>
      <c r="F38" s="671">
        <f>SUM(F39:F42)</f>
        <v>0</v>
      </c>
      <c r="G38" s="671">
        <f>E38+'30'!G38</f>
        <v>153958.10705780031</v>
      </c>
      <c r="H38" s="671">
        <f>F38+'30'!H38</f>
        <v>9132.5707721894778</v>
      </c>
      <c r="I38" s="958">
        <f>IFERROR((H38/G38),0)</f>
        <v>5.9318544159294238E-2</v>
      </c>
      <c r="J38" s="753">
        <f>SUM(J39:J40)</f>
        <v>0</v>
      </c>
      <c r="K38" s="672">
        <f>J38+'30'!K38+24</f>
        <v>9107.5707721894778</v>
      </c>
      <c r="L38" s="310">
        <f>D38+H38-K38</f>
        <v>1781.9829593932955</v>
      </c>
      <c r="M38" s="76"/>
      <c r="N38" s="45"/>
      <c r="O38" s="1256"/>
      <c r="P38" s="1257"/>
      <c r="Q38" s="607"/>
      <c r="R38" s="602"/>
      <c r="S38" s="614"/>
      <c r="T38" s="2"/>
      <c r="AA38" s="72"/>
    </row>
    <row r="39" spans="1:27" ht="15.75" customHeight="1">
      <c r="A39" s="74" t="s">
        <v>91</v>
      </c>
      <c r="B39" s="9" t="s">
        <v>9</v>
      </c>
      <c r="C39" s="20"/>
      <c r="D39" s="20"/>
      <c r="E39" s="19"/>
      <c r="F39" s="110">
        <v>0</v>
      </c>
      <c r="G39" s="18"/>
      <c r="H39" s="18">
        <f>F39+'30'!H39</f>
        <v>6840.5707721894778</v>
      </c>
      <c r="I39" s="17"/>
      <c r="J39" s="750">
        <f>F39</f>
        <v>0</v>
      </c>
      <c r="K39" s="67">
        <f>J39+'30'!K39</f>
        <v>6840.5707721894778</v>
      </c>
      <c r="L39" s="20"/>
      <c r="M39" s="76"/>
      <c r="N39" s="45"/>
      <c r="O39" s="1256"/>
      <c r="P39" s="1257"/>
      <c r="Q39" s="607"/>
      <c r="R39" s="602"/>
      <c r="S39" s="614"/>
      <c r="T39" s="2"/>
      <c r="AA39" s="62"/>
    </row>
    <row r="40" spans="1:27" ht="15.75" customHeight="1">
      <c r="A40" s="74" t="s">
        <v>109</v>
      </c>
      <c r="B40" s="9" t="s">
        <v>9</v>
      </c>
      <c r="C40" s="20"/>
      <c r="D40" s="20"/>
      <c r="E40" s="19"/>
      <c r="F40" s="110">
        <v>0</v>
      </c>
      <c r="G40" s="18"/>
      <c r="H40" s="18">
        <f>F40+'30'!H40</f>
        <v>2292</v>
      </c>
      <c r="I40" s="17"/>
      <c r="J40" s="178">
        <v>0</v>
      </c>
      <c r="K40" s="67">
        <f>J40+'30'!K40</f>
        <v>2243</v>
      </c>
      <c r="L40" s="20"/>
      <c r="M40" s="76"/>
      <c r="N40" s="45"/>
      <c r="O40" s="1332"/>
      <c r="P40" s="1257"/>
      <c r="Q40" s="607"/>
      <c r="R40" s="602"/>
      <c r="S40" s="614"/>
      <c r="T40" s="2"/>
      <c r="AA40" s="62"/>
    </row>
    <row r="41" spans="1:27" ht="15.75" hidden="1" customHeight="1" outlineLevel="1">
      <c r="A41" s="74" t="s">
        <v>67</v>
      </c>
      <c r="B41" s="9" t="s">
        <v>9</v>
      </c>
      <c r="C41" s="20"/>
      <c r="D41" s="20"/>
      <c r="E41" s="19"/>
      <c r="F41" s="18"/>
      <c r="G41" s="18"/>
      <c r="H41" s="18">
        <f>F41+'30'!H41</f>
        <v>0</v>
      </c>
      <c r="I41" s="17"/>
      <c r="J41" s="192"/>
      <c r="K41" s="67">
        <f>J41+'30'!K41</f>
        <v>0</v>
      </c>
      <c r="L41" s="20"/>
      <c r="M41" s="76"/>
      <c r="N41" s="45"/>
      <c r="O41" s="1256"/>
      <c r="P41" s="1257"/>
      <c r="Q41" s="607"/>
      <c r="R41" s="602"/>
      <c r="S41" s="614"/>
      <c r="T41" s="2"/>
      <c r="AA41" s="62"/>
    </row>
    <row r="42" spans="1:27" ht="15.75" hidden="1" customHeight="1" outlineLevel="1">
      <c r="A42" s="74" t="s">
        <v>68</v>
      </c>
      <c r="B42" s="9" t="s">
        <v>9</v>
      </c>
      <c r="C42" s="20"/>
      <c r="D42" s="20"/>
      <c r="E42" s="19"/>
      <c r="F42" s="18"/>
      <c r="G42" s="18"/>
      <c r="H42" s="18">
        <f>F42+'30'!H42</f>
        <v>0</v>
      </c>
      <c r="I42" s="17"/>
      <c r="J42" s="949"/>
      <c r="K42" s="67">
        <f>J42+'30'!K42</f>
        <v>0</v>
      </c>
      <c r="L42" s="20"/>
      <c r="M42" s="76"/>
      <c r="N42" s="45"/>
      <c r="O42" s="1256"/>
      <c r="P42" s="1257"/>
      <c r="Q42" s="607"/>
      <c r="R42" s="602"/>
      <c r="S42" s="614"/>
      <c r="T42" s="2"/>
      <c r="AA42" s="62"/>
    </row>
    <row r="43" spans="1:27" ht="15.75" customHeight="1" collapsed="1">
      <c r="A43" s="74" t="s">
        <v>63</v>
      </c>
      <c r="B43" s="9" t="s">
        <v>9</v>
      </c>
      <c r="C43" s="20">
        <f>'01'!C43</f>
        <v>96601.878796744204</v>
      </c>
      <c r="D43" s="20"/>
      <c r="E43" s="19">
        <f>C43/30</f>
        <v>3220.06262655814</v>
      </c>
      <c r="F43" s="110">
        <v>0</v>
      </c>
      <c r="G43" s="18">
        <f>E43+'30'!G43</f>
        <v>99821.941423302298</v>
      </c>
      <c r="H43" s="315">
        <f>F43+'30'!H43</f>
        <v>8403.7999999999993</v>
      </c>
      <c r="I43" s="17"/>
      <c r="J43" s="949">
        <f>F43</f>
        <v>0</v>
      </c>
      <c r="K43" s="67">
        <f>J43+'30'!K43</f>
        <v>8403.7999999999993</v>
      </c>
      <c r="L43" s="20">
        <f>D43+H43-K43</f>
        <v>0</v>
      </c>
      <c r="M43" s="76"/>
      <c r="N43" s="45"/>
      <c r="O43" s="1256"/>
      <c r="P43" s="1257"/>
      <c r="Q43" s="607"/>
      <c r="R43" s="602"/>
      <c r="S43" s="614"/>
      <c r="T43" s="2"/>
      <c r="AA43" s="62"/>
    </row>
    <row r="44" spans="1:27" s="4" customFormat="1">
      <c r="A44" s="74" t="s">
        <v>40</v>
      </c>
      <c r="B44" s="26" t="s">
        <v>9</v>
      </c>
      <c r="C44" s="20">
        <f>'01'!C44</f>
        <v>40846.933088751408</v>
      </c>
      <c r="D44" s="20">
        <f>'01'!D44</f>
        <v>3759.4565289122183</v>
      </c>
      <c r="E44" s="707">
        <f>C44/30</f>
        <v>1361.5644362917135</v>
      </c>
      <c r="F44" s="110">
        <v>0</v>
      </c>
      <c r="G44" s="18">
        <f>E44+'30'!G44</f>
        <v>42208.497525043116</v>
      </c>
      <c r="H44" s="315">
        <f>F44+'30'!H44</f>
        <v>7255</v>
      </c>
      <c r="I44" s="17">
        <f>IFERROR((H44/G44),0)</f>
        <v>0.17188482001036565</v>
      </c>
      <c r="J44" s="178">
        <v>0</v>
      </c>
      <c r="K44" s="67">
        <f>J44+'30'!K44</f>
        <v>4780.2485953962823</v>
      </c>
      <c r="L44" s="20">
        <f>D44+H44-K44</f>
        <v>6234.207933515936</v>
      </c>
      <c r="M44" s="76"/>
      <c r="N44" s="45"/>
      <c r="O44" s="1256"/>
      <c r="P44" s="1257"/>
      <c r="Q44" s="607"/>
      <c r="R44" s="606"/>
      <c r="S44" s="614"/>
      <c r="T44" s="2"/>
      <c r="AA44" s="72"/>
    </row>
    <row r="45" spans="1:27" s="4" customFormat="1" hidden="1" outlineLevel="1">
      <c r="A45" s="74" t="s">
        <v>70</v>
      </c>
      <c r="B45" s="9" t="s">
        <v>9</v>
      </c>
      <c r="C45" s="20"/>
      <c r="D45" s="20"/>
      <c r="E45" s="19"/>
      <c r="F45" s="18">
        <v>0</v>
      </c>
      <c r="G45" s="18"/>
      <c r="H45" s="18">
        <f>F45+'30'!H45</f>
        <v>0</v>
      </c>
      <c r="I45" s="17"/>
      <c r="J45" s="192"/>
      <c r="K45" s="67">
        <f>J45+'30'!K45</f>
        <v>0</v>
      </c>
      <c r="L45" s="20"/>
      <c r="M45" s="76"/>
      <c r="N45" s="45"/>
      <c r="O45" s="1256"/>
      <c r="P45" s="1257"/>
      <c r="Q45" s="607"/>
      <c r="R45" s="606"/>
      <c r="S45" s="614"/>
      <c r="T45" s="2"/>
      <c r="AA45" s="72"/>
    </row>
    <row r="46" spans="1:27" s="4" customFormat="1" hidden="1" outlineLevel="1">
      <c r="A46" s="74" t="s">
        <v>71</v>
      </c>
      <c r="B46" s="9" t="s">
        <v>9</v>
      </c>
      <c r="C46" s="20"/>
      <c r="D46" s="20"/>
      <c r="E46" s="19"/>
      <c r="F46" s="18"/>
      <c r="G46" s="18"/>
      <c r="H46" s="18">
        <f>F46+'30'!H46</f>
        <v>0</v>
      </c>
      <c r="I46" s="17"/>
      <c r="J46" s="192"/>
      <c r="K46" s="67">
        <f>J46+'30'!K46</f>
        <v>0</v>
      </c>
      <c r="L46" s="20"/>
      <c r="M46" s="76"/>
      <c r="N46" s="45"/>
      <c r="O46" s="1256"/>
      <c r="P46" s="1257"/>
      <c r="Q46" s="607"/>
      <c r="R46" s="606"/>
      <c r="S46" s="614"/>
      <c r="T46" s="2"/>
      <c r="AA46" s="72"/>
    </row>
    <row r="47" spans="1:27" s="4" customFormat="1" hidden="1" outlineLevel="1">
      <c r="A47" s="74" t="s">
        <v>106</v>
      </c>
      <c r="B47" s="9" t="s">
        <v>9</v>
      </c>
      <c r="C47" s="20">
        <f>'01'!C47</f>
        <v>0</v>
      </c>
      <c r="D47" s="20">
        <f>'01'!D47</f>
        <v>0</v>
      </c>
      <c r="E47" s="19">
        <f>C47/31</f>
        <v>0</v>
      </c>
      <c r="F47" s="18">
        <v>0</v>
      </c>
      <c r="G47" s="18">
        <f>E47+'30'!G47</f>
        <v>0</v>
      </c>
      <c r="H47" s="18">
        <f>F47+'30'!H47</f>
        <v>0</v>
      </c>
      <c r="I47" s="17">
        <f>IFERROR((H47/G47),0)</f>
        <v>0</v>
      </c>
      <c r="J47" s="192"/>
      <c r="K47" s="67">
        <f>J47+'30'!K47</f>
        <v>0</v>
      </c>
      <c r="L47" s="20">
        <f>D47+H47-K47</f>
        <v>0</v>
      </c>
      <c r="M47" s="76"/>
      <c r="N47" s="45"/>
      <c r="O47" s="1256"/>
      <c r="P47" s="1257"/>
      <c r="Q47" s="607"/>
      <c r="R47" s="606"/>
      <c r="S47" s="614"/>
      <c r="T47" s="2"/>
      <c r="AA47" s="72"/>
    </row>
    <row r="48" spans="1:27" s="4" customFormat="1" collapsed="1">
      <c r="A48" s="74" t="s">
        <v>106</v>
      </c>
      <c r="B48" s="9" t="s">
        <v>9</v>
      </c>
      <c r="C48" s="20">
        <f>'01'!C48</f>
        <v>238663.46526254449</v>
      </c>
      <c r="D48" s="20">
        <f>'01'!D48</f>
        <v>14554.971764167974</v>
      </c>
      <c r="E48" s="19">
        <f>C48/30</f>
        <v>7955.4488420848165</v>
      </c>
      <c r="F48" s="110">
        <v>0</v>
      </c>
      <c r="G48" s="18">
        <f>E48+'30'!G48</f>
        <v>246618.9141046294</v>
      </c>
      <c r="H48" s="18">
        <f>F48+'30'!H48</f>
        <v>15244.370772189477</v>
      </c>
      <c r="I48" s="17">
        <f>IFERROR((H48/G48),0)</f>
        <v>6.1813469690820112E-2</v>
      </c>
      <c r="J48" s="750">
        <v>0</v>
      </c>
      <c r="K48" s="67">
        <f>J48+'30'!K48</f>
        <v>27730.381517661059</v>
      </c>
      <c r="L48" s="20">
        <f>D48+H48-K48</f>
        <v>2068.961018696391</v>
      </c>
      <c r="M48" s="76"/>
      <c r="N48" s="45"/>
      <c r="O48" s="1256"/>
      <c r="P48" s="1257"/>
      <c r="Q48" s="607"/>
      <c r="R48" s="606"/>
      <c r="S48" s="614"/>
      <c r="T48" s="2"/>
      <c r="AA48" s="72"/>
    </row>
    <row r="49" spans="1:26" s="4" customFormat="1">
      <c r="A49" s="41" t="s">
        <v>107</v>
      </c>
      <c r="B49" s="26" t="s">
        <v>9</v>
      </c>
      <c r="C49" s="20">
        <f>'01'!C49</f>
        <v>256898.95024371953</v>
      </c>
      <c r="D49" s="20">
        <f>'01'!D49</f>
        <v>6890.3919969842718</v>
      </c>
      <c r="E49" s="19">
        <f>SUM(E50:E51)</f>
        <v>11000</v>
      </c>
      <c r="F49" s="18">
        <f>SUM(F50:F51)</f>
        <v>0</v>
      </c>
      <c r="G49" s="18">
        <f>SUM(G50:G51)</f>
        <v>256898.95024371953</v>
      </c>
      <c r="H49" s="18">
        <f>F49+'30'!H49</f>
        <v>32176.186994748638</v>
      </c>
      <c r="I49" s="17">
        <f>IFERROR((H49/G49),0)</f>
        <v>0.12524841757517169</v>
      </c>
      <c r="J49" s="192">
        <f>SUM(J50:J51)</f>
        <v>0</v>
      </c>
      <c r="K49" s="67">
        <f>SUM(K50:K51)</f>
        <v>26069.180673341318</v>
      </c>
      <c r="L49" s="20">
        <f>D49+H49-K49+M49</f>
        <v>12997.398318391592</v>
      </c>
      <c r="M49" s="410"/>
      <c r="N49" s="43"/>
      <c r="O49" s="1244"/>
      <c r="P49" s="1245"/>
      <c r="Q49" s="608"/>
      <c r="R49" s="606"/>
      <c r="S49" s="602"/>
      <c r="T49" s="2"/>
    </row>
    <row r="50" spans="1:26">
      <c r="A50" s="123" t="s">
        <v>61</v>
      </c>
      <c r="B50" s="9" t="s">
        <v>9</v>
      </c>
      <c r="C50" s="20">
        <f>'01'!C50</f>
        <v>0</v>
      </c>
      <c r="D50" s="20">
        <f>'01'!D50</f>
        <v>2323.23</v>
      </c>
      <c r="E50" s="19">
        <v>0</v>
      </c>
      <c r="F50" s="18"/>
      <c r="G50" s="18">
        <f>E50+'30'!G50</f>
        <v>0</v>
      </c>
      <c r="H50" s="18">
        <f>F50+'30'!H50</f>
        <v>0</v>
      </c>
      <c r="I50" s="17">
        <f>IFERROR((H50/G50),0)</f>
        <v>0</v>
      </c>
      <c r="J50" s="192"/>
      <c r="K50" s="67">
        <f>J50+'30'!K50</f>
        <v>0</v>
      </c>
      <c r="L50" s="20">
        <f>D50+H50-K50+M50</f>
        <v>2323.23</v>
      </c>
      <c r="M50" s="410"/>
      <c r="N50" s="43"/>
      <c r="O50" s="1244"/>
      <c r="P50" s="1245"/>
      <c r="Q50" s="608"/>
      <c r="R50" s="602"/>
      <c r="S50" s="614"/>
      <c r="T50" s="2"/>
    </row>
    <row r="51" spans="1:26">
      <c r="A51" s="123" t="s">
        <v>62</v>
      </c>
      <c r="B51" s="9" t="s">
        <v>9</v>
      </c>
      <c r="C51" s="20">
        <f>'01'!C51</f>
        <v>256898.95024371953</v>
      </c>
      <c r="D51" s="20">
        <f>'01'!D51</f>
        <v>4567.1619969842723</v>
      </c>
      <c r="E51" s="134">
        <v>11000</v>
      </c>
      <c r="F51" s="110">
        <v>0</v>
      </c>
      <c r="G51" s="18">
        <f>E51+'30'!G51</f>
        <v>256898.95024371953</v>
      </c>
      <c r="H51" s="18">
        <f>F51+'30'!H51</f>
        <v>32176.186994748638</v>
      </c>
      <c r="I51" s="17">
        <f>IFERROR((H51/G51),0)</f>
        <v>0.12524841757517169</v>
      </c>
      <c r="J51" s="192">
        <f>O51-P51</f>
        <v>0</v>
      </c>
      <c r="K51" s="67">
        <f>J51+'30'!K51</f>
        <v>26069.180673341318</v>
      </c>
      <c r="L51" s="20">
        <f>D51+H51-K51+M51</f>
        <v>10674.168318391596</v>
      </c>
      <c r="M51" s="410"/>
      <c r="N51" s="43"/>
      <c r="O51" s="178">
        <v>0</v>
      </c>
      <c r="P51" s="668">
        <f>O51*0.055</f>
        <v>0</v>
      </c>
      <c r="Q51" s="608"/>
      <c r="R51" s="602"/>
      <c r="S51" s="614"/>
      <c r="T51" s="2"/>
      <c r="Y51" s="1072" t="s">
        <v>110</v>
      </c>
      <c r="Z51" s="1073">
        <f>L54</f>
        <v>12209.579158431603</v>
      </c>
    </row>
    <row r="52" spans="1:26" s="4" customFormat="1">
      <c r="A52" s="41" t="s">
        <v>41</v>
      </c>
      <c r="B52" s="9" t="s">
        <v>9</v>
      </c>
      <c r="C52" s="20"/>
      <c r="D52" s="20"/>
      <c r="E52" s="19"/>
      <c r="F52" s="18"/>
      <c r="G52" s="18"/>
      <c r="H52" s="18"/>
      <c r="I52" s="17"/>
      <c r="J52" s="192"/>
      <c r="K52" s="67"/>
      <c r="L52" s="20"/>
      <c r="M52" s="76"/>
      <c r="N52" s="45"/>
      <c r="O52" s="1256"/>
      <c r="P52" s="1257"/>
      <c r="Q52" s="607"/>
      <c r="R52" s="606"/>
      <c r="S52" s="1031"/>
      <c r="T52" s="2"/>
      <c r="Y52" s="1074" t="s">
        <v>258</v>
      </c>
      <c r="Z52" s="1081">
        <f>L55</f>
        <v>2640.6039748618332</v>
      </c>
    </row>
    <row r="53" spans="1:26" s="56" customFormat="1" hidden="1">
      <c r="A53" s="61" t="s">
        <v>43</v>
      </c>
      <c r="B53" s="59" t="s">
        <v>9</v>
      </c>
      <c r="C53" s="20">
        <f>'01'!C53</f>
        <v>0</v>
      </c>
      <c r="D53" s="20">
        <f>'01'!D53</f>
        <v>0</v>
      </c>
      <c r="E53" s="240">
        <f t="shared" ref="E53:E58" si="2">C53/$Q$2</f>
        <v>0</v>
      </c>
      <c r="F53" s="73">
        <v>0</v>
      </c>
      <c r="G53" s="18">
        <f>E53+'30'!G53</f>
        <v>0</v>
      </c>
      <c r="H53" s="18">
        <f>F53+'30'!H53</f>
        <v>0</v>
      </c>
      <c r="I53" s="957">
        <f t="shared" ref="I53:I58" si="3">IFERROR((H53/G53),0)</f>
        <v>0</v>
      </c>
      <c r="J53" s="624"/>
      <c r="K53" s="67">
        <f>J53+'30'!K53</f>
        <v>0</v>
      </c>
      <c r="L53" s="60">
        <f t="shared" ref="L53:L63" si="4">D53+H53-K53</f>
        <v>0</v>
      </c>
      <c r="M53" s="411"/>
      <c r="N53" s="57"/>
      <c r="O53" s="1278"/>
      <c r="P53" s="1279"/>
      <c r="Q53" s="609"/>
      <c r="R53" s="7"/>
      <c r="S53" s="615"/>
      <c r="T53" s="2"/>
      <c r="Y53" s="1075"/>
      <c r="Z53" s="1076"/>
    </row>
    <row r="54" spans="1:26" s="56" customFormat="1">
      <c r="A54" s="61" t="s">
        <v>42</v>
      </c>
      <c r="B54" s="59" t="s">
        <v>9</v>
      </c>
      <c r="C54" s="20">
        <f>'01'!C54</f>
        <v>10000</v>
      </c>
      <c r="D54" s="20">
        <f>'01'!D54</f>
        <v>13684.915881223626</v>
      </c>
      <c r="E54" s="240">
        <f t="shared" si="2"/>
        <v>322.58064516129031</v>
      </c>
      <c r="F54" s="73">
        <v>0</v>
      </c>
      <c r="G54" s="18">
        <f>E54+'30'!G54</f>
        <v>10000.000000000002</v>
      </c>
      <c r="H54" s="315">
        <f>F54+'30'!H54</f>
        <v>0</v>
      </c>
      <c r="I54" s="957">
        <f t="shared" si="3"/>
        <v>0</v>
      </c>
      <c r="J54" s="754">
        <v>0</v>
      </c>
      <c r="K54" s="67">
        <f>J54+'30'!K54</f>
        <v>1475.3367227920221</v>
      </c>
      <c r="L54" s="60">
        <f t="shared" si="4"/>
        <v>12209.579158431603</v>
      </c>
      <c r="M54" s="411"/>
      <c r="N54" s="57"/>
      <c r="O54" s="1278"/>
      <c r="P54" s="1279"/>
      <c r="Q54" s="609"/>
      <c r="R54" s="7"/>
      <c r="S54" s="615"/>
      <c r="T54" s="2"/>
      <c r="Y54" s="1075" t="s">
        <v>259</v>
      </c>
      <c r="Z54" s="306">
        <f>L63</f>
        <v>5722.792418496927</v>
      </c>
    </row>
    <row r="55" spans="1:26" s="56" customFormat="1">
      <c r="A55" s="61" t="s">
        <v>149</v>
      </c>
      <c r="B55" s="59" t="s">
        <v>9</v>
      </c>
      <c r="C55" s="20">
        <f>'01'!C55</f>
        <v>17000</v>
      </c>
      <c r="D55" s="20">
        <f>'01'!D55</f>
        <v>3999.5665967852347</v>
      </c>
      <c r="E55" s="240">
        <f t="shared" si="2"/>
        <v>548.38709677419354</v>
      </c>
      <c r="F55" s="73">
        <v>0</v>
      </c>
      <c r="G55" s="18">
        <f>E55+'30'!G55</f>
        <v>16999.999999999993</v>
      </c>
      <c r="H55" s="1034">
        <f>F55+'30'!H55</f>
        <v>0</v>
      </c>
      <c r="I55" s="957">
        <f t="shared" si="3"/>
        <v>0</v>
      </c>
      <c r="J55" s="754">
        <v>0</v>
      </c>
      <c r="K55" s="67">
        <f>J55+'30'!K55</f>
        <v>1358.9626219234012</v>
      </c>
      <c r="L55" s="60">
        <f t="shared" si="4"/>
        <v>2640.6039748618332</v>
      </c>
      <c r="M55" s="411"/>
      <c r="N55" s="57"/>
      <c r="O55" s="1278"/>
      <c r="P55" s="1279"/>
      <c r="Q55" s="609"/>
      <c r="R55" s="314">
        <f>D55+H55-K55</f>
        <v>2640.6039748618332</v>
      </c>
      <c r="S55" s="615"/>
      <c r="T55" s="2"/>
      <c r="Y55" s="1075" t="s">
        <v>58</v>
      </c>
      <c r="Z55" s="306">
        <f>L58</f>
        <v>3480.6937513418743</v>
      </c>
    </row>
    <row r="56" spans="1:26" s="56" customFormat="1" hidden="1">
      <c r="A56" s="61" t="s">
        <v>194</v>
      </c>
      <c r="B56" s="59" t="s">
        <v>9</v>
      </c>
      <c r="C56" s="20">
        <f>'01'!C56</f>
        <v>0</v>
      </c>
      <c r="D56" s="20">
        <f>'01'!D56</f>
        <v>0</v>
      </c>
      <c r="E56" s="240">
        <f t="shared" si="2"/>
        <v>0</v>
      </c>
      <c r="F56" s="73">
        <v>0</v>
      </c>
      <c r="G56" s="18">
        <f>E56+'30'!G56</f>
        <v>0</v>
      </c>
      <c r="H56" s="18">
        <f>F56+'30'!H56</f>
        <v>0</v>
      </c>
      <c r="I56" s="957">
        <f t="shared" si="3"/>
        <v>0</v>
      </c>
      <c r="J56" s="624"/>
      <c r="K56" s="67">
        <f>J56+'30'!K56</f>
        <v>0</v>
      </c>
      <c r="L56" s="60">
        <f t="shared" si="4"/>
        <v>0</v>
      </c>
      <c r="M56" s="411"/>
      <c r="N56" s="57"/>
      <c r="O56" s="1278"/>
      <c r="P56" s="1279"/>
      <c r="Q56" s="609"/>
      <c r="R56" s="7"/>
      <c r="S56" s="615"/>
      <c r="T56" s="2"/>
      <c r="Y56" s="1075"/>
      <c r="Z56" s="1076"/>
    </row>
    <row r="57" spans="1:26" s="56" customFormat="1">
      <c r="A57" s="61" t="s">
        <v>52</v>
      </c>
      <c r="B57" s="59" t="s">
        <v>9</v>
      </c>
      <c r="C57" s="20">
        <f>'01'!C57</f>
        <v>0</v>
      </c>
      <c r="D57" s="20">
        <f>'01'!D57</f>
        <v>178.07499999999999</v>
      </c>
      <c r="E57" s="240">
        <f t="shared" si="2"/>
        <v>0</v>
      </c>
      <c r="F57" s="73">
        <v>0</v>
      </c>
      <c r="G57" s="18">
        <f>E57+'30'!G57</f>
        <v>0</v>
      </c>
      <c r="H57" s="18">
        <f>F57+'30'!H57</f>
        <v>0</v>
      </c>
      <c r="I57" s="957">
        <f t="shared" si="3"/>
        <v>0</v>
      </c>
      <c r="J57" s="624"/>
      <c r="K57" s="67">
        <f>J57+'30'!K57</f>
        <v>0</v>
      </c>
      <c r="L57" s="60">
        <f t="shared" si="4"/>
        <v>178.07499999999999</v>
      </c>
      <c r="M57" s="411"/>
      <c r="N57" s="57"/>
      <c r="O57" s="1278"/>
      <c r="P57" s="1279"/>
      <c r="Q57" s="609"/>
      <c r="R57" s="7"/>
      <c r="S57" s="615"/>
      <c r="T57" s="2"/>
      <c r="Y57" s="1075" t="s">
        <v>260</v>
      </c>
      <c r="Z57" s="306">
        <f>L59</f>
        <v>4269.0880030013104</v>
      </c>
    </row>
    <row r="58" spans="1:26" s="56" customFormat="1">
      <c r="A58" s="61" t="s">
        <v>59</v>
      </c>
      <c r="B58" s="59" t="s">
        <v>9</v>
      </c>
      <c r="C58" s="20">
        <f>'01'!C58</f>
        <v>0</v>
      </c>
      <c r="D58" s="20">
        <f>'01'!D58</f>
        <v>3480.6937513418743</v>
      </c>
      <c r="E58" s="240">
        <f t="shared" si="2"/>
        <v>0</v>
      </c>
      <c r="F58" s="73">
        <v>0</v>
      </c>
      <c r="G58" s="18">
        <f>E58+'30'!G58</f>
        <v>0</v>
      </c>
      <c r="H58" s="315">
        <f>F58+'30'!H58</f>
        <v>0</v>
      </c>
      <c r="I58" s="957">
        <f t="shared" si="3"/>
        <v>0</v>
      </c>
      <c r="J58" s="754">
        <v>0</v>
      </c>
      <c r="K58" s="67">
        <f>J58+'30'!K58</f>
        <v>0</v>
      </c>
      <c r="L58" s="60">
        <f t="shared" si="4"/>
        <v>3480.6937513418743</v>
      </c>
      <c r="M58" s="411"/>
      <c r="N58" s="57"/>
      <c r="O58" s="1278"/>
      <c r="P58" s="1279"/>
      <c r="Q58" s="609"/>
      <c r="R58" s="7"/>
      <c r="S58" s="615"/>
      <c r="T58" s="2"/>
      <c r="Y58" s="1075" t="s">
        <v>261</v>
      </c>
      <c r="Z58" s="306">
        <f>L62</f>
        <v>1531.7249999999999</v>
      </c>
    </row>
    <row r="59" spans="1:26" s="56" customFormat="1">
      <c r="A59" s="61" t="s">
        <v>243</v>
      </c>
      <c r="B59" s="59" t="s">
        <v>9</v>
      </c>
      <c r="C59" s="20"/>
      <c r="D59" s="20">
        <f>'01'!D59</f>
        <v>4269.0880030013104</v>
      </c>
      <c r="E59" s="240"/>
      <c r="F59" s="73">
        <v>0</v>
      </c>
      <c r="G59" s="18"/>
      <c r="H59" s="315">
        <f>F59+'30'!H59</f>
        <v>0</v>
      </c>
      <c r="I59" s="957"/>
      <c r="J59" s="754"/>
      <c r="K59" s="67">
        <f>J59+'30'!K59</f>
        <v>0</v>
      </c>
      <c r="L59" s="60">
        <f t="shared" si="4"/>
        <v>4269.0880030013104</v>
      </c>
      <c r="M59" s="411"/>
      <c r="N59" s="57"/>
      <c r="O59" s="1328"/>
      <c r="P59" s="1329"/>
      <c r="Q59" s="609"/>
      <c r="R59" s="7"/>
      <c r="S59" s="615"/>
      <c r="T59" s="2"/>
    </row>
    <row r="60" spans="1:26" s="56" customFormat="1" hidden="1">
      <c r="A60" s="125" t="s">
        <v>114</v>
      </c>
      <c r="B60" s="126" t="s">
        <v>9</v>
      </c>
      <c r="C60" s="20"/>
      <c r="D60" s="20">
        <f>'01'!D60</f>
        <v>0</v>
      </c>
      <c r="E60" s="240"/>
      <c r="F60" s="73"/>
      <c r="G60" s="18"/>
      <c r="H60" s="18">
        <f>F60+'30'!H60</f>
        <v>0</v>
      </c>
      <c r="I60" s="957"/>
      <c r="J60" s="754"/>
      <c r="K60" s="67">
        <f>J60+'30'!K60</f>
        <v>0</v>
      </c>
      <c r="L60" s="60">
        <f t="shared" si="4"/>
        <v>0</v>
      </c>
      <c r="M60" s="411"/>
      <c r="N60" s="57"/>
      <c r="O60" s="1278"/>
      <c r="P60" s="1279"/>
      <c r="Q60" s="609"/>
      <c r="R60" s="7"/>
      <c r="S60" s="615"/>
      <c r="T60" s="2"/>
      <c r="V60" s="567"/>
      <c r="W60" s="567"/>
    </row>
    <row r="61" spans="1:26" s="56" customFormat="1">
      <c r="A61" s="61" t="s">
        <v>83</v>
      </c>
      <c r="B61" s="59" t="s">
        <v>9</v>
      </c>
      <c r="C61" s="20"/>
      <c r="D61" s="20">
        <f>'01'!D61</f>
        <v>1063.653</v>
      </c>
      <c r="E61" s="240"/>
      <c r="F61" s="73"/>
      <c r="G61" s="18"/>
      <c r="H61" s="18">
        <f>F61+'30'!H61</f>
        <v>0</v>
      </c>
      <c r="I61" s="957"/>
      <c r="J61" s="624">
        <f>D139+D141</f>
        <v>0</v>
      </c>
      <c r="K61" s="67">
        <f>J61+'30'!K61</f>
        <v>0</v>
      </c>
      <c r="L61" s="60">
        <f t="shared" si="4"/>
        <v>1063.653</v>
      </c>
      <c r="M61" s="411"/>
      <c r="N61" s="57"/>
      <c r="O61" s="1328"/>
      <c r="P61" s="1329"/>
      <c r="Q61" s="609"/>
      <c r="R61" s="7"/>
      <c r="S61" s="615"/>
      <c r="T61" s="2"/>
    </row>
    <row r="62" spans="1:26" s="56" customFormat="1">
      <c r="A62" s="61" t="s">
        <v>250</v>
      </c>
      <c r="B62" s="59" t="s">
        <v>9</v>
      </c>
      <c r="C62" s="574"/>
      <c r="D62" s="20">
        <f>'01'!D62</f>
        <v>1531.7249999999999</v>
      </c>
      <c r="E62" s="529"/>
      <c r="F62" s="530">
        <v>0</v>
      </c>
      <c r="G62" s="531"/>
      <c r="H62" s="18">
        <f>F62+'30'!H62</f>
        <v>0</v>
      </c>
      <c r="I62" s="532"/>
      <c r="J62" s="754"/>
      <c r="K62" s="528">
        <f>J62+'30'!K62</f>
        <v>0</v>
      </c>
      <c r="L62" s="60">
        <f t="shared" si="4"/>
        <v>1531.7249999999999</v>
      </c>
      <c r="M62" s="533"/>
      <c r="N62" s="534"/>
      <c r="O62" s="1278"/>
      <c r="P62" s="1279"/>
      <c r="Q62" s="609"/>
      <c r="R62" s="7"/>
      <c r="S62" s="615"/>
      <c r="T62" s="2"/>
    </row>
    <row r="63" spans="1:26" s="56" customFormat="1">
      <c r="A63" s="1061" t="s">
        <v>255</v>
      </c>
      <c r="B63" s="59" t="s">
        <v>9</v>
      </c>
      <c r="C63" s="68">
        <f>'01'!C63</f>
        <v>30000</v>
      </c>
      <c r="D63" s="20">
        <f>SUM(D64:D71)</f>
        <v>4405.6171920305842</v>
      </c>
      <c r="E63" s="1062"/>
      <c r="F63" s="1063">
        <v>0</v>
      </c>
      <c r="G63" s="18"/>
      <c r="H63" s="18">
        <f>F63+'30'!H63</f>
        <v>3329.1499999999996</v>
      </c>
      <c r="I63" s="1064"/>
      <c r="J63" s="1065">
        <v>0</v>
      </c>
      <c r="K63" s="1066">
        <f>J63+'30'!K63</f>
        <v>2011.9747735336571</v>
      </c>
      <c r="L63" s="20">
        <f t="shared" si="4"/>
        <v>5722.792418496927</v>
      </c>
      <c r="M63" s="533"/>
      <c r="N63" s="534"/>
      <c r="O63" s="1403"/>
      <c r="P63" s="1279"/>
      <c r="Q63" s="609"/>
      <c r="R63" s="7"/>
      <c r="S63" s="615"/>
      <c r="T63" s="2"/>
    </row>
    <row r="64" spans="1:26" s="56" customFormat="1" hidden="1">
      <c r="A64" s="889" t="s">
        <v>224</v>
      </c>
      <c r="B64" s="59" t="s">
        <v>9</v>
      </c>
      <c r="C64" s="574"/>
      <c r="D64" s="20">
        <f>'01'!D64</f>
        <v>452.58776173652768</v>
      </c>
      <c r="E64" s="529"/>
      <c r="F64" s="73"/>
      <c r="G64" s="531"/>
      <c r="H64" s="315">
        <f>F64+'30'!H64</f>
        <v>0</v>
      </c>
      <c r="I64" s="532"/>
      <c r="J64" s="624"/>
      <c r="K64" s="528">
        <f>J64+'30'!K64</f>
        <v>0</v>
      </c>
      <c r="L64" s="60">
        <f>D64+H64-K64</f>
        <v>452.58776173652768</v>
      </c>
      <c r="M64" s="411"/>
      <c r="N64" s="57"/>
      <c r="O64" s="1278"/>
      <c r="P64" s="1279"/>
      <c r="Q64" s="609"/>
      <c r="R64" s="7"/>
      <c r="S64" s="615"/>
      <c r="T64" s="2"/>
    </row>
    <row r="65" spans="1:20" s="56" customFormat="1" hidden="1">
      <c r="A65" s="890" t="s">
        <v>217</v>
      </c>
      <c r="B65" s="59" t="s">
        <v>9</v>
      </c>
      <c r="C65" s="20"/>
      <c r="D65" s="20">
        <f>'01'!D65</f>
        <v>0</v>
      </c>
      <c r="E65" s="240"/>
      <c r="F65" s="73"/>
      <c r="G65" s="18"/>
      <c r="H65" s="18">
        <f>F65+'30'!H65</f>
        <v>0</v>
      </c>
      <c r="I65" s="957"/>
      <c r="J65" s="624"/>
      <c r="K65" s="67">
        <f>J65+'30'!K65</f>
        <v>0</v>
      </c>
      <c r="L65" s="60">
        <f>D65+H65-K65</f>
        <v>0</v>
      </c>
      <c r="M65" s="411"/>
      <c r="N65" s="57"/>
      <c r="O65" s="1278"/>
      <c r="P65" s="1279"/>
      <c r="Q65" s="609"/>
      <c r="R65" s="7"/>
      <c r="S65" s="615"/>
      <c r="T65" s="2"/>
    </row>
    <row r="66" spans="1:20" s="56" customFormat="1" ht="16.5" hidden="1" thickBot="1">
      <c r="A66" s="890" t="s">
        <v>207</v>
      </c>
      <c r="B66" s="59" t="s">
        <v>9</v>
      </c>
      <c r="C66" s="20"/>
      <c r="D66" s="20">
        <f>'01'!D66</f>
        <v>0</v>
      </c>
      <c r="E66" s="240"/>
      <c r="F66" s="73"/>
      <c r="G66" s="18"/>
      <c r="H66" s="18">
        <f>F66+'30'!H66</f>
        <v>0</v>
      </c>
      <c r="I66" s="957"/>
      <c r="J66" s="624"/>
      <c r="K66" s="67">
        <f>J66+'30'!K66</f>
        <v>0</v>
      </c>
      <c r="L66" s="60">
        <f>D66+H66-K66</f>
        <v>0</v>
      </c>
      <c r="M66" s="411"/>
      <c r="N66" s="57"/>
      <c r="O66" s="1278"/>
      <c r="P66" s="1279"/>
      <c r="Q66" s="610"/>
      <c r="R66" s="611"/>
      <c r="S66" s="615"/>
      <c r="T66" s="2"/>
    </row>
    <row r="67" spans="1:20" s="56" customFormat="1" hidden="1">
      <c r="A67" s="890" t="s">
        <v>208</v>
      </c>
      <c r="B67" s="59" t="s">
        <v>9</v>
      </c>
      <c r="C67" s="20"/>
      <c r="D67" s="20">
        <f>'01'!D67</f>
        <v>243.8</v>
      </c>
      <c r="E67" s="240"/>
      <c r="F67" s="73">
        <v>0</v>
      </c>
      <c r="G67" s="18"/>
      <c r="H67" s="18">
        <f>F67+'30'!H67</f>
        <v>0</v>
      </c>
      <c r="I67" s="957"/>
      <c r="J67" s="624"/>
      <c r="K67" s="67">
        <f>J67+'30'!K67</f>
        <v>0</v>
      </c>
      <c r="L67" s="60">
        <f t="shared" ref="L67:L73" si="5">D67+H67-K67</f>
        <v>243.8</v>
      </c>
      <c r="M67" s="579"/>
      <c r="N67" s="580"/>
      <c r="O67" s="1278"/>
      <c r="P67" s="1279"/>
      <c r="Q67" s="58"/>
      <c r="S67" s="63"/>
      <c r="T67" s="2"/>
    </row>
    <row r="68" spans="1:20" s="56" customFormat="1" hidden="1">
      <c r="A68" s="890" t="s">
        <v>220</v>
      </c>
      <c r="B68" s="59" t="s">
        <v>9</v>
      </c>
      <c r="C68" s="20"/>
      <c r="D68" s="20">
        <f>'01'!D68</f>
        <v>0</v>
      </c>
      <c r="E68" s="240"/>
      <c r="F68" s="73"/>
      <c r="G68" s="18"/>
      <c r="H68" s="18">
        <f>F68+'30'!H68</f>
        <v>0</v>
      </c>
      <c r="I68" s="957"/>
      <c r="J68" s="624"/>
      <c r="K68" s="67">
        <f>J68+'30'!K68</f>
        <v>0</v>
      </c>
      <c r="L68" s="60">
        <f t="shared" si="5"/>
        <v>0</v>
      </c>
      <c r="M68" s="579"/>
      <c r="N68" s="580"/>
      <c r="O68" s="1278"/>
      <c r="P68" s="1279"/>
      <c r="Q68" s="58"/>
      <c r="S68" s="63"/>
      <c r="T68" s="2"/>
    </row>
    <row r="69" spans="1:20" s="56" customFormat="1" ht="15.75" hidden="1" customHeight="1">
      <c r="A69" s="890" t="s">
        <v>242</v>
      </c>
      <c r="B69" s="59" t="s">
        <v>9</v>
      </c>
      <c r="C69" s="20"/>
      <c r="D69" s="20">
        <f>'01'!D69</f>
        <v>-14212.944176010715</v>
      </c>
      <c r="E69" s="240"/>
      <c r="F69" s="73"/>
      <c r="G69" s="18"/>
      <c r="H69" s="18">
        <f>F69+'30'!H69</f>
        <v>0</v>
      </c>
      <c r="I69" s="957"/>
      <c r="J69" s="755">
        <v>0</v>
      </c>
      <c r="K69" s="67">
        <f>J69+'30'!K69</f>
        <v>2011.9747735336571</v>
      </c>
      <c r="L69" s="60">
        <f t="shared" si="5"/>
        <v>-16224.918949544372</v>
      </c>
      <c r="M69" s="579"/>
      <c r="N69" s="580"/>
      <c r="O69" s="1290"/>
      <c r="P69" s="1279"/>
      <c r="Q69" s="58"/>
      <c r="S69" s="63"/>
      <c r="T69" s="2"/>
    </row>
    <row r="70" spans="1:20" s="56" customFormat="1" hidden="1">
      <c r="A70" s="890" t="s">
        <v>205</v>
      </c>
      <c r="B70" s="59" t="s">
        <v>9</v>
      </c>
      <c r="C70" s="20"/>
      <c r="D70" s="20">
        <f>'01'!D70</f>
        <v>17922.173606304772</v>
      </c>
      <c r="E70" s="240"/>
      <c r="F70" s="73"/>
      <c r="G70" s="18"/>
      <c r="H70" s="18">
        <f>F70+'30'!H70</f>
        <v>3329.1499999999996</v>
      </c>
      <c r="I70" s="957"/>
      <c r="J70" s="624">
        <v>0</v>
      </c>
      <c r="K70" s="67">
        <f>J70+'30'!K70</f>
        <v>0</v>
      </c>
      <c r="L70" s="60">
        <f t="shared" si="5"/>
        <v>21251.323606304773</v>
      </c>
      <c r="M70" s="579"/>
      <c r="N70" s="580"/>
      <c r="O70" s="1290"/>
      <c r="P70" s="1279"/>
      <c r="Q70" s="58"/>
      <c r="S70" s="63"/>
      <c r="T70" s="2"/>
    </row>
    <row r="71" spans="1:20" s="56" customFormat="1" hidden="1">
      <c r="A71" s="890" t="s">
        <v>228</v>
      </c>
      <c r="B71" s="59" t="s">
        <v>9</v>
      </c>
      <c r="C71" s="20"/>
      <c r="D71" s="20">
        <f>'01'!D71</f>
        <v>0</v>
      </c>
      <c r="E71" s="240"/>
      <c r="F71" s="73"/>
      <c r="G71" s="18"/>
      <c r="H71" s="18">
        <f>F71+'30'!H71</f>
        <v>0</v>
      </c>
      <c r="I71" s="957"/>
      <c r="J71" s="624"/>
      <c r="K71" s="67">
        <f>J71+'30'!K71</f>
        <v>0</v>
      </c>
      <c r="L71" s="60">
        <f t="shared" si="5"/>
        <v>0</v>
      </c>
      <c r="M71" s="579"/>
      <c r="N71" s="580"/>
      <c r="O71" s="1290"/>
      <c r="P71" s="1279"/>
      <c r="Q71" s="58"/>
      <c r="S71" s="63"/>
      <c r="T71" s="2"/>
    </row>
    <row r="72" spans="1:20" s="56" customFormat="1" ht="16.5" thickBot="1">
      <c r="A72" s="383" t="s">
        <v>170</v>
      </c>
      <c r="B72" s="572" t="s">
        <v>9</v>
      </c>
      <c r="C72" s="557"/>
      <c r="D72" s="557">
        <f>'01'!D72</f>
        <v>145.84215184813729</v>
      </c>
      <c r="E72" s="389"/>
      <c r="F72" s="390">
        <f>N82</f>
        <v>0</v>
      </c>
      <c r="G72" s="391"/>
      <c r="H72" s="391">
        <f>F72+'30'!H72</f>
        <v>1911.376034856974</v>
      </c>
      <c r="I72" s="392"/>
      <c r="J72" s="952">
        <f>K131</f>
        <v>0</v>
      </c>
      <c r="K72" s="396">
        <f>J72+'30'!K72</f>
        <v>1866.56160653087</v>
      </c>
      <c r="L72" s="558">
        <f t="shared" si="5"/>
        <v>190.6565801742413</v>
      </c>
      <c r="M72" s="412"/>
      <c r="N72" s="430"/>
      <c r="O72" s="1295"/>
      <c r="P72" s="1296"/>
      <c r="Q72" s="58"/>
      <c r="S72" s="63"/>
      <c r="T72" s="2"/>
    </row>
    <row r="73" spans="1:20" s="56" customFormat="1" ht="16.5" hidden="1" thickBot="1">
      <c r="A73" s="811" t="s">
        <v>171</v>
      </c>
      <c r="B73" s="812"/>
      <c r="C73" s="813"/>
      <c r="D73" s="813"/>
      <c r="E73" s="814"/>
      <c r="F73" s="815"/>
      <c r="G73" s="816"/>
      <c r="H73" s="816">
        <f>F73+'30'!H73</f>
        <v>0</v>
      </c>
      <c r="I73" s="817"/>
      <c r="J73" s="814"/>
      <c r="K73" s="818">
        <f>J73+'30'!K73</f>
        <v>0</v>
      </c>
      <c r="L73" s="819">
        <f t="shared" si="5"/>
        <v>0</v>
      </c>
      <c r="M73" s="820"/>
      <c r="N73" s="821"/>
      <c r="O73" s="1297"/>
      <c r="P73" s="1298"/>
      <c r="Q73" s="58"/>
      <c r="S73" s="63"/>
      <c r="T73" s="2"/>
    </row>
    <row r="74" spans="1:20" s="56" customFormat="1" hidden="1">
      <c r="A74" s="638"/>
      <c r="B74" s="650"/>
      <c r="C74" s="651"/>
      <c r="D74" s="651"/>
      <c r="E74" s="652"/>
      <c r="F74" s="653"/>
      <c r="G74" s="654"/>
      <c r="H74" s="654"/>
      <c r="I74" s="655"/>
      <c r="J74" s="652"/>
      <c r="K74" s="656"/>
      <c r="L74" s="657"/>
      <c r="M74" s="658"/>
      <c r="N74" s="659"/>
      <c r="O74" s="660"/>
      <c r="P74" s="661"/>
      <c r="Q74" s="58"/>
      <c r="S74" s="63"/>
      <c r="T74" s="2"/>
    </row>
    <row r="75" spans="1:20" s="56" customFormat="1" hidden="1">
      <c r="A75" s="518"/>
      <c r="B75" s="636"/>
      <c r="C75" s="574"/>
      <c r="D75" s="574"/>
      <c r="E75" s="529"/>
      <c r="F75" s="530"/>
      <c r="G75" s="531"/>
      <c r="H75" s="531"/>
      <c r="I75" s="532"/>
      <c r="J75" s="529"/>
      <c r="K75" s="528"/>
      <c r="L75" s="637"/>
      <c r="M75" s="533"/>
      <c r="N75" s="534"/>
      <c r="O75" s="535"/>
      <c r="P75" s="536"/>
      <c r="Q75" s="58"/>
      <c r="S75" s="63"/>
      <c r="T75" s="2"/>
    </row>
    <row r="76" spans="1:20" s="56" customFormat="1" ht="16.5" hidden="1" thickBot="1">
      <c r="A76" s="383"/>
      <c r="B76" s="572"/>
      <c r="C76" s="557"/>
      <c r="D76" s="557"/>
      <c r="E76" s="389"/>
      <c r="F76" s="390"/>
      <c r="G76" s="391"/>
      <c r="H76" s="391"/>
      <c r="I76" s="392"/>
      <c r="J76" s="389"/>
      <c r="K76" s="396"/>
      <c r="L76" s="558"/>
      <c r="M76" s="412"/>
      <c r="N76" s="430"/>
      <c r="O76" s="514"/>
      <c r="P76" s="515"/>
      <c r="Q76" s="58"/>
      <c r="S76" s="63"/>
      <c r="T76" s="2"/>
    </row>
    <row r="77" spans="1:20" ht="16.5" thickBot="1">
      <c r="A77" s="1382" t="s">
        <v>30</v>
      </c>
      <c r="B77" s="1383"/>
      <c r="C77" s="1383"/>
      <c r="D77" s="1383"/>
      <c r="E77" s="1383"/>
      <c r="F77" s="1383"/>
      <c r="G77" s="1383"/>
      <c r="H77" s="1383"/>
      <c r="I77" s="1383"/>
      <c r="J77" s="1383"/>
      <c r="K77" s="1383"/>
      <c r="L77" s="1383"/>
      <c r="M77" s="1383"/>
      <c r="N77" s="1383"/>
      <c r="O77" s="1383"/>
      <c r="P77" s="1384"/>
      <c r="Q77" s="40"/>
      <c r="T77" s="2"/>
    </row>
    <row r="78" spans="1:20" ht="15.75" customHeight="1" thickBot="1">
      <c r="A78" s="1291" t="s">
        <v>15</v>
      </c>
      <c r="B78" s="1293" t="s">
        <v>6</v>
      </c>
      <c r="C78" s="1330" t="s">
        <v>29</v>
      </c>
      <c r="D78" s="1282" t="s">
        <v>28</v>
      </c>
      <c r="E78" s="1283"/>
      <c r="F78" s="1283"/>
      <c r="G78" s="1283"/>
      <c r="H78" s="1299"/>
      <c r="I78" s="1282" t="s">
        <v>27</v>
      </c>
      <c r="J78" s="1283"/>
      <c r="K78" s="1283"/>
      <c r="L78" s="1283"/>
      <c r="M78" s="1284"/>
      <c r="N78" s="1280" t="s">
        <v>88</v>
      </c>
      <c r="O78" s="1281"/>
      <c r="P78" s="1285" t="s">
        <v>26</v>
      </c>
      <c r="Q78" s="40"/>
      <c r="T78" s="2"/>
    </row>
    <row r="79" spans="1:20" ht="65.25" customHeight="1">
      <c r="A79" s="1292"/>
      <c r="B79" s="1294"/>
      <c r="C79" s="1331"/>
      <c r="D79" s="917" t="s">
        <v>25</v>
      </c>
      <c r="E79" s="919" t="s">
        <v>23</v>
      </c>
      <c r="F79" s="917" t="s">
        <v>22</v>
      </c>
      <c r="G79" s="961" t="s">
        <v>21</v>
      </c>
      <c r="H79" s="919" t="s">
        <v>20</v>
      </c>
      <c r="I79" s="917" t="s">
        <v>24</v>
      </c>
      <c r="J79" s="919" t="s">
        <v>23</v>
      </c>
      <c r="K79" s="917" t="s">
        <v>22</v>
      </c>
      <c r="L79" s="961" t="s">
        <v>21</v>
      </c>
      <c r="M79" s="923" t="s">
        <v>20</v>
      </c>
      <c r="N79" s="918" t="s">
        <v>28</v>
      </c>
      <c r="O79" s="12" t="s">
        <v>27</v>
      </c>
      <c r="P79" s="1286"/>
      <c r="Q79" s="39" t="s">
        <v>19</v>
      </c>
      <c r="R79" s="39" t="s">
        <v>18</v>
      </c>
      <c r="T79" s="2"/>
    </row>
    <row r="80" spans="1:20" hidden="1" outlineLevel="1">
      <c r="A80" s="38" t="s">
        <v>45</v>
      </c>
      <c r="B80" s="21" t="s">
        <v>17</v>
      </c>
      <c r="C80" s="37">
        <f>'01'!C80</f>
        <v>0</v>
      </c>
      <c r="D80" s="19" t="e">
        <v>#DIV/0!</v>
      </c>
      <c r="E80" s="17">
        <f t="shared" ref="E80:E94" si="6">IFERROR(D80/C80,0)</f>
        <v>0</v>
      </c>
      <c r="F80" s="66">
        <v>0</v>
      </c>
      <c r="G80" s="8">
        <f t="shared" ref="G80:G94" si="7">24-F80</f>
        <v>24</v>
      </c>
      <c r="H80" s="17">
        <f t="shared" ref="H80:H94" si="8">F80/24</f>
        <v>0</v>
      </c>
      <c r="I80" s="19" t="e">
        <v>#DIV/0!</v>
      </c>
      <c r="J80" s="17">
        <f t="shared" ref="J80:J94" si="9">IFERROR(I80/C80,0)</f>
        <v>0</v>
      </c>
      <c r="K80" s="66">
        <v>0</v>
      </c>
      <c r="L80" s="8">
        <f>24*30-K80</f>
        <v>720</v>
      </c>
      <c r="M80" s="36">
        <f>K80/(24*30)</f>
        <v>0</v>
      </c>
      <c r="N80" s="965"/>
      <c r="O80" s="302">
        <f>N80+'30'!O80</f>
        <v>0</v>
      </c>
      <c r="P80" s="711"/>
      <c r="Q80" s="34">
        <v>125</v>
      </c>
      <c r="R80" s="34">
        <v>125</v>
      </c>
      <c r="T80" s="2"/>
    </row>
    <row r="81" spans="1:20" hidden="1" outlineLevel="1">
      <c r="A81" s="38" t="s">
        <v>46</v>
      </c>
      <c r="B81" s="21" t="s">
        <v>17</v>
      </c>
      <c r="C81" s="37">
        <f>'01'!C81</f>
        <v>0</v>
      </c>
      <c r="D81" s="19" t="e">
        <v>#DIV/0!</v>
      </c>
      <c r="E81" s="17">
        <f t="shared" si="6"/>
        <v>0</v>
      </c>
      <c r="F81" s="66">
        <v>0</v>
      </c>
      <c r="G81" s="8">
        <f t="shared" si="7"/>
        <v>24</v>
      </c>
      <c r="H81" s="17">
        <f t="shared" si="8"/>
        <v>0</v>
      </c>
      <c r="I81" s="19" t="e">
        <v>#DIV/0!</v>
      </c>
      <c r="J81" s="17">
        <f t="shared" si="9"/>
        <v>0</v>
      </c>
      <c r="K81" s="66">
        <v>0</v>
      </c>
      <c r="L81" s="8">
        <f>24*30-K81</f>
        <v>720</v>
      </c>
      <c r="M81" s="36">
        <f t="shared" ref="M81:M94" si="10">K81/(24*30)</f>
        <v>0</v>
      </c>
      <c r="N81" s="965"/>
      <c r="O81" s="302">
        <f>N81+'30'!O81</f>
        <v>0</v>
      </c>
      <c r="P81" s="711"/>
      <c r="Q81" s="34">
        <v>127.08333333333333</v>
      </c>
      <c r="R81" s="34">
        <v>127.08333333333333</v>
      </c>
      <c r="T81" s="2"/>
    </row>
    <row r="82" spans="1:20" outlineLevel="1">
      <c r="A82" s="132" t="s">
        <v>169</v>
      </c>
      <c r="B82" s="21" t="s">
        <v>17</v>
      </c>
      <c r="C82" s="37">
        <f>'01'!C82</f>
        <v>45</v>
      </c>
      <c r="D82" s="134">
        <f t="shared" ref="D82:D95" si="11">IFERROR(N82/F82,0)</f>
        <v>0</v>
      </c>
      <c r="E82" s="17">
        <f t="shared" si="6"/>
        <v>0</v>
      </c>
      <c r="F82" s="134">
        <v>0</v>
      </c>
      <c r="G82" s="18">
        <f t="shared" si="7"/>
        <v>24</v>
      </c>
      <c r="H82" s="17">
        <f t="shared" si="8"/>
        <v>0</v>
      </c>
      <c r="I82" s="134">
        <f t="shared" ref="I82:I90" si="12">IFERROR(O82/K82,0)</f>
        <v>43.535460826585258</v>
      </c>
      <c r="J82" s="17">
        <f t="shared" si="9"/>
        <v>0.96745468503522791</v>
      </c>
      <c r="K82" s="66">
        <f>F82+'30'!K82</f>
        <v>43.903888888888886</v>
      </c>
      <c r="L82" s="315">
        <f>24*31-K82</f>
        <v>700.0961111111111</v>
      </c>
      <c r="M82" s="36">
        <f t="shared" si="10"/>
        <v>6.0977623456790121E-2</v>
      </c>
      <c r="N82" s="716">
        <v>0</v>
      </c>
      <c r="O82" s="303">
        <f>N82+'30'!O82</f>
        <v>1911.376034856974</v>
      </c>
      <c r="P82" s="711"/>
      <c r="Q82" s="34">
        <v>127.08333333333333</v>
      </c>
      <c r="R82" s="34">
        <v>127.08333333333333</v>
      </c>
      <c r="S82" s="1032">
        <f>L82-P82</f>
        <v>700.0961111111111</v>
      </c>
      <c r="T82" s="2"/>
    </row>
    <row r="83" spans="1:20">
      <c r="A83" s="132" t="s">
        <v>173</v>
      </c>
      <c r="B83" s="21" t="s">
        <v>17</v>
      </c>
      <c r="C83" s="60">
        <f>'01'!C83</f>
        <v>500</v>
      </c>
      <c r="D83" s="134">
        <f t="shared" si="11"/>
        <v>0</v>
      </c>
      <c r="E83" s="17">
        <f t="shared" si="6"/>
        <v>0</v>
      </c>
      <c r="F83" s="134">
        <v>0</v>
      </c>
      <c r="G83" s="18">
        <f t="shared" si="7"/>
        <v>24</v>
      </c>
      <c r="H83" s="17">
        <f t="shared" si="8"/>
        <v>0</v>
      </c>
      <c r="I83" s="134">
        <f t="shared" si="12"/>
        <v>498.27193460328596</v>
      </c>
      <c r="J83" s="17">
        <f t="shared" si="9"/>
        <v>0.9965438692065719</v>
      </c>
      <c r="K83" s="66">
        <f>F83+'30'!K83</f>
        <v>64.575555555555553</v>
      </c>
      <c r="L83" s="66">
        <f>G83+'30'!L83</f>
        <v>679.42444444444448</v>
      </c>
      <c r="M83" s="36">
        <f t="shared" si="10"/>
        <v>8.9688271604938266E-2</v>
      </c>
      <c r="N83" s="716">
        <v>0</v>
      </c>
      <c r="O83" s="303">
        <f>N83+'30'!O83</f>
        <v>32176.186994748638</v>
      </c>
      <c r="P83" s="711"/>
      <c r="Q83" s="34">
        <v>127.08333333333333</v>
      </c>
      <c r="R83" s="34">
        <v>127.08333333333333</v>
      </c>
      <c r="S83" s="1032">
        <f t="shared" ref="S83:S93" si="13">L83-P83</f>
        <v>679.42444444444448</v>
      </c>
      <c r="T83" s="2"/>
    </row>
    <row r="84" spans="1:20">
      <c r="A84" s="38" t="s">
        <v>174</v>
      </c>
      <c r="B84" s="21" t="s">
        <v>17</v>
      </c>
      <c r="C84" s="60">
        <f>'01'!C84</f>
        <v>0</v>
      </c>
      <c r="D84" s="134">
        <f t="shared" si="11"/>
        <v>0</v>
      </c>
      <c r="E84" s="17">
        <f t="shared" si="6"/>
        <v>0</v>
      </c>
      <c r="F84" s="134">
        <v>0</v>
      </c>
      <c r="G84" s="18">
        <f t="shared" si="7"/>
        <v>24</v>
      </c>
      <c r="H84" s="17">
        <f t="shared" si="8"/>
        <v>0</v>
      </c>
      <c r="I84" s="134">
        <f t="shared" si="12"/>
        <v>259.69099144791005</v>
      </c>
      <c r="J84" s="17">
        <f t="shared" si="9"/>
        <v>0</v>
      </c>
      <c r="K84" s="1030">
        <f>F84+'30'!K84</f>
        <v>64.977499999999992</v>
      </c>
      <c r="L84" s="1030">
        <f>G84+'30'!L84</f>
        <v>679.02250000000004</v>
      </c>
      <c r="M84" s="36">
        <f t="shared" si="10"/>
        <v>9.0246527777777766E-2</v>
      </c>
      <c r="N84" s="716">
        <v>0</v>
      </c>
      <c r="O84" s="303">
        <f>N84+'30'!O84</f>
        <v>16874.071396806572</v>
      </c>
      <c r="P84" s="711"/>
      <c r="Q84" s="34">
        <v>127.08333333333333</v>
      </c>
      <c r="R84" s="34">
        <v>127.08333333333333</v>
      </c>
      <c r="S84" s="1032">
        <f t="shared" si="13"/>
        <v>679.02250000000004</v>
      </c>
      <c r="T84" s="2"/>
    </row>
    <row r="85" spans="1:20" hidden="1" outlineLevel="1">
      <c r="A85" s="38" t="s">
        <v>55</v>
      </c>
      <c r="B85" s="21" t="s">
        <v>17</v>
      </c>
      <c r="C85" s="60">
        <f>'01'!C85</f>
        <v>0</v>
      </c>
      <c r="D85" s="134">
        <f t="shared" si="11"/>
        <v>0</v>
      </c>
      <c r="E85" s="17">
        <f t="shared" si="6"/>
        <v>0</v>
      </c>
      <c r="F85" s="134">
        <v>0</v>
      </c>
      <c r="G85" s="18">
        <f t="shared" si="7"/>
        <v>24</v>
      </c>
      <c r="H85" s="17">
        <f t="shared" si="8"/>
        <v>0</v>
      </c>
      <c r="I85" s="134">
        <f t="shared" si="12"/>
        <v>0</v>
      </c>
      <c r="J85" s="17">
        <f t="shared" si="9"/>
        <v>0</v>
      </c>
      <c r="K85" s="19" t="e">
        <f>F85+'30'!K85</f>
        <v>#REF!</v>
      </c>
      <c r="L85" s="19" t="e">
        <f>G85+'30'!L85</f>
        <v>#REF!</v>
      </c>
      <c r="M85" s="36" t="e">
        <f>K85/(24*12)</f>
        <v>#REF!</v>
      </c>
      <c r="N85" s="965">
        <v>0</v>
      </c>
      <c r="O85" s="302" t="e">
        <f>N85+'30'!O85</f>
        <v>#REF!</v>
      </c>
      <c r="P85" s="711"/>
      <c r="Q85" s="34"/>
      <c r="R85" s="34"/>
      <c r="S85" s="6" t="e">
        <f t="shared" si="13"/>
        <v>#REF!</v>
      </c>
      <c r="T85" s="2"/>
    </row>
    <row r="86" spans="1:20" hidden="1" outlineLevel="1">
      <c r="A86" s="38" t="s">
        <v>57</v>
      </c>
      <c r="B86" s="21" t="s">
        <v>17</v>
      </c>
      <c r="C86" s="60">
        <f>'01'!C86</f>
        <v>0</v>
      </c>
      <c r="D86" s="134">
        <f t="shared" si="11"/>
        <v>0</v>
      </c>
      <c r="E86" s="17">
        <f t="shared" si="6"/>
        <v>0</v>
      </c>
      <c r="F86" s="134">
        <v>0</v>
      </c>
      <c r="G86" s="18">
        <f t="shared" si="7"/>
        <v>24</v>
      </c>
      <c r="H86" s="17">
        <f t="shared" si="8"/>
        <v>0</v>
      </c>
      <c r="I86" s="134">
        <f t="shared" si="12"/>
        <v>0</v>
      </c>
      <c r="J86" s="17">
        <f t="shared" si="9"/>
        <v>0</v>
      </c>
      <c r="K86" s="19">
        <f>F86+'30'!K86</f>
        <v>0</v>
      </c>
      <c r="L86" s="19">
        <f>G86+'30'!L86</f>
        <v>720</v>
      </c>
      <c r="M86" s="36">
        <f>K86/(24*12)</f>
        <v>0</v>
      </c>
      <c r="N86" s="965">
        <v>0</v>
      </c>
      <c r="O86" s="303">
        <f>N86+'30'!O86</f>
        <v>0</v>
      </c>
      <c r="P86" s="711"/>
      <c r="Q86" s="34"/>
      <c r="R86" s="34"/>
      <c r="S86" s="6">
        <f t="shared" si="13"/>
        <v>720</v>
      </c>
      <c r="T86" s="2"/>
    </row>
    <row r="87" spans="1:20" hidden="1" outlineLevel="1">
      <c r="A87" s="38" t="s">
        <v>53</v>
      </c>
      <c r="B87" s="21" t="s">
        <v>17</v>
      </c>
      <c r="C87" s="65">
        <v>35</v>
      </c>
      <c r="D87" s="134">
        <f t="shared" si="11"/>
        <v>0</v>
      </c>
      <c r="E87" s="17">
        <f t="shared" si="6"/>
        <v>0</v>
      </c>
      <c r="F87" s="134">
        <v>0</v>
      </c>
      <c r="G87" s="18">
        <f t="shared" si="7"/>
        <v>24</v>
      </c>
      <c r="H87" s="17">
        <f t="shared" si="8"/>
        <v>0</v>
      </c>
      <c r="I87" s="134">
        <f t="shared" si="12"/>
        <v>0</v>
      </c>
      <c r="J87" s="17">
        <f t="shared" si="9"/>
        <v>0</v>
      </c>
      <c r="K87" s="19">
        <f>F87+'30'!K87</f>
        <v>0</v>
      </c>
      <c r="L87" s="19">
        <f>G87+'30'!L87</f>
        <v>720</v>
      </c>
      <c r="M87" s="36">
        <f t="shared" si="10"/>
        <v>0</v>
      </c>
      <c r="N87" s="965">
        <v>0</v>
      </c>
      <c r="O87" s="303">
        <f>N87+'30'!O87</f>
        <v>0</v>
      </c>
      <c r="P87" s="711"/>
      <c r="Q87" s="34"/>
      <c r="R87" s="34"/>
      <c r="S87" s="6">
        <f t="shared" si="13"/>
        <v>720</v>
      </c>
      <c r="T87" s="2"/>
    </row>
    <row r="88" spans="1:20" hidden="1" collapsed="1">
      <c r="A88" s="38" t="s">
        <v>54</v>
      </c>
      <c r="B88" s="21" t="s">
        <v>17</v>
      </c>
      <c r="C88" s="65">
        <v>35</v>
      </c>
      <c r="D88" s="134">
        <f t="shared" si="11"/>
        <v>0</v>
      </c>
      <c r="E88" s="17">
        <f t="shared" si="6"/>
        <v>0</v>
      </c>
      <c r="F88" s="134">
        <v>0</v>
      </c>
      <c r="G88" s="18">
        <f t="shared" si="7"/>
        <v>24</v>
      </c>
      <c r="H88" s="17">
        <f t="shared" si="8"/>
        <v>0</v>
      </c>
      <c r="I88" s="134">
        <f t="shared" si="12"/>
        <v>0</v>
      </c>
      <c r="J88" s="17">
        <f t="shared" si="9"/>
        <v>0</v>
      </c>
      <c r="K88" s="19">
        <f>F88+'30'!K88</f>
        <v>0</v>
      </c>
      <c r="L88" s="19">
        <f>G88+'30'!L88</f>
        <v>720</v>
      </c>
      <c r="M88" s="36">
        <f t="shared" si="10"/>
        <v>0</v>
      </c>
      <c r="N88" s="716">
        <v>0</v>
      </c>
      <c r="O88" s="303">
        <f>N88+'30'!O88</f>
        <v>0</v>
      </c>
      <c r="P88" s="711"/>
      <c r="Q88" s="34"/>
      <c r="R88" s="34"/>
      <c r="S88" s="6">
        <f t="shared" si="13"/>
        <v>720</v>
      </c>
      <c r="T88" s="2"/>
    </row>
    <row r="89" spans="1:20" outlineLevel="1">
      <c r="A89" s="38" t="s">
        <v>229</v>
      </c>
      <c r="B89" s="21" t="s">
        <v>17</v>
      </c>
      <c r="C89" s="60">
        <f>'01'!C89</f>
        <v>47</v>
      </c>
      <c r="D89" s="134">
        <f t="shared" si="11"/>
        <v>0</v>
      </c>
      <c r="E89" s="17">
        <f t="shared" si="6"/>
        <v>0</v>
      </c>
      <c r="F89" s="134">
        <v>0</v>
      </c>
      <c r="G89" s="18">
        <f t="shared" si="7"/>
        <v>24</v>
      </c>
      <c r="H89" s="17">
        <f t="shared" si="8"/>
        <v>0</v>
      </c>
      <c r="I89" s="134">
        <f t="shared" si="12"/>
        <v>41.420860547642825</v>
      </c>
      <c r="J89" s="17">
        <f t="shared" si="9"/>
        <v>0.88129490526899623</v>
      </c>
      <c r="K89" s="19">
        <f>F89+'30'!K89</f>
        <v>1.6950000000000001</v>
      </c>
      <c r="L89" s="19">
        <f>G89+'30'!L89</f>
        <v>742.30500000000006</v>
      </c>
      <c r="M89" s="36">
        <f t="shared" si="10"/>
        <v>2.3541666666666667E-3</v>
      </c>
      <c r="N89" s="1001">
        <v>0</v>
      </c>
      <c r="O89" s="303">
        <f>N89+'30'!O89</f>
        <v>70.208358628254587</v>
      </c>
      <c r="P89" s="768"/>
      <c r="Q89" s="34">
        <v>0</v>
      </c>
      <c r="R89" s="34">
        <v>0</v>
      </c>
      <c r="S89" s="6"/>
      <c r="T89" s="2"/>
    </row>
    <row r="90" spans="1:20" outlineLevel="1">
      <c r="A90" s="38" t="s">
        <v>195</v>
      </c>
      <c r="B90" s="21" t="s">
        <v>17</v>
      </c>
      <c r="C90" s="60">
        <f>'01'!C90</f>
        <v>47</v>
      </c>
      <c r="D90" s="134">
        <f t="shared" si="11"/>
        <v>0</v>
      </c>
      <c r="E90" s="17">
        <f t="shared" si="6"/>
        <v>0</v>
      </c>
      <c r="F90" s="134">
        <v>0</v>
      </c>
      <c r="G90" s="18">
        <f t="shared" si="7"/>
        <v>24</v>
      </c>
      <c r="H90" s="17">
        <f t="shared" si="8"/>
        <v>0</v>
      </c>
      <c r="I90" s="134">
        <f t="shared" si="12"/>
        <v>48.591763261195744</v>
      </c>
      <c r="J90" s="17">
        <f t="shared" si="9"/>
        <v>1.0338673034296968</v>
      </c>
      <c r="K90" s="19">
        <f>F90+'30'!K90</f>
        <v>32.664166666666674</v>
      </c>
      <c r="L90" s="19">
        <f>G90+'30'!L90</f>
        <v>711.33583333333331</v>
      </c>
      <c r="M90" s="36">
        <f t="shared" si="10"/>
        <v>4.5366898148148156E-2</v>
      </c>
      <c r="N90" s="1001">
        <v>0</v>
      </c>
      <c r="O90" s="303">
        <f>N90+'30'!O90</f>
        <v>1587.2094537909084</v>
      </c>
      <c r="P90" s="768"/>
      <c r="Q90" s="34">
        <v>0</v>
      </c>
      <c r="R90" s="34">
        <v>0</v>
      </c>
      <c r="S90" s="6"/>
      <c r="T90" s="2"/>
    </row>
    <row r="91" spans="1:20" hidden="1">
      <c r="A91" s="38" t="s">
        <v>47</v>
      </c>
      <c r="B91" s="21" t="s">
        <v>17</v>
      </c>
      <c r="C91" s="65">
        <f>'01'!C91</f>
        <v>0</v>
      </c>
      <c r="D91" s="134">
        <f t="shared" si="11"/>
        <v>0</v>
      </c>
      <c r="E91" s="17">
        <f t="shared" si="6"/>
        <v>0</v>
      </c>
      <c r="F91" s="134">
        <v>0</v>
      </c>
      <c r="G91" s="18">
        <f t="shared" si="7"/>
        <v>24</v>
      </c>
      <c r="H91" s="17">
        <f t="shared" si="8"/>
        <v>0</v>
      </c>
      <c r="I91" s="134">
        <f>IFERROR(O91/K91,0)</f>
        <v>0</v>
      </c>
      <c r="J91" s="17">
        <f t="shared" si="9"/>
        <v>0</v>
      </c>
      <c r="K91" s="19">
        <f>F91+'30'!K91</f>
        <v>0</v>
      </c>
      <c r="L91" s="19">
        <f>G91+'30'!L91</f>
        <v>744</v>
      </c>
      <c r="M91" s="36">
        <f t="shared" si="10"/>
        <v>0</v>
      </c>
      <c r="N91" s="716">
        <v>0</v>
      </c>
      <c r="O91" s="303">
        <f>N91+'30'!O91</f>
        <v>0</v>
      </c>
      <c r="P91" s="711"/>
      <c r="Q91" s="34">
        <v>0</v>
      </c>
      <c r="R91" s="34">
        <v>0</v>
      </c>
      <c r="S91" s="6">
        <f t="shared" si="13"/>
        <v>744</v>
      </c>
      <c r="T91" s="2"/>
    </row>
    <row r="92" spans="1:20">
      <c r="A92" s="38" t="s">
        <v>175</v>
      </c>
      <c r="B92" s="21" t="s">
        <v>17</v>
      </c>
      <c r="C92" s="60">
        <f>'01'!C92</f>
        <v>156.40496545876454</v>
      </c>
      <c r="D92" s="134">
        <f t="shared" si="11"/>
        <v>0</v>
      </c>
      <c r="E92" s="17">
        <f t="shared" si="6"/>
        <v>0</v>
      </c>
      <c r="F92" s="134">
        <v>0</v>
      </c>
      <c r="G92" s="18">
        <f t="shared" si="7"/>
        <v>24</v>
      </c>
      <c r="H92" s="17">
        <f t="shared" si="8"/>
        <v>0</v>
      </c>
      <c r="I92" s="134">
        <f>IFERROR(O92/K92,0)</f>
        <v>140.11316982515353</v>
      </c>
      <c r="J92" s="17">
        <f t="shared" si="9"/>
        <v>0.89583581578868565</v>
      </c>
      <c r="K92" s="19">
        <f>F92+'30'!K92</f>
        <v>71.521666666666675</v>
      </c>
      <c r="L92" s="66">
        <f>G92+'30'!L92</f>
        <v>672.47833333333335</v>
      </c>
      <c r="M92" s="36">
        <f t="shared" si="10"/>
        <v>9.9335648148148159E-2</v>
      </c>
      <c r="N92" s="716">
        <v>0</v>
      </c>
      <c r="O92" s="303">
        <f>N92+'30'!O92</f>
        <v>10021.127427844691</v>
      </c>
      <c r="P92" s="711"/>
      <c r="Q92" s="34">
        <v>0</v>
      </c>
      <c r="R92" s="34">
        <v>0</v>
      </c>
      <c r="S92" s="6">
        <f t="shared" si="13"/>
        <v>672.47833333333335</v>
      </c>
      <c r="T92" s="2"/>
    </row>
    <row r="93" spans="1:20">
      <c r="A93" s="38" t="s">
        <v>176</v>
      </c>
      <c r="B93" s="21" t="s">
        <v>17</v>
      </c>
      <c r="C93" s="60">
        <f>'01'!C93</f>
        <v>153.20426211760955</v>
      </c>
      <c r="D93" s="134">
        <f t="shared" si="11"/>
        <v>0</v>
      </c>
      <c r="E93" s="17">
        <f t="shared" si="6"/>
        <v>0</v>
      </c>
      <c r="F93" s="134">
        <v>0</v>
      </c>
      <c r="G93" s="18">
        <f t="shared" si="7"/>
        <v>24</v>
      </c>
      <c r="H93" s="17">
        <f t="shared" si="8"/>
        <v>0</v>
      </c>
      <c r="I93" s="134">
        <f>IFERROR(O93/K93,0)</f>
        <v>144.80399190974401</v>
      </c>
      <c r="J93" s="17">
        <f t="shared" si="9"/>
        <v>0.94516947445354405</v>
      </c>
      <c r="K93" s="19">
        <f>F93+'30'!K93</f>
        <v>64.288611111111109</v>
      </c>
      <c r="L93" s="66">
        <f>G93+'30'!L93</f>
        <v>679.71138888888891</v>
      </c>
      <c r="M93" s="36">
        <f t="shared" si="10"/>
        <v>8.928973765432098E-2</v>
      </c>
      <c r="N93" s="716">
        <v>0</v>
      </c>
      <c r="O93" s="303">
        <f>N93+'30'!O93</f>
        <v>9309.2475232220113</v>
      </c>
      <c r="P93" s="711"/>
      <c r="Q93" s="34">
        <v>0</v>
      </c>
      <c r="R93" s="34">
        <v>0</v>
      </c>
      <c r="S93" s="1032">
        <f t="shared" si="13"/>
        <v>679.71138888888891</v>
      </c>
      <c r="T93" s="2"/>
    </row>
    <row r="94" spans="1:20">
      <c r="A94" s="867" t="s">
        <v>203</v>
      </c>
      <c r="B94" s="868" t="s">
        <v>17</v>
      </c>
      <c r="C94" s="637">
        <f>'01'!C94</f>
        <v>60</v>
      </c>
      <c r="D94" s="765">
        <f t="shared" si="11"/>
        <v>0</v>
      </c>
      <c r="E94" s="870">
        <f t="shared" si="6"/>
        <v>0</v>
      </c>
      <c r="F94" s="878"/>
      <c r="G94" s="531">
        <f t="shared" si="7"/>
        <v>24</v>
      </c>
      <c r="H94" s="870">
        <f t="shared" si="8"/>
        <v>0</v>
      </c>
      <c r="I94" s="765">
        <f>IFERROR(O94/K94,0)</f>
        <v>89.046875</v>
      </c>
      <c r="J94" s="870">
        <f t="shared" si="9"/>
        <v>1.4841145833333333</v>
      </c>
      <c r="K94" s="878">
        <f>F94+'30'!K94</f>
        <v>32</v>
      </c>
      <c r="L94" s="878">
        <f>G94+'30'!L94</f>
        <v>712</v>
      </c>
      <c r="M94" s="873">
        <f t="shared" si="10"/>
        <v>4.4444444444444446E-2</v>
      </c>
      <c r="N94" s="966">
        <f>E111+E120+E121+E122</f>
        <v>0</v>
      </c>
      <c r="O94" s="871">
        <f>N94+'30'!O94</f>
        <v>2849.5</v>
      </c>
      <c r="P94" s="872"/>
      <c r="Q94" s="34">
        <v>56</v>
      </c>
      <c r="R94" s="34">
        <v>56</v>
      </c>
      <c r="T94" s="2"/>
    </row>
    <row r="95" spans="1:20" ht="16.5" thickBot="1">
      <c r="A95" s="715" t="s">
        <v>204</v>
      </c>
      <c r="B95" s="886" t="s">
        <v>17</v>
      </c>
      <c r="C95" s="390"/>
      <c r="D95" s="443">
        <f t="shared" si="11"/>
        <v>0</v>
      </c>
      <c r="E95" s="708">
        <f>IFERROR(D95/C95,0)</f>
        <v>0</v>
      </c>
      <c r="F95" s="866"/>
      <c r="G95" s="391">
        <f>24-F95</f>
        <v>24</v>
      </c>
      <c r="H95" s="708">
        <f>F95/24</f>
        <v>0</v>
      </c>
      <c r="I95" s="443">
        <f>IFERROR(O95/K95,0)</f>
        <v>142.05714285714285</v>
      </c>
      <c r="J95" s="708">
        <f>IFERROR(I95/C95,0)</f>
        <v>0</v>
      </c>
      <c r="K95" s="866">
        <f>F95+'30'!K95</f>
        <v>7</v>
      </c>
      <c r="L95" s="866">
        <f>G95+'30'!L95</f>
        <v>737</v>
      </c>
      <c r="M95" s="712">
        <f>K95/(24*30)</f>
        <v>9.7222222222222224E-3</v>
      </c>
      <c r="N95" s="967">
        <f>E112+E114+E115+E118+E119</f>
        <v>0</v>
      </c>
      <c r="O95" s="713">
        <f>N95+'30'!O95</f>
        <v>994.39999999999986</v>
      </c>
      <c r="P95" s="714"/>
      <c r="Q95" s="34"/>
      <c r="R95" s="34"/>
      <c r="T95" s="2"/>
    </row>
    <row r="96" spans="1:20" ht="16.5" thickBot="1">
      <c r="A96" s="1326" t="s">
        <v>16</v>
      </c>
      <c r="B96" s="1327"/>
      <c r="C96" s="1327"/>
      <c r="D96" s="1327"/>
      <c r="E96" s="1327"/>
      <c r="F96" s="1327"/>
      <c r="G96" s="1327"/>
      <c r="H96" s="1327"/>
      <c r="I96" s="1327"/>
      <c r="J96" s="1288"/>
      <c r="K96" s="1288"/>
      <c r="L96" s="35"/>
      <c r="M96" s="35"/>
      <c r="N96" s="35"/>
      <c r="O96" s="35"/>
      <c r="P96" s="35"/>
      <c r="Q96" s="34"/>
      <c r="R96" s="34"/>
      <c r="T96" s="2"/>
    </row>
    <row r="97" spans="1:20" ht="15.75" customHeight="1">
      <c r="A97" s="1291" t="s">
        <v>15</v>
      </c>
      <c r="B97" s="1309" t="s">
        <v>6</v>
      </c>
      <c r="C97" s="1311" t="s">
        <v>14</v>
      </c>
      <c r="D97" s="1335" t="s">
        <v>5</v>
      </c>
      <c r="E97" s="1339"/>
      <c r="F97" s="1336"/>
      <c r="G97" s="1335" t="s">
        <v>4</v>
      </c>
      <c r="H97" s="1339"/>
      <c r="I97" s="1336"/>
      <c r="J97" s="1335"/>
      <c r="K97" s="1336"/>
      <c r="M97" s="205"/>
      <c r="N97" s="241"/>
      <c r="O97" s="241"/>
      <c r="P97" s="241"/>
      <c r="Q97" s="33"/>
      <c r="R97" s="33"/>
      <c r="T97" s="2"/>
    </row>
    <row r="98" spans="1:20">
      <c r="A98" s="1292"/>
      <c r="B98" s="1310"/>
      <c r="C98" s="1312"/>
      <c r="D98" s="1337"/>
      <c r="E98" s="1340"/>
      <c r="F98" s="1338"/>
      <c r="G98" s="1337"/>
      <c r="H98" s="1340"/>
      <c r="I98" s="1338"/>
      <c r="J98" s="1337"/>
      <c r="K98" s="1338"/>
      <c r="M98" s="206"/>
      <c r="N98" s="241"/>
      <c r="O98" s="241"/>
      <c r="P98" s="241"/>
      <c r="T98" s="2"/>
    </row>
    <row r="99" spans="1:20">
      <c r="A99" s="1292"/>
      <c r="B99" s="1310"/>
      <c r="C99" s="1313"/>
      <c r="D99" s="805" t="s">
        <v>3</v>
      </c>
      <c r="E99" s="12" t="s">
        <v>2</v>
      </c>
      <c r="F99" s="806" t="s">
        <v>1</v>
      </c>
      <c r="G99" s="851" t="s">
        <v>3</v>
      </c>
      <c r="H99" s="12" t="s">
        <v>2</v>
      </c>
      <c r="I99" s="852" t="s">
        <v>1</v>
      </c>
      <c r="J99" s="805" t="s">
        <v>3</v>
      </c>
      <c r="K99" s="924" t="s">
        <v>12</v>
      </c>
      <c r="L99" s="1153" t="s">
        <v>4</v>
      </c>
      <c r="M99" s="1153"/>
      <c r="N99" s="1153" t="s">
        <v>93</v>
      </c>
      <c r="O99" s="1153"/>
      <c r="P99" s="242"/>
      <c r="T99" s="2"/>
    </row>
    <row r="100" spans="1:20" s="4" customFormat="1">
      <c r="A100" s="243" t="s">
        <v>11</v>
      </c>
      <c r="B100" s="32" t="s">
        <v>9</v>
      </c>
      <c r="C100" s="31">
        <f>C101+C110</f>
        <v>196140</v>
      </c>
      <c r="D100" s="51">
        <f>D101+D111</f>
        <v>5101</v>
      </c>
      <c r="E100" s="30">
        <f>E101+E110</f>
        <v>0</v>
      </c>
      <c r="F100" s="29">
        <f t="shared" ref="F100:F122" si="14">IFERROR((E100/D100),0)</f>
        <v>0</v>
      </c>
      <c r="G100" s="997">
        <f>G101+G110</f>
        <v>196140</v>
      </c>
      <c r="H100" s="482">
        <f>H101+H110</f>
        <v>19708.249999999993</v>
      </c>
      <c r="I100" s="998">
        <f t="shared" ref="I100:I114" si="15">IFERROR((H100/G100),0)</f>
        <v>0.10048052411542772</v>
      </c>
      <c r="J100" s="745"/>
      <c r="K100" s="971"/>
      <c r="L100" s="197"/>
      <c r="M100" s="914" t="s">
        <v>13</v>
      </c>
      <c r="N100" s="197"/>
      <c r="O100" s="914" t="s">
        <v>13</v>
      </c>
      <c r="P100" s="244"/>
      <c r="Q100" s="22"/>
      <c r="R100" s="22"/>
      <c r="S100" s="1"/>
      <c r="T100" s="2"/>
    </row>
    <row r="101" spans="1:20" s="4" customFormat="1">
      <c r="A101" s="245" t="s">
        <v>10</v>
      </c>
      <c r="B101" s="26" t="s">
        <v>9</v>
      </c>
      <c r="C101" s="25">
        <f>SUM(C102:C109)</f>
        <v>143308</v>
      </c>
      <c r="D101" s="48">
        <f>SUM(D102:D109)</f>
        <v>5101</v>
      </c>
      <c r="E101" s="24">
        <f>SUM(E102:E109)</f>
        <v>0</v>
      </c>
      <c r="F101" s="23">
        <f t="shared" si="14"/>
        <v>0</v>
      </c>
      <c r="G101" s="555">
        <f>SUM(G102:G109)</f>
        <v>143308</v>
      </c>
      <c r="H101" s="296">
        <f>SUM(H102:H109)</f>
        <v>15844.349999999995</v>
      </c>
      <c r="I101" s="23">
        <f t="shared" si="15"/>
        <v>0.11056151784966642</v>
      </c>
      <c r="J101" s="1341"/>
      <c r="K101" s="1342"/>
      <c r="L101" s="197" t="s">
        <v>82</v>
      </c>
      <c r="M101" s="255"/>
      <c r="N101" s="197" t="s">
        <v>82</v>
      </c>
      <c r="O101" s="255"/>
      <c r="P101" s="244"/>
      <c r="Q101" s="22"/>
      <c r="R101" s="22"/>
      <c r="S101" s="1"/>
      <c r="T101" s="2"/>
    </row>
    <row r="102" spans="1:20">
      <c r="A102" s="254" t="s">
        <v>85</v>
      </c>
      <c r="B102" s="9" t="s">
        <v>9</v>
      </c>
      <c r="C102" s="20">
        <f>'01'!C102</f>
        <v>0</v>
      </c>
      <c r="D102" s="134">
        <v>0</v>
      </c>
      <c r="E102" s="18">
        <v>0</v>
      </c>
      <c r="F102" s="17">
        <f t="shared" si="14"/>
        <v>0</v>
      </c>
      <c r="G102" s="19">
        <f>D102+'30'!G102</f>
        <v>0</v>
      </c>
      <c r="H102" s="623">
        <f>E102+'30'!H102</f>
        <v>0</v>
      </c>
      <c r="I102" s="17">
        <f t="shared" si="15"/>
        <v>0</v>
      </c>
      <c r="J102" s="1341"/>
      <c r="K102" s="1343"/>
      <c r="L102" s="5"/>
      <c r="N102" s="244"/>
      <c r="O102" s="244"/>
      <c r="P102" s="244"/>
      <c r="T102" s="2"/>
    </row>
    <row r="103" spans="1:20" outlineLevel="1">
      <c r="A103" s="254" t="s">
        <v>262</v>
      </c>
      <c r="B103" s="9" t="s">
        <v>9</v>
      </c>
      <c r="C103" s="20">
        <f>'01'!C103</f>
        <v>11500</v>
      </c>
      <c r="D103" s="19">
        <v>620</v>
      </c>
      <c r="E103" s="166">
        <v>0</v>
      </c>
      <c r="F103" s="17">
        <f t="shared" si="14"/>
        <v>0</v>
      </c>
      <c r="G103" s="741">
        <f>D103+'30'!G103</f>
        <v>11500</v>
      </c>
      <c r="H103" s="695">
        <f>E103+'30'!H103</f>
        <v>0</v>
      </c>
      <c r="I103" s="17">
        <f t="shared" si="15"/>
        <v>0</v>
      </c>
      <c r="J103" s="1341"/>
      <c r="K103" s="1343"/>
      <c r="L103" s="5"/>
      <c r="M103" s="247"/>
      <c r="N103" s="27"/>
      <c r="O103" s="27"/>
      <c r="P103" s="16"/>
      <c r="T103" s="2"/>
    </row>
    <row r="104" spans="1:20">
      <c r="A104" s="246" t="s">
        <v>159</v>
      </c>
      <c r="B104" s="9" t="s">
        <v>9</v>
      </c>
      <c r="C104" s="20">
        <f>'01'!C104</f>
        <v>127150</v>
      </c>
      <c r="D104" s="134">
        <v>4424</v>
      </c>
      <c r="E104" s="110">
        <v>0</v>
      </c>
      <c r="F104" s="17">
        <f t="shared" si="14"/>
        <v>0</v>
      </c>
      <c r="G104" s="19">
        <f>D104+'30'!G104</f>
        <v>127150</v>
      </c>
      <c r="H104" s="625">
        <f>E104+'30'!H104</f>
        <v>12980.249999999995</v>
      </c>
      <c r="I104" s="17">
        <f t="shared" si="15"/>
        <v>0.10208611875737314</v>
      </c>
      <c r="J104" s="1341"/>
      <c r="K104" s="1343"/>
      <c r="L104" s="6"/>
      <c r="M104" s="247"/>
      <c r="N104" s="247"/>
      <c r="O104" s="247"/>
      <c r="P104" s="16"/>
      <c r="T104" s="2"/>
    </row>
    <row r="105" spans="1:20">
      <c r="A105" s="254" t="s">
        <v>191</v>
      </c>
      <c r="B105" s="9" t="s">
        <v>9</v>
      </c>
      <c r="C105" s="20">
        <f>'01'!C105</f>
        <v>0</v>
      </c>
      <c r="D105" s="134">
        <v>0</v>
      </c>
      <c r="E105" s="110">
        <v>0</v>
      </c>
      <c r="F105" s="17">
        <f t="shared" si="14"/>
        <v>0</v>
      </c>
      <c r="G105" s="19">
        <f>D105+'30'!G105</f>
        <v>0</v>
      </c>
      <c r="H105" s="624">
        <f>E105+'30'!H105</f>
        <v>475.6</v>
      </c>
      <c r="I105" s="17">
        <f t="shared" si="15"/>
        <v>0</v>
      </c>
      <c r="J105" s="1341"/>
      <c r="K105" s="1343"/>
      <c r="L105" s="5"/>
      <c r="M105" s="16"/>
      <c r="N105" s="247"/>
      <c r="O105" s="247"/>
      <c r="P105" s="16"/>
      <c r="Q105" s="6"/>
      <c r="T105" s="2"/>
    </row>
    <row r="106" spans="1:20">
      <c r="A106" s="46" t="s">
        <v>254</v>
      </c>
      <c r="B106" s="9" t="s">
        <v>9</v>
      </c>
      <c r="C106" s="20">
        <f>'01'!C106</f>
        <v>0</v>
      </c>
      <c r="D106" s="69">
        <v>0</v>
      </c>
      <c r="E106" s="110">
        <v>0</v>
      </c>
      <c r="F106" s="17">
        <f t="shared" si="14"/>
        <v>0</v>
      </c>
      <c r="G106" s="19">
        <f>D106+'30'!G106</f>
        <v>0</v>
      </c>
      <c r="H106" s="625">
        <f>E106+'30'!H106</f>
        <v>1280.3</v>
      </c>
      <c r="I106" s="17">
        <f t="shared" si="15"/>
        <v>0</v>
      </c>
      <c r="J106" s="1341"/>
      <c r="K106" s="1343"/>
      <c r="L106" s="5"/>
      <c r="M106" s="247"/>
      <c r="N106" s="247"/>
      <c r="O106" s="247"/>
      <c r="P106" s="247"/>
      <c r="T106" s="2"/>
    </row>
    <row r="107" spans="1:20">
      <c r="A107" s="246" t="s">
        <v>50</v>
      </c>
      <c r="B107" s="9" t="s">
        <v>9</v>
      </c>
      <c r="C107" s="20">
        <f>'01'!C107</f>
        <v>0</v>
      </c>
      <c r="D107" s="134">
        <v>0</v>
      </c>
      <c r="E107" s="110">
        <v>0</v>
      </c>
      <c r="F107" s="17">
        <f t="shared" si="14"/>
        <v>0</v>
      </c>
      <c r="G107" s="19">
        <f>D107+'30'!G107</f>
        <v>0</v>
      </c>
      <c r="H107" s="625">
        <f>E107+'30'!H107</f>
        <v>0</v>
      </c>
      <c r="I107" s="17">
        <f t="shared" si="15"/>
        <v>0</v>
      </c>
      <c r="J107" s="1341"/>
      <c r="K107" s="1343"/>
      <c r="L107" s="5"/>
      <c r="M107" s="247"/>
      <c r="N107" s="247"/>
      <c r="O107" s="247"/>
      <c r="P107" s="16"/>
      <c r="T107" s="2"/>
    </row>
    <row r="108" spans="1:20">
      <c r="A108" s="44" t="s">
        <v>245</v>
      </c>
      <c r="B108" s="9" t="s">
        <v>9</v>
      </c>
      <c r="C108" s="20">
        <f>'01'!C108</f>
        <v>3558</v>
      </c>
      <c r="D108" s="134">
        <v>57</v>
      </c>
      <c r="E108" s="110">
        <v>0</v>
      </c>
      <c r="F108" s="17">
        <f t="shared" si="14"/>
        <v>0</v>
      </c>
      <c r="G108" s="19">
        <f>D108+'30'!G108</f>
        <v>3558</v>
      </c>
      <c r="H108" s="625">
        <f>E108+'30'!H108</f>
        <v>826.59999999999991</v>
      </c>
      <c r="I108" s="17">
        <f t="shared" si="15"/>
        <v>0.23232152894884764</v>
      </c>
      <c r="J108" s="807"/>
      <c r="K108" s="808"/>
      <c r="L108" s="5"/>
      <c r="M108" s="247"/>
      <c r="N108" s="247"/>
      <c r="O108" s="247"/>
      <c r="P108" s="16"/>
      <c r="T108" s="2"/>
    </row>
    <row r="109" spans="1:20">
      <c r="A109" s="254" t="s">
        <v>198</v>
      </c>
      <c r="B109" s="9" t="s">
        <v>9</v>
      </c>
      <c r="C109" s="20">
        <f>'01'!C109</f>
        <v>1100</v>
      </c>
      <c r="D109" s="134">
        <v>0</v>
      </c>
      <c r="E109" s="156">
        <v>0</v>
      </c>
      <c r="F109" s="17">
        <f t="shared" si="14"/>
        <v>0</v>
      </c>
      <c r="G109" s="19">
        <f>D109+'30'!G109</f>
        <v>1100</v>
      </c>
      <c r="H109" s="625">
        <f>E109+'30'!H109</f>
        <v>281.59999999999997</v>
      </c>
      <c r="I109" s="17">
        <f t="shared" si="15"/>
        <v>0.25599999999999995</v>
      </c>
      <c r="J109" s="807"/>
      <c r="K109" s="808"/>
      <c r="L109" s="5"/>
      <c r="M109" s="247"/>
      <c r="N109" s="247"/>
      <c r="O109" s="16"/>
      <c r="S109" s="2"/>
    </row>
    <row r="110" spans="1:20">
      <c r="A110" s="245" t="s">
        <v>202</v>
      </c>
      <c r="B110" s="26" t="s">
        <v>9</v>
      </c>
      <c r="C110" s="25">
        <f>SUM(C111:C122)</f>
        <v>52832</v>
      </c>
      <c r="D110" s="735">
        <f>SUM(D111:D122)</f>
        <v>660</v>
      </c>
      <c r="E110" s="24">
        <f>SUM(E111:E122)</f>
        <v>0</v>
      </c>
      <c r="F110" s="1054">
        <f>IFERROR((E110/D110),0)</f>
        <v>0</v>
      </c>
      <c r="G110" s="735">
        <f>SUM(G111:G122)</f>
        <v>52832</v>
      </c>
      <c r="H110" s="24">
        <f>SUM(H111:H122)</f>
        <v>3863.8999999999996</v>
      </c>
      <c r="I110" s="1054">
        <f>IFERROR((H110/G110),0)</f>
        <v>7.3135599636583878E-2</v>
      </c>
      <c r="J110" s="807"/>
      <c r="K110" s="808"/>
      <c r="L110" s="5"/>
      <c r="M110" s="247"/>
      <c r="N110" s="247"/>
      <c r="O110" s="247"/>
      <c r="P110" s="16"/>
      <c r="T110" s="2"/>
    </row>
    <row r="111" spans="1:20" s="4" customFormat="1">
      <c r="A111" s="254" t="s">
        <v>251</v>
      </c>
      <c r="B111" s="9" t="s">
        <v>9</v>
      </c>
      <c r="C111" s="20">
        <f>'01'!C111</f>
        <v>0</v>
      </c>
      <c r="D111" s="134">
        <v>0</v>
      </c>
      <c r="E111" s="110">
        <v>0</v>
      </c>
      <c r="F111" s="17">
        <f>IFERROR((E111/D111),0)</f>
        <v>0</v>
      </c>
      <c r="G111" s="19">
        <f>D111+'30'!G111</f>
        <v>0</v>
      </c>
      <c r="H111" s="626">
        <f>E111+'30'!H111</f>
        <v>1026.1499999999999</v>
      </c>
      <c r="I111" s="17">
        <f>IFERROR((H111/G111),0)</f>
        <v>0</v>
      </c>
      <c r="J111" s="1341"/>
      <c r="K111" s="1343"/>
      <c r="L111" s="5"/>
      <c r="M111" s="996"/>
      <c r="N111" s="16"/>
      <c r="O111" s="16"/>
      <c r="P111" s="16"/>
      <c r="Q111" s="28"/>
      <c r="S111" s="1"/>
      <c r="T111" s="2"/>
    </row>
    <row r="112" spans="1:20">
      <c r="A112" s="254" t="s">
        <v>252</v>
      </c>
      <c r="B112" s="9" t="s">
        <v>9</v>
      </c>
      <c r="C112" s="20">
        <f>'01'!C112</f>
        <v>0</v>
      </c>
      <c r="D112" s="134">
        <v>0</v>
      </c>
      <c r="E112" s="110">
        <v>0</v>
      </c>
      <c r="F112" s="17">
        <f>IFERROR((E112/D112),0)</f>
        <v>0</v>
      </c>
      <c r="G112" s="19">
        <f>D112+'30'!G112</f>
        <v>0</v>
      </c>
      <c r="H112" s="626">
        <f>E112+'30'!H112</f>
        <v>994.39999999999986</v>
      </c>
      <c r="I112" s="17">
        <f>IFERROR((H112/G112),0)</f>
        <v>0</v>
      </c>
      <c r="J112" s="1344"/>
      <c r="K112" s="1345"/>
      <c r="L112" s="5"/>
      <c r="M112" s="15"/>
      <c r="N112" s="247"/>
      <c r="O112" s="247"/>
      <c r="P112" s="16"/>
      <c r="T112" s="2"/>
    </row>
    <row r="113" spans="1:20">
      <c r="A113" s="254" t="s">
        <v>253</v>
      </c>
      <c r="B113" s="9" t="s">
        <v>9</v>
      </c>
      <c r="C113" s="20">
        <f>'01'!C113</f>
        <v>0</v>
      </c>
      <c r="D113" s="134">
        <v>0</v>
      </c>
      <c r="E113" s="110">
        <v>0</v>
      </c>
      <c r="F113" s="17">
        <f t="shared" si="14"/>
        <v>0</v>
      </c>
      <c r="G113" s="19">
        <f>D113+'30'!G113</f>
        <v>0</v>
      </c>
      <c r="H113" s="626">
        <f>E113+'30'!H113</f>
        <v>20</v>
      </c>
      <c r="I113" s="17">
        <f t="shared" si="15"/>
        <v>0</v>
      </c>
      <c r="J113" s="809"/>
      <c r="K113" s="810"/>
      <c r="L113" s="5"/>
      <c r="M113" s="7"/>
      <c r="N113" s="247"/>
      <c r="O113" s="247"/>
      <c r="P113" s="16"/>
      <c r="T113" s="2"/>
    </row>
    <row r="114" spans="1:20" s="4" customFormat="1">
      <c r="A114" s="246" t="s">
        <v>225</v>
      </c>
      <c r="B114" s="9" t="s">
        <v>9</v>
      </c>
      <c r="C114" s="20">
        <f>'01'!C114</f>
        <v>500</v>
      </c>
      <c r="D114" s="134">
        <v>20</v>
      </c>
      <c r="E114" s="301">
        <v>0</v>
      </c>
      <c r="F114" s="17">
        <f t="shared" si="14"/>
        <v>0</v>
      </c>
      <c r="G114" s="19">
        <f>D114+'30'!G114</f>
        <v>500</v>
      </c>
      <c r="H114" s="626">
        <f>E114+'30'!H114</f>
        <v>0</v>
      </c>
      <c r="I114" s="17">
        <f t="shared" si="15"/>
        <v>0</v>
      </c>
      <c r="J114" s="1344"/>
      <c r="K114" s="1345"/>
      <c r="L114" s="5"/>
      <c r="M114" s="7"/>
      <c r="N114" s="15"/>
      <c r="O114" s="15"/>
      <c r="P114" s="15"/>
      <c r="S114" s="1"/>
      <c r="T114" s="2"/>
    </row>
    <row r="115" spans="1:20" s="4" customFormat="1">
      <c r="A115" s="246" t="s">
        <v>221</v>
      </c>
      <c r="B115" s="9" t="s">
        <v>9</v>
      </c>
      <c r="C115" s="20">
        <f>'01'!C115</f>
        <v>0</v>
      </c>
      <c r="D115" s="134">
        <v>0</v>
      </c>
      <c r="E115" s="864">
        <v>0</v>
      </c>
      <c r="F115" s="17">
        <f t="shared" si="14"/>
        <v>0</v>
      </c>
      <c r="G115" s="19">
        <f>D115+'30'!G115</f>
        <v>0</v>
      </c>
      <c r="H115" s="626">
        <f>E115+'30'!H115</f>
        <v>0</v>
      </c>
      <c r="I115" s="17">
        <f>IFERROR((H115/G115),0)</f>
        <v>0</v>
      </c>
      <c r="J115" s="1376"/>
      <c r="K115" s="1377"/>
      <c r="L115" s="5"/>
      <c r="M115" s="7"/>
      <c r="N115" s="15"/>
      <c r="O115" s="15"/>
      <c r="P115" s="15"/>
      <c r="S115" s="1"/>
      <c r="T115" s="2"/>
    </row>
    <row r="116" spans="1:20" s="4" customFormat="1">
      <c r="A116" s="254" t="s">
        <v>196</v>
      </c>
      <c r="B116" s="9" t="s">
        <v>9</v>
      </c>
      <c r="C116" s="149">
        <f>'01'!C116</f>
        <v>0</v>
      </c>
      <c r="D116" s="134">
        <v>0</v>
      </c>
      <c r="E116" s="110">
        <v>0</v>
      </c>
      <c r="F116" s="17">
        <f t="shared" si="14"/>
        <v>0</v>
      </c>
      <c r="G116" s="19">
        <f>D116+'30'!G116</f>
        <v>0</v>
      </c>
      <c r="H116" s="626">
        <f>E116+'30'!H116</f>
        <v>0</v>
      </c>
      <c r="I116" s="17">
        <f t="shared" ref="I116:I122" si="16">IFERROR((H116/G116),0)</f>
        <v>0</v>
      </c>
      <c r="J116" s="797"/>
      <c r="K116" s="798"/>
      <c r="L116" s="5"/>
      <c r="M116" s="7"/>
      <c r="N116" s="15"/>
      <c r="O116" s="15"/>
      <c r="P116" s="15"/>
      <c r="S116" s="1"/>
      <c r="T116" s="2"/>
    </row>
    <row r="117" spans="1:20" s="4" customFormat="1">
      <c r="A117" s="246" t="s">
        <v>197</v>
      </c>
      <c r="B117" s="9" t="s">
        <v>9</v>
      </c>
      <c r="C117" s="149">
        <f>'01'!C117</f>
        <v>0</v>
      </c>
      <c r="D117" s="134">
        <v>0</v>
      </c>
      <c r="E117" s="110">
        <v>0</v>
      </c>
      <c r="F117" s="17">
        <f t="shared" si="14"/>
        <v>0</v>
      </c>
      <c r="G117" s="19">
        <f>D117+'30'!G117</f>
        <v>0</v>
      </c>
      <c r="H117" s="626">
        <f>E117+'30'!H117</f>
        <v>0</v>
      </c>
      <c r="I117" s="17">
        <f t="shared" si="16"/>
        <v>0</v>
      </c>
      <c r="J117" s="797"/>
      <c r="K117" s="798"/>
      <c r="L117" s="5"/>
      <c r="M117" s="7"/>
      <c r="N117" s="15"/>
      <c r="O117" s="15"/>
      <c r="P117" s="15"/>
      <c r="S117" s="1"/>
      <c r="T117" s="2"/>
    </row>
    <row r="118" spans="1:20" s="4" customFormat="1">
      <c r="A118" s="246" t="s">
        <v>222</v>
      </c>
      <c r="B118" s="9" t="s">
        <v>9</v>
      </c>
      <c r="C118" s="149">
        <f>'01'!C118</f>
        <v>10700</v>
      </c>
      <c r="D118" s="134">
        <v>270</v>
      </c>
      <c r="E118" s="110">
        <v>0</v>
      </c>
      <c r="F118" s="17">
        <f t="shared" si="14"/>
        <v>0</v>
      </c>
      <c r="G118" s="19">
        <f>D118+'30'!G118</f>
        <v>10700</v>
      </c>
      <c r="H118" s="626">
        <f>E118+'30'!H118</f>
        <v>0</v>
      </c>
      <c r="I118" s="17">
        <f t="shared" si="16"/>
        <v>0</v>
      </c>
      <c r="J118" s="797"/>
      <c r="K118" s="798"/>
      <c r="L118" s="5"/>
      <c r="M118" s="7"/>
      <c r="N118" s="15"/>
      <c r="O118" s="15"/>
      <c r="P118" s="15"/>
      <c r="S118" s="1"/>
      <c r="T118" s="2"/>
    </row>
    <row r="119" spans="1:20" s="4" customFormat="1">
      <c r="A119" s="858" t="s">
        <v>223</v>
      </c>
      <c r="B119" s="9" t="s">
        <v>9</v>
      </c>
      <c r="C119" s="149">
        <f>'01'!C119</f>
        <v>0</v>
      </c>
      <c r="D119" s="134">
        <v>0</v>
      </c>
      <c r="E119" s="110">
        <v>0</v>
      </c>
      <c r="F119" s="17">
        <f t="shared" si="14"/>
        <v>0</v>
      </c>
      <c r="G119" s="19">
        <f>D119+'30'!G119</f>
        <v>0</v>
      </c>
      <c r="H119" s="626">
        <f>E119+'30'!H119</f>
        <v>0</v>
      </c>
      <c r="I119" s="17">
        <f t="shared" si="16"/>
        <v>0</v>
      </c>
      <c r="J119" s="856"/>
      <c r="K119" s="857"/>
      <c r="L119" s="5"/>
      <c r="M119" s="7"/>
      <c r="N119" s="15"/>
      <c r="O119" s="15"/>
      <c r="P119" s="15"/>
      <c r="S119" s="1"/>
      <c r="T119" s="2"/>
    </row>
    <row r="120" spans="1:20" s="4" customFormat="1">
      <c r="A120" s="246" t="s">
        <v>256</v>
      </c>
      <c r="B120" s="9" t="s">
        <v>9</v>
      </c>
      <c r="C120" s="149">
        <f>'01'!C120</f>
        <v>22152</v>
      </c>
      <c r="D120" s="134">
        <v>370</v>
      </c>
      <c r="E120" s="110">
        <v>0</v>
      </c>
      <c r="F120" s="17">
        <f t="shared" si="14"/>
        <v>0</v>
      </c>
      <c r="G120" s="19">
        <f>D120+'30'!G120</f>
        <v>22152</v>
      </c>
      <c r="H120" s="626">
        <f>E120+'30'!H120</f>
        <v>0</v>
      </c>
      <c r="I120" s="17">
        <f t="shared" si="16"/>
        <v>0</v>
      </c>
      <c r="J120" s="856"/>
      <c r="K120" s="857"/>
      <c r="L120" s="5"/>
      <c r="M120" s="7"/>
      <c r="N120" s="15"/>
      <c r="O120" s="15"/>
      <c r="P120" s="15"/>
      <c r="S120" s="1"/>
      <c r="T120" s="2"/>
    </row>
    <row r="121" spans="1:20" s="4" customFormat="1">
      <c r="A121" s="246" t="s">
        <v>199</v>
      </c>
      <c r="B121" s="9" t="s">
        <v>9</v>
      </c>
      <c r="C121" s="149">
        <f>'01'!C121</f>
        <v>1360</v>
      </c>
      <c r="D121" s="134">
        <v>0</v>
      </c>
      <c r="E121" s="110">
        <v>0</v>
      </c>
      <c r="F121" s="17">
        <f t="shared" si="14"/>
        <v>0</v>
      </c>
      <c r="G121" s="19">
        <f>D121+'30'!G121</f>
        <v>1360</v>
      </c>
      <c r="H121" s="626">
        <f>E121+'30'!H121</f>
        <v>0</v>
      </c>
      <c r="I121" s="17">
        <f t="shared" si="16"/>
        <v>0</v>
      </c>
      <c r="J121" s="856"/>
      <c r="K121" s="857"/>
      <c r="L121" s="5"/>
      <c r="M121" s="7"/>
      <c r="N121" s="15"/>
      <c r="O121" s="15"/>
      <c r="P121" s="15"/>
      <c r="S121" s="1"/>
      <c r="T121" s="2"/>
    </row>
    <row r="122" spans="1:20" s="4" customFormat="1">
      <c r="A122" s="246" t="s">
        <v>206</v>
      </c>
      <c r="B122" s="9" t="s">
        <v>9</v>
      </c>
      <c r="C122" s="149">
        <f>'01'!C122</f>
        <v>18120</v>
      </c>
      <c r="D122" s="134">
        <v>0</v>
      </c>
      <c r="E122" s="110">
        <v>0</v>
      </c>
      <c r="F122" s="17">
        <f t="shared" si="14"/>
        <v>0</v>
      </c>
      <c r="G122" s="19">
        <f>D122+'30'!G122</f>
        <v>18120</v>
      </c>
      <c r="H122" s="626">
        <f>E122+'30'!H122</f>
        <v>1823.35</v>
      </c>
      <c r="I122" s="17">
        <f t="shared" si="16"/>
        <v>0.10062637969094922</v>
      </c>
      <c r="J122" s="856"/>
      <c r="K122" s="857"/>
      <c r="L122" s="5"/>
      <c r="M122" s="7"/>
      <c r="N122" s="15"/>
      <c r="O122" s="15"/>
      <c r="P122" s="15"/>
      <c r="S122" s="1"/>
      <c r="T122" s="2"/>
    </row>
    <row r="123" spans="1:20" ht="16.5" thickBot="1">
      <c r="A123" s="1316" t="s">
        <v>8</v>
      </c>
      <c r="B123" s="1317"/>
      <c r="C123" s="1317"/>
      <c r="D123" s="1317"/>
      <c r="E123" s="1317"/>
      <c r="F123" s="1317"/>
      <c r="G123" s="1317"/>
      <c r="H123" s="1317"/>
      <c r="I123" s="1318"/>
      <c r="J123" s="14"/>
      <c r="K123" s="7"/>
      <c r="L123" s="10"/>
      <c r="M123" s="7"/>
      <c r="N123" s="7"/>
      <c r="O123" s="7"/>
      <c r="P123" s="7"/>
      <c r="T123" s="2"/>
    </row>
    <row r="124" spans="1:20" ht="31.5">
      <c r="A124" s="1291" t="s">
        <v>7</v>
      </c>
      <c r="B124" s="1267" t="s">
        <v>6</v>
      </c>
      <c r="C124" s="1304"/>
      <c r="D124" s="1302" t="s">
        <v>5</v>
      </c>
      <c r="E124" s="1303"/>
      <c r="F124" s="1303"/>
      <c r="G124" s="1302" t="s">
        <v>4</v>
      </c>
      <c r="H124" s="1303"/>
      <c r="I124" s="1304"/>
      <c r="J124" s="989" t="s">
        <v>89</v>
      </c>
      <c r="K124" s="988" t="s">
        <v>90</v>
      </c>
      <c r="L124" s="10"/>
      <c r="M124" s="7"/>
      <c r="N124" s="7"/>
      <c r="O124" s="7"/>
      <c r="P124" s="7"/>
      <c r="T124" s="2"/>
    </row>
    <row r="125" spans="1:20" ht="16.5" thickBot="1">
      <c r="A125" s="1292"/>
      <c r="B125" s="1268"/>
      <c r="C125" s="1334"/>
      <c r="D125" s="918" t="s">
        <v>3</v>
      </c>
      <c r="E125" s="12" t="s">
        <v>2</v>
      </c>
      <c r="F125" s="991" t="s">
        <v>1</v>
      </c>
      <c r="G125" s="990" t="s">
        <v>3</v>
      </c>
      <c r="H125" s="12" t="s">
        <v>2</v>
      </c>
      <c r="I125" s="992" t="s">
        <v>1</v>
      </c>
      <c r="J125" s="357">
        <f>SUM(N85:N91)</f>
        <v>0</v>
      </c>
      <c r="K125" s="358">
        <f>N92+N93</f>
        <v>0</v>
      </c>
      <c r="L125" s="7"/>
      <c r="M125" s="7"/>
      <c r="N125" s="7"/>
      <c r="O125" s="7"/>
      <c r="P125" s="7"/>
      <c r="T125" s="2"/>
    </row>
    <row r="126" spans="1:20">
      <c r="A126" s="327" t="s">
        <v>193</v>
      </c>
      <c r="B126" s="77" t="s">
        <v>182</v>
      </c>
      <c r="C126" s="777" t="s">
        <v>189</v>
      </c>
      <c r="D126" s="352">
        <v>40.5</v>
      </c>
      <c r="E126" s="256">
        <v>0</v>
      </c>
      <c r="F126" s="993">
        <f>IFERROR(E126/D126,0)</f>
        <v>0</v>
      </c>
      <c r="G126" s="984">
        <v>40.5</v>
      </c>
      <c r="H126" s="200">
        <v>99.491452289771843</v>
      </c>
      <c r="I126" s="356">
        <f>IFERROR(H126/G126,0)</f>
        <v>2.4565790688832552</v>
      </c>
      <c r="J126" s="698"/>
      <c r="K126" s="314"/>
      <c r="L126" s="7"/>
      <c r="M126" s="7"/>
      <c r="N126" s="7"/>
      <c r="O126" s="7"/>
      <c r="P126" s="7"/>
      <c r="T126" s="2"/>
    </row>
    <row r="127" spans="1:20">
      <c r="A127" s="355" t="s">
        <v>177</v>
      </c>
      <c r="B127" s="77" t="s">
        <v>182</v>
      </c>
      <c r="C127" s="777" t="s">
        <v>178</v>
      </c>
      <c r="D127" s="352">
        <v>17</v>
      </c>
      <c r="E127" s="256">
        <v>0</v>
      </c>
      <c r="F127" s="993">
        <f t="shared" ref="F127:F132" si="17">IFERROR(E127/D127,0)</f>
        <v>0</v>
      </c>
      <c r="G127" s="984">
        <v>17</v>
      </c>
      <c r="H127" s="200">
        <v>40.858994707665097</v>
      </c>
      <c r="I127" s="356">
        <f t="shared" ref="I127:I132" si="18">IFERROR(H127/G127,0)</f>
        <v>2.4034702769214764</v>
      </c>
      <c r="J127" s="7"/>
      <c r="K127" s="7"/>
      <c r="L127" s="7"/>
      <c r="M127" s="7"/>
      <c r="N127" s="7"/>
      <c r="O127" s="7"/>
      <c r="P127" s="7"/>
      <c r="T127" s="2"/>
    </row>
    <row r="128" spans="1:20">
      <c r="A128" s="355" t="s">
        <v>160</v>
      </c>
      <c r="B128" s="77" t="s">
        <v>51</v>
      </c>
      <c r="C128" s="777" t="s">
        <v>0</v>
      </c>
      <c r="D128" s="352">
        <v>3</v>
      </c>
      <c r="E128" s="256">
        <f>P131</f>
        <v>0</v>
      </c>
      <c r="F128" s="994">
        <f t="shared" si="17"/>
        <v>0</v>
      </c>
      <c r="G128" s="381">
        <v>3</v>
      </c>
      <c r="H128" s="256">
        <f>P132</f>
        <v>2.7306506005953359</v>
      </c>
      <c r="I128" s="157">
        <f t="shared" si="18"/>
        <v>0.91021686686511194</v>
      </c>
      <c r="J128" s="7"/>
      <c r="K128" s="7"/>
      <c r="N128" s="7"/>
      <c r="O128" s="7"/>
      <c r="P128" s="7"/>
      <c r="T128" s="2"/>
    </row>
    <row r="129" spans="1:20" ht="15.75" customHeight="1">
      <c r="A129" s="355" t="s">
        <v>181</v>
      </c>
      <c r="B129" s="77" t="s">
        <v>182</v>
      </c>
      <c r="C129" s="777" t="s">
        <v>183</v>
      </c>
      <c r="D129" s="352">
        <v>21</v>
      </c>
      <c r="E129" s="256">
        <v>0</v>
      </c>
      <c r="F129" s="994">
        <f t="shared" si="17"/>
        <v>0</v>
      </c>
      <c r="G129" s="984">
        <v>21</v>
      </c>
      <c r="H129" s="200">
        <v>48.507219675211076</v>
      </c>
      <c r="I129" s="157">
        <f t="shared" si="18"/>
        <v>2.3098676035814796</v>
      </c>
      <c r="J129" s="1117" t="s">
        <v>167</v>
      </c>
      <c r="K129" s="1119" t="s">
        <v>168</v>
      </c>
      <c r="L129" s="1120"/>
      <c r="M129" s="701" t="s">
        <v>163</v>
      </c>
      <c r="N129" s="1139" t="s">
        <v>164</v>
      </c>
      <c r="O129" s="1120"/>
      <c r="P129" s="1180"/>
      <c r="T129" s="2"/>
    </row>
    <row r="130" spans="1:20" ht="31.5">
      <c r="A130" s="355" t="s">
        <v>179</v>
      </c>
      <c r="B130" s="77" t="s">
        <v>182</v>
      </c>
      <c r="C130" s="777" t="s">
        <v>161</v>
      </c>
      <c r="D130" s="352">
        <v>42</v>
      </c>
      <c r="E130" s="256">
        <v>0</v>
      </c>
      <c r="F130" s="994">
        <f t="shared" si="17"/>
        <v>0</v>
      </c>
      <c r="G130" s="984">
        <v>42</v>
      </c>
      <c r="H130" s="200">
        <v>8.0577339239813934</v>
      </c>
      <c r="I130" s="157">
        <f t="shared" si="18"/>
        <v>0.19185080771384269</v>
      </c>
      <c r="J130" s="1118"/>
      <c r="K130" s="175" t="s">
        <v>165</v>
      </c>
      <c r="L130" s="175" t="s">
        <v>166</v>
      </c>
      <c r="M130" s="699" t="s">
        <v>2</v>
      </c>
      <c r="N130" s="699" t="s">
        <v>188</v>
      </c>
      <c r="O130" s="633" t="s">
        <v>165</v>
      </c>
      <c r="P130" s="633" t="s">
        <v>166</v>
      </c>
      <c r="T130" s="2"/>
    </row>
    <row r="131" spans="1:20">
      <c r="A131" s="355" t="s">
        <v>180</v>
      </c>
      <c r="B131" s="77" t="s">
        <v>182</v>
      </c>
      <c r="C131" s="777" t="s">
        <v>162</v>
      </c>
      <c r="D131" s="352">
        <v>35</v>
      </c>
      <c r="E131" s="256">
        <v>0</v>
      </c>
      <c r="F131" s="994">
        <f t="shared" si="17"/>
        <v>0</v>
      </c>
      <c r="G131" s="984">
        <v>35</v>
      </c>
      <c r="H131" s="200">
        <v>80.844696575826475</v>
      </c>
      <c r="I131" s="157">
        <f t="shared" si="18"/>
        <v>2.309848473595042</v>
      </c>
      <c r="J131" s="178">
        <f>F5</f>
        <v>0</v>
      </c>
      <c r="K131" s="110">
        <v>0</v>
      </c>
      <c r="L131" s="316">
        <f>IFERROR(K131/J131,0)</f>
        <v>0</v>
      </c>
      <c r="M131" s="110"/>
      <c r="N131" s="702"/>
      <c r="O131" s="110">
        <f>M131*4.184*K131/1000</f>
        <v>0</v>
      </c>
      <c r="P131" s="628">
        <f>IFERROR(O131/J131,0)</f>
        <v>0</v>
      </c>
    </row>
    <row r="132" spans="1:20" ht="16.5" thickBot="1">
      <c r="A132" s="686" t="s">
        <v>92</v>
      </c>
      <c r="B132" s="553" t="s">
        <v>48</v>
      </c>
      <c r="C132" s="778" t="s">
        <v>184</v>
      </c>
      <c r="D132" s="687">
        <v>100.69</v>
      </c>
      <c r="E132" s="682">
        <v>0</v>
      </c>
      <c r="F132" s="995">
        <f t="shared" si="17"/>
        <v>0</v>
      </c>
      <c r="G132" s="985">
        <v>100.69</v>
      </c>
      <c r="H132" s="683">
        <v>194.32951364432236</v>
      </c>
      <c r="I132" s="684">
        <f t="shared" si="18"/>
        <v>1.9299782862679746</v>
      </c>
      <c r="N132" s="727" t="s">
        <v>188</v>
      </c>
      <c r="O132" s="704">
        <f>O131+'30'!O132</f>
        <v>46077.193194178442</v>
      </c>
      <c r="P132" s="724">
        <f>IFERROR(O132/H5,0)</f>
        <v>2.7306506005953359</v>
      </c>
    </row>
    <row r="133" spans="1:20" ht="16.5" thickBot="1">
      <c r="C133" s="5"/>
      <c r="D133" s="2"/>
      <c r="E133" s="2"/>
      <c r="F133" s="2"/>
      <c r="G133" s="602"/>
      <c r="H133" s="602"/>
      <c r="I133" s="602"/>
      <c r="K133" s="1173" t="s">
        <v>108</v>
      </c>
      <c r="L133" s="1174"/>
      <c r="M133" s="1174"/>
      <c r="N133" s="1175"/>
    </row>
    <row r="134" spans="1:20" ht="32.25" thickBot="1">
      <c r="C134" s="5"/>
      <c r="D134" s="2"/>
      <c r="E134" s="2"/>
      <c r="F134" s="2"/>
      <c r="K134" s="364" t="s">
        <v>103</v>
      </c>
      <c r="L134" s="364" t="s">
        <v>147</v>
      </c>
      <c r="M134" s="364" t="s">
        <v>104</v>
      </c>
      <c r="N134" s="379">
        <v>3713263</v>
      </c>
      <c r="O134" s="5"/>
      <c r="P134" s="5"/>
      <c r="S134" s="1" t="s">
        <v>148</v>
      </c>
    </row>
    <row r="135" spans="1:20" ht="16.5" thickBot="1">
      <c r="C135" s="5"/>
      <c r="D135" s="2"/>
      <c r="E135" s="2"/>
      <c r="F135" s="2"/>
      <c r="J135" s="888"/>
      <c r="K135" s="365"/>
      <c r="L135" s="366">
        <f>SUM(L136:L140)</f>
        <v>0</v>
      </c>
      <c r="M135" s="366">
        <f>SUM(M136:M140)</f>
        <v>0</v>
      </c>
      <c r="N135" s="367"/>
      <c r="O135" s="378">
        <v>100</v>
      </c>
      <c r="S135" s="483">
        <f>L135-F92-F93</f>
        <v>0</v>
      </c>
    </row>
    <row r="136" spans="1:20" ht="16.5" thickBot="1">
      <c r="A136" s="1182" t="s">
        <v>95</v>
      </c>
      <c r="B136" s="1083" t="s">
        <v>96</v>
      </c>
      <c r="C136" s="1173" t="s">
        <v>97</v>
      </c>
      <c r="D136" s="1174"/>
      <c r="E136" s="1174"/>
      <c r="F136" s="1174"/>
      <c r="G136" s="1174"/>
      <c r="H136" s="1174"/>
      <c r="I136" s="1175"/>
      <c r="K136" s="368" t="s">
        <v>85</v>
      </c>
      <c r="L136" s="362">
        <v>0</v>
      </c>
      <c r="M136" s="362">
        <f>$N$134*N136/100</f>
        <v>0</v>
      </c>
      <c r="N136" s="369">
        <f>IFERROR(L136*$O$135/$L$135,0)</f>
        <v>0</v>
      </c>
    </row>
    <row r="137" spans="1:20" ht="31.5">
      <c r="A137" s="1183"/>
      <c r="B137" s="1084"/>
      <c r="C137" s="319" t="s">
        <v>42</v>
      </c>
      <c r="D137" s="338" t="s">
        <v>102</v>
      </c>
      <c r="E137" s="338" t="s">
        <v>52</v>
      </c>
      <c r="F137" s="320" t="s">
        <v>59</v>
      </c>
      <c r="G137" s="320" t="s">
        <v>98</v>
      </c>
      <c r="H137" s="320" t="s">
        <v>99</v>
      </c>
      <c r="I137" s="341" t="s">
        <v>100</v>
      </c>
      <c r="J137" s="479" t="s">
        <v>146</v>
      </c>
      <c r="K137" s="368" t="s">
        <v>254</v>
      </c>
      <c r="L137" s="376">
        <v>0</v>
      </c>
      <c r="M137" s="362">
        <f>$N$134*N137/100</f>
        <v>0</v>
      </c>
      <c r="N137" s="369">
        <f>IFERROR(L137*$O$135/$L$135,0)</f>
        <v>0</v>
      </c>
    </row>
    <row r="138" spans="1:20" ht="16.5" thickBot="1">
      <c r="A138" s="1183"/>
      <c r="B138" s="329" t="s">
        <v>101</v>
      </c>
      <c r="C138" s="330" t="s">
        <v>101</v>
      </c>
      <c r="D138" s="339"/>
      <c r="E138" s="339"/>
      <c r="F138" s="331" t="s">
        <v>101</v>
      </c>
      <c r="G138" s="331" t="s">
        <v>101</v>
      </c>
      <c r="H138" s="331" t="s">
        <v>101</v>
      </c>
      <c r="I138" s="332" t="s">
        <v>101</v>
      </c>
      <c r="J138" s="480"/>
      <c r="K138" s="370" t="s">
        <v>245</v>
      </c>
      <c r="L138" s="376">
        <v>0</v>
      </c>
      <c r="M138" s="362">
        <f>$N$134*N138/100</f>
        <v>0</v>
      </c>
      <c r="N138" s="369">
        <f>IFERROR(L138*$O$135/$L$135,0)</f>
        <v>0</v>
      </c>
    </row>
    <row r="139" spans="1:20">
      <c r="A139" s="105" t="s">
        <v>134</v>
      </c>
      <c r="B139" s="343">
        <f>F17</f>
        <v>0</v>
      </c>
      <c r="C139" s="337">
        <v>0</v>
      </c>
      <c r="D139" s="337">
        <v>0</v>
      </c>
      <c r="E139" s="340"/>
      <c r="F139" s="337">
        <v>0</v>
      </c>
      <c r="G139" s="337">
        <v>0</v>
      </c>
      <c r="H139" s="337">
        <v>0</v>
      </c>
      <c r="I139" s="333">
        <f t="shared" ref="I139:I148" si="19">SUM(C139:H139)</f>
        <v>0</v>
      </c>
      <c r="J139" s="1215">
        <f>D140+E140+F140+G140</f>
        <v>0</v>
      </c>
      <c r="K139" s="370" t="s">
        <v>159</v>
      </c>
      <c r="L139" s="376">
        <v>0</v>
      </c>
      <c r="M139" s="362">
        <f>$N$134*N139/100</f>
        <v>0</v>
      </c>
      <c r="N139" s="369">
        <f>IFERROR(L139*$O$135/$L$135,0)</f>
        <v>0</v>
      </c>
    </row>
    <row r="140" spans="1:20" ht="16.5" thickBot="1">
      <c r="A140" s="321"/>
      <c r="B140" s="334"/>
      <c r="C140" s="335">
        <f t="shared" ref="C140:H140" si="20">IFERROR(C139/$B$139,0)</f>
        <v>0</v>
      </c>
      <c r="D140" s="335">
        <f t="shared" si="20"/>
        <v>0</v>
      </c>
      <c r="E140" s="335">
        <f t="shared" si="20"/>
        <v>0</v>
      </c>
      <c r="F140" s="335">
        <f t="shared" si="20"/>
        <v>0</v>
      </c>
      <c r="G140" s="335">
        <f t="shared" si="20"/>
        <v>0</v>
      </c>
      <c r="H140" s="335">
        <f t="shared" si="20"/>
        <v>0</v>
      </c>
      <c r="I140" s="326">
        <f t="shared" si="19"/>
        <v>0</v>
      </c>
      <c r="J140" s="1215"/>
      <c r="K140" s="371" t="s">
        <v>192</v>
      </c>
      <c r="L140" s="762">
        <v>0</v>
      </c>
      <c r="M140" s="372">
        <f>$N$134*N140/100</f>
        <v>0</v>
      </c>
      <c r="N140" s="373">
        <f>IFERROR(L140*$O$135/$L$135,0)</f>
        <v>0</v>
      </c>
    </row>
    <row r="141" spans="1:20" ht="16.5" thickBot="1">
      <c r="A141" s="123" t="s">
        <v>85</v>
      </c>
      <c r="B141" s="344">
        <f>F18</f>
        <v>0</v>
      </c>
      <c r="C141" s="337">
        <v>0</v>
      </c>
      <c r="D141" s="337">
        <v>0</v>
      </c>
      <c r="E141" s="340"/>
      <c r="F141" s="337">
        <v>0</v>
      </c>
      <c r="G141" s="337">
        <v>0</v>
      </c>
      <c r="H141" s="337">
        <v>0</v>
      </c>
      <c r="I141" s="333">
        <f t="shared" si="19"/>
        <v>0</v>
      </c>
      <c r="J141" s="1215">
        <f>D142+E142+F142+G142</f>
        <v>0</v>
      </c>
      <c r="K141"/>
      <c r="L141"/>
      <c r="M141"/>
      <c r="N141"/>
    </row>
    <row r="142" spans="1:20" ht="16.5" thickBot="1">
      <c r="A142" s="321"/>
      <c r="B142" s="336"/>
      <c r="C142" s="335">
        <f t="shared" ref="C142:H142" si="21">IFERROR(C141/$B$141,0)</f>
        <v>0</v>
      </c>
      <c r="D142" s="335">
        <f t="shared" si="21"/>
        <v>0</v>
      </c>
      <c r="E142" s="335">
        <f t="shared" si="21"/>
        <v>0</v>
      </c>
      <c r="F142" s="335">
        <f t="shared" si="21"/>
        <v>0</v>
      </c>
      <c r="G142" s="335">
        <f t="shared" si="21"/>
        <v>0</v>
      </c>
      <c r="H142" s="335">
        <f t="shared" si="21"/>
        <v>0</v>
      </c>
      <c r="I142" s="326">
        <f t="shared" si="19"/>
        <v>0</v>
      </c>
      <c r="J142" s="1215"/>
      <c r="K142" s="1173" t="s">
        <v>108</v>
      </c>
      <c r="L142" s="1174"/>
      <c r="M142" s="1174"/>
      <c r="N142" s="1175"/>
    </row>
    <row r="143" spans="1:20" ht="32.25" thickBot="1">
      <c r="A143" s="123" t="s">
        <v>135</v>
      </c>
      <c r="B143" s="344">
        <f>F21</f>
        <v>0</v>
      </c>
      <c r="C143" s="337">
        <v>0</v>
      </c>
      <c r="D143" s="340"/>
      <c r="E143" s="340"/>
      <c r="F143" s="337">
        <v>0</v>
      </c>
      <c r="G143" s="337">
        <v>0</v>
      </c>
      <c r="H143" s="337">
        <v>0</v>
      </c>
      <c r="I143" s="333">
        <f t="shared" si="19"/>
        <v>0</v>
      </c>
      <c r="J143" s="1215">
        <f>D144+E144+F144+G144</f>
        <v>0</v>
      </c>
      <c r="K143" s="364" t="s">
        <v>105</v>
      </c>
      <c r="L143" s="364" t="s">
        <v>147</v>
      </c>
      <c r="M143" s="364" t="s">
        <v>104</v>
      </c>
      <c r="N143" s="379">
        <v>5334238</v>
      </c>
    </row>
    <row r="144" spans="1:20" ht="16.5" thickBot="1">
      <c r="A144" s="321"/>
      <c r="B144" s="336"/>
      <c r="C144" s="335">
        <f t="shared" ref="C144:H144" si="22">IFERROR(C143/$B$143,0)</f>
        <v>0</v>
      </c>
      <c r="D144" s="335">
        <f t="shared" si="22"/>
        <v>0</v>
      </c>
      <c r="E144" s="335">
        <f t="shared" si="22"/>
        <v>0</v>
      </c>
      <c r="F144" s="335">
        <f t="shared" si="22"/>
        <v>0</v>
      </c>
      <c r="G144" s="335">
        <f t="shared" si="22"/>
        <v>0</v>
      </c>
      <c r="H144" s="335">
        <f t="shared" si="22"/>
        <v>0</v>
      </c>
      <c r="I144" s="326">
        <f t="shared" si="19"/>
        <v>0</v>
      </c>
      <c r="J144" s="1215"/>
      <c r="K144" s="365"/>
      <c r="L144" s="366">
        <f>SUM(L145:L150)</f>
        <v>0</v>
      </c>
      <c r="M144" s="366">
        <f>SUM(M145:M150)</f>
        <v>0</v>
      </c>
      <c r="N144" s="367"/>
      <c r="O144" s="378">
        <v>100</v>
      </c>
    </row>
    <row r="145" spans="1:14">
      <c r="A145" s="123" t="s">
        <v>190</v>
      </c>
      <c r="B145" s="344">
        <f>F19</f>
        <v>0</v>
      </c>
      <c r="C145" s="337">
        <v>0</v>
      </c>
      <c r="D145" s="340"/>
      <c r="E145" s="340"/>
      <c r="F145" s="337">
        <v>0</v>
      </c>
      <c r="G145" s="337">
        <v>0</v>
      </c>
      <c r="H145" s="337">
        <v>0</v>
      </c>
      <c r="I145" s="333">
        <f t="shared" si="19"/>
        <v>0</v>
      </c>
      <c r="J145" s="1215">
        <f>D146+E146+F146+G146</f>
        <v>0</v>
      </c>
      <c r="K145" s="368" t="s">
        <v>85</v>
      </c>
      <c r="L145" s="362">
        <v>0</v>
      </c>
      <c r="M145" s="362">
        <f>$N$143*N145/100</f>
        <v>0</v>
      </c>
      <c r="N145" s="369">
        <f>IFERROR(L145*$O$144/$L$144,0)</f>
        <v>0</v>
      </c>
    </row>
    <row r="146" spans="1:14" ht="16.5" thickBot="1">
      <c r="A146" s="321"/>
      <c r="B146" s="336"/>
      <c r="C146" s="335">
        <f t="shared" ref="C146:H146" si="23">IFERROR(C145/$B$145,0)</f>
        <v>0</v>
      </c>
      <c r="D146" s="335">
        <f t="shared" si="23"/>
        <v>0</v>
      </c>
      <c r="E146" s="335">
        <f t="shared" si="23"/>
        <v>0</v>
      </c>
      <c r="F146" s="335">
        <f t="shared" si="23"/>
        <v>0</v>
      </c>
      <c r="G146" s="335">
        <f t="shared" si="23"/>
        <v>0</v>
      </c>
      <c r="H146" s="335">
        <f t="shared" si="23"/>
        <v>0</v>
      </c>
      <c r="I146" s="326">
        <f t="shared" si="19"/>
        <v>0</v>
      </c>
      <c r="J146" s="1215"/>
      <c r="K146" s="370" t="s">
        <v>86</v>
      </c>
      <c r="L146" s="376">
        <v>0</v>
      </c>
      <c r="M146" s="362">
        <f>$N$143*N146/100</f>
        <v>0</v>
      </c>
      <c r="N146" s="369">
        <f>IFERROR(L146*$O$144/$L$144,0)</f>
        <v>0</v>
      </c>
    </row>
    <row r="147" spans="1:14">
      <c r="A147" s="123" t="s">
        <v>246</v>
      </c>
      <c r="B147" s="344">
        <f>F20</f>
        <v>0</v>
      </c>
      <c r="C147" s="337">
        <v>0</v>
      </c>
      <c r="D147" s="340"/>
      <c r="E147" s="340"/>
      <c r="F147" s="337">
        <v>0</v>
      </c>
      <c r="G147" s="337">
        <v>0</v>
      </c>
      <c r="H147" s="337">
        <v>0</v>
      </c>
      <c r="I147" s="333">
        <f t="shared" si="19"/>
        <v>0</v>
      </c>
      <c r="J147" s="1215">
        <f>D148+E148+F148+G148</f>
        <v>0</v>
      </c>
      <c r="K147" s="370" t="s">
        <v>50</v>
      </c>
      <c r="L147" s="376">
        <v>0</v>
      </c>
      <c r="M147" s="362">
        <f>$N$143*N147/100</f>
        <v>0</v>
      </c>
      <c r="N147" s="369">
        <f>IFERROR(L147*$O$144/$L$144,0)</f>
        <v>0</v>
      </c>
    </row>
    <row r="148" spans="1:14" ht="16.5" thickBot="1">
      <c r="A148" s="321"/>
      <c r="B148" s="334"/>
      <c r="C148" s="335">
        <f t="shared" ref="C148:H148" si="24">IFERROR(C147/$B$147,0)</f>
        <v>0</v>
      </c>
      <c r="D148" s="335">
        <f t="shared" si="24"/>
        <v>0</v>
      </c>
      <c r="E148" s="335">
        <f t="shared" si="24"/>
        <v>0</v>
      </c>
      <c r="F148" s="335">
        <f t="shared" si="24"/>
        <v>0</v>
      </c>
      <c r="G148" s="335">
        <f t="shared" si="24"/>
        <v>0</v>
      </c>
      <c r="H148" s="335">
        <f t="shared" si="24"/>
        <v>0</v>
      </c>
      <c r="I148" s="326">
        <f t="shared" si="19"/>
        <v>0</v>
      </c>
      <c r="J148" s="1215"/>
      <c r="K148" s="370" t="s">
        <v>159</v>
      </c>
      <c r="L148" s="376">
        <v>0</v>
      </c>
      <c r="M148" s="362">
        <f>$N$143*N148/100</f>
        <v>0</v>
      </c>
      <c r="N148" s="369">
        <f>IFERROR(L148*$O$144/$L$144,0)</f>
        <v>0</v>
      </c>
    </row>
    <row r="149" spans="1:14">
      <c r="A149" s="342" t="s">
        <v>81</v>
      </c>
      <c r="B149" s="345">
        <f t="shared" ref="B149:I149" si="25">B139+B141+B143+B145+B147</f>
        <v>0</v>
      </c>
      <c r="C149" s="349">
        <f t="shared" si="25"/>
        <v>0</v>
      </c>
      <c r="D149" s="349">
        <f t="shared" si="25"/>
        <v>0</v>
      </c>
      <c r="E149" s="349">
        <f>E139+E141+E143+E145+E147</f>
        <v>0</v>
      </c>
      <c r="F149" s="349">
        <f t="shared" si="25"/>
        <v>0</v>
      </c>
      <c r="G149" s="349">
        <f t="shared" si="25"/>
        <v>0</v>
      </c>
      <c r="H149" s="349">
        <f t="shared" si="25"/>
        <v>0</v>
      </c>
      <c r="I149" s="324">
        <f t="shared" si="25"/>
        <v>0</v>
      </c>
      <c r="K149" s="370"/>
      <c r="L149" s="363"/>
      <c r="M149" s="362"/>
      <c r="N149" s="369"/>
    </row>
    <row r="150" spans="1:14" ht="16.5" thickBot="1">
      <c r="A150" s="322"/>
      <c r="B150" s="325"/>
      <c r="C150" s="346">
        <f t="shared" ref="C150:H150" si="26">IFERROR(C149/$B$149,0)</f>
        <v>0</v>
      </c>
      <c r="D150" s="346">
        <f t="shared" si="26"/>
        <v>0</v>
      </c>
      <c r="E150" s="346">
        <f t="shared" si="26"/>
        <v>0</v>
      </c>
      <c r="F150" s="346">
        <f t="shared" si="26"/>
        <v>0</v>
      </c>
      <c r="G150" s="346">
        <f t="shared" si="26"/>
        <v>0</v>
      </c>
      <c r="H150" s="346">
        <f t="shared" si="26"/>
        <v>0</v>
      </c>
      <c r="I150" s="481">
        <f>SUM(C150:H150)</f>
        <v>0</v>
      </c>
      <c r="K150" s="374"/>
      <c r="L150" s="375"/>
      <c r="M150" s="372"/>
      <c r="N150" s="373"/>
    </row>
  </sheetData>
  <mergeCells count="113">
    <mergeCell ref="O30:P30"/>
    <mergeCell ref="O22:P22"/>
    <mergeCell ref="J143:J144"/>
    <mergeCell ref="J145:J146"/>
    <mergeCell ref="J147:J148"/>
    <mergeCell ref="L99:M99"/>
    <mergeCell ref="N99:O99"/>
    <mergeCell ref="K133:N133"/>
    <mergeCell ref="K142:N142"/>
    <mergeCell ref="J139:J140"/>
    <mergeCell ref="J141:J142"/>
    <mergeCell ref="J129:J130"/>
    <mergeCell ref="K129:L129"/>
    <mergeCell ref="N129:P129"/>
    <mergeCell ref="A96:K96"/>
    <mergeCell ref="O59:P59"/>
    <mergeCell ref="O61:P61"/>
    <mergeCell ref="O54:P54"/>
    <mergeCell ref="O55:P55"/>
    <mergeCell ref="O56:P56"/>
    <mergeCell ref="O57:P57"/>
    <mergeCell ref="O58:P58"/>
    <mergeCell ref="C78:C79"/>
    <mergeCell ref="D78:H78"/>
    <mergeCell ref="A124:A125"/>
    <mergeCell ref="B124:B125"/>
    <mergeCell ref="C124:C125"/>
    <mergeCell ref="D124:F124"/>
    <mergeCell ref="G124:I124"/>
    <mergeCell ref="J97:K98"/>
    <mergeCell ref="A97:A99"/>
    <mergeCell ref="B97:B99"/>
    <mergeCell ref="C97:C99"/>
    <mergeCell ref="D97:F98"/>
    <mergeCell ref="G97:I98"/>
    <mergeCell ref="A123:I123"/>
    <mergeCell ref="J101:K101"/>
    <mergeCell ref="J102:K102"/>
    <mergeCell ref="J103:K103"/>
    <mergeCell ref="J104:K104"/>
    <mergeCell ref="J105:K105"/>
    <mergeCell ref="J106:K106"/>
    <mergeCell ref="J107:K107"/>
    <mergeCell ref="J111:K111"/>
    <mergeCell ref="J112:K112"/>
    <mergeCell ref="J114:K114"/>
    <mergeCell ref="J115:K115"/>
    <mergeCell ref="O43:P43"/>
    <mergeCell ref="O47:P47"/>
    <mergeCell ref="O52:P52"/>
    <mergeCell ref="O53:P53"/>
    <mergeCell ref="N78:O78"/>
    <mergeCell ref="I78:M78"/>
    <mergeCell ref="P78:P79"/>
    <mergeCell ref="A77:P77"/>
    <mergeCell ref="O69:P69"/>
    <mergeCell ref="O70:P70"/>
    <mergeCell ref="O71:P71"/>
    <mergeCell ref="A78:A79"/>
    <mergeCell ref="B78:B79"/>
    <mergeCell ref="O60:P60"/>
    <mergeCell ref="O62:P62"/>
    <mergeCell ref="O63:P63"/>
    <mergeCell ref="O64:P64"/>
    <mergeCell ref="O65:P65"/>
    <mergeCell ref="O66:P66"/>
    <mergeCell ref="O67:P67"/>
    <mergeCell ref="O68:P68"/>
    <mergeCell ref="O72:P72"/>
    <mergeCell ref="O73:P73"/>
    <mergeCell ref="O5:P5"/>
    <mergeCell ref="O6:P6"/>
    <mergeCell ref="O7:P7"/>
    <mergeCell ref="O8:P8"/>
    <mergeCell ref="O9:P9"/>
    <mergeCell ref="O10:P10"/>
    <mergeCell ref="O17:P17"/>
    <mergeCell ref="O18:P18"/>
    <mergeCell ref="A1:P1"/>
    <mergeCell ref="A3:A4"/>
    <mergeCell ref="B3:B4"/>
    <mergeCell ref="C3:C4"/>
    <mergeCell ref="D3:D4"/>
    <mergeCell ref="E3:I3"/>
    <mergeCell ref="J3:K3"/>
    <mergeCell ref="L3:L4"/>
    <mergeCell ref="M3:M4"/>
    <mergeCell ref="N3:N4"/>
    <mergeCell ref="O3:P4"/>
    <mergeCell ref="A136:A138"/>
    <mergeCell ref="B136:B137"/>
    <mergeCell ref="C136:I136"/>
    <mergeCell ref="O49:P49"/>
    <mergeCell ref="O11:P11"/>
    <mergeCell ref="O12:P12"/>
    <mergeCell ref="O13:P13"/>
    <mergeCell ref="O14:P14"/>
    <mergeCell ref="O15:P15"/>
    <mergeCell ref="O16:P16"/>
    <mergeCell ref="O21:P21"/>
    <mergeCell ref="O23:P23"/>
    <mergeCell ref="O38:P38"/>
    <mergeCell ref="O19:P19"/>
    <mergeCell ref="O20:P20"/>
    <mergeCell ref="O44:P44"/>
    <mergeCell ref="O50:P50"/>
    <mergeCell ref="O48:P48"/>
    <mergeCell ref="O45:P45"/>
    <mergeCell ref="O46:P46"/>
    <mergeCell ref="O39:P39"/>
    <mergeCell ref="O40:P40"/>
    <mergeCell ref="O41:P41"/>
    <mergeCell ref="O42:P42"/>
  </mergeCells>
  <pageMargins left="0.15748031496062992" right="0.15748031496062992" top="0.23622047244094491" bottom="0.19685039370078741" header="0.23622047244094491" footer="0.19685039370078741"/>
  <pageSetup paperSize="8" scale="46" orientation="portrait" r:id="rId1"/>
  <rowBreaks count="1" manualBreakCount="1">
    <brk id="95" max="17" man="1"/>
  </rowBreaks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K35"/>
  <sheetViews>
    <sheetView workbookViewId="0">
      <pane xSplit="1" ySplit="2" topLeftCell="B3" activePane="bottomRight" state="frozen"/>
      <selection activeCell="P1" sqref="P1:V2"/>
      <selection pane="topRight" activeCell="P1" sqref="P1:V2"/>
      <selection pane="bottomLeft" activeCell="P1" sqref="P1:V2"/>
      <selection pane="bottomRight" activeCell="P1" sqref="P1:V2"/>
    </sheetView>
  </sheetViews>
  <sheetFormatPr defaultRowHeight="15" outlineLevelCol="1"/>
  <cols>
    <col min="2" max="4" width="11" customWidth="1" outlineLevel="1"/>
    <col min="5" max="5" width="9.140625" customWidth="1" outlineLevel="1"/>
    <col min="6" max="6" width="11.85546875" customWidth="1" outlineLevel="1"/>
    <col min="7" max="8" width="12.7109375" customWidth="1" outlineLevel="1"/>
    <col min="9" max="9" width="15.140625" customWidth="1" outlineLevel="1"/>
    <col min="10" max="10" width="13.28515625" customWidth="1" outlineLevel="1"/>
    <col min="11" max="11" width="15.7109375" customWidth="1"/>
    <col min="12" max="12" width="16.85546875" customWidth="1"/>
    <col min="13" max="13" width="12.140625" customWidth="1"/>
    <col min="14" max="14" width="13" customWidth="1"/>
    <col min="15" max="15" width="14.42578125" customWidth="1"/>
    <col min="16" max="16" width="11.7109375" customWidth="1"/>
    <col min="17" max="17" width="10.85546875" customWidth="1"/>
    <col min="21" max="21" width="11.28515625" customWidth="1"/>
    <col min="22" max="25" width="9.140625" customWidth="1"/>
    <col min="26" max="26" width="13.85546875" style="901" customWidth="1"/>
    <col min="27" max="27" width="16.5703125" style="295" customWidth="1"/>
    <col min="28" max="28" width="13.5703125" bestFit="1" customWidth="1"/>
    <col min="29" max="29" width="13.140625" bestFit="1" customWidth="1"/>
    <col min="33" max="33" width="15.140625" bestFit="1" customWidth="1"/>
    <col min="34" max="34" width="11" bestFit="1" customWidth="1"/>
    <col min="35" max="35" width="8.7109375" bestFit="1" customWidth="1"/>
    <col min="36" max="36" width="9.5703125" bestFit="1" customWidth="1"/>
    <col min="37" max="37" width="13.7109375" bestFit="1" customWidth="1"/>
  </cols>
  <sheetData>
    <row r="1" spans="1:37" ht="15" customHeight="1">
      <c r="A1" s="209" t="s">
        <v>73</v>
      </c>
      <c r="B1" s="1412" t="s">
        <v>98</v>
      </c>
      <c r="C1" s="1412"/>
      <c r="D1" s="1413" t="s">
        <v>75</v>
      </c>
      <c r="E1" s="1415" t="s">
        <v>76</v>
      </c>
      <c r="F1" s="1417" t="s">
        <v>212</v>
      </c>
      <c r="G1" s="1408" t="s">
        <v>78</v>
      </c>
      <c r="H1" s="893"/>
      <c r="I1" s="891"/>
      <c r="J1" s="891"/>
      <c r="K1" s="1421" t="s">
        <v>80</v>
      </c>
      <c r="L1" s="1422"/>
      <c r="M1" s="1422"/>
      <c r="N1" s="1423"/>
      <c r="O1" s="892" t="s">
        <v>215</v>
      </c>
      <c r="P1" s="1419" t="s">
        <v>77</v>
      </c>
      <c r="Q1" s="1408" t="s">
        <v>44</v>
      </c>
      <c r="R1" s="1405" t="s">
        <v>42</v>
      </c>
      <c r="S1" s="1408" t="s">
        <v>58</v>
      </c>
      <c r="T1" s="1405" t="s">
        <v>205</v>
      </c>
      <c r="U1" s="1408" t="s">
        <v>207</v>
      </c>
      <c r="V1" s="1405" t="s">
        <v>208</v>
      </c>
      <c r="W1" s="1408" t="s">
        <v>172</v>
      </c>
      <c r="X1" s="1405" t="s">
        <v>209</v>
      </c>
      <c r="Y1" s="1410" t="s">
        <v>43</v>
      </c>
      <c r="Z1" s="1407" t="s">
        <v>84</v>
      </c>
      <c r="AA1" s="1407"/>
      <c r="AB1" s="1407"/>
      <c r="AC1" s="1407"/>
      <c r="AD1" s="1407"/>
    </row>
    <row r="2" spans="1:37" ht="60.75" thickBot="1">
      <c r="A2" s="210"/>
      <c r="B2" s="238" t="s">
        <v>210</v>
      </c>
      <c r="C2" s="238" t="s">
        <v>211</v>
      </c>
      <c r="D2" s="1414"/>
      <c r="E2" s="1416"/>
      <c r="F2" s="1418"/>
      <c r="G2" s="1409"/>
      <c r="H2" s="894" t="s">
        <v>213</v>
      </c>
      <c r="I2" s="211" t="s">
        <v>214</v>
      </c>
      <c r="J2" s="211" t="s">
        <v>99</v>
      </c>
      <c r="K2" s="897" t="s">
        <v>85</v>
      </c>
      <c r="L2" s="212" t="s">
        <v>86</v>
      </c>
      <c r="M2" s="212" t="s">
        <v>185</v>
      </c>
      <c r="N2" s="213" t="s">
        <v>50</v>
      </c>
      <c r="O2" s="898" t="s">
        <v>216</v>
      </c>
      <c r="P2" s="1420"/>
      <c r="Q2" s="1409"/>
      <c r="R2" s="1411"/>
      <c r="S2" s="1409"/>
      <c r="T2" s="1406"/>
      <c r="U2" s="1409"/>
      <c r="V2" s="1406"/>
      <c r="W2" s="1409"/>
      <c r="X2" s="1406"/>
      <c r="Y2" s="1411"/>
      <c r="Z2" s="903" t="s">
        <v>85</v>
      </c>
      <c r="AA2" s="292" t="s">
        <v>86</v>
      </c>
      <c r="AB2" s="292" t="s">
        <v>185</v>
      </c>
      <c r="AC2" s="292" t="s">
        <v>50</v>
      </c>
      <c r="AD2" s="292" t="s">
        <v>216</v>
      </c>
      <c r="AF2" s="292" t="s">
        <v>150</v>
      </c>
      <c r="AG2" s="292" t="s">
        <v>232</v>
      </c>
      <c r="AH2" s="1006" t="s">
        <v>167</v>
      </c>
      <c r="AI2" s="1006" t="s">
        <v>233</v>
      </c>
      <c r="AJ2" s="1003" t="s">
        <v>230</v>
      </c>
      <c r="AK2" s="1003" t="s">
        <v>231</v>
      </c>
    </row>
    <row r="3" spans="1:37">
      <c r="A3" s="214">
        <v>1</v>
      </c>
      <c r="B3" s="215">
        <f>'01'!$F$39</f>
        <v>2448.1896024972048</v>
      </c>
      <c r="C3" s="216">
        <f>'01'!$F$40</f>
        <v>0</v>
      </c>
      <c r="D3" s="217">
        <f t="shared" ref="D3:D33" si="0">B3+C3</f>
        <v>2448.1896024972048</v>
      </c>
      <c r="E3" s="218">
        <f>'01'!$F$43</f>
        <v>3262.8</v>
      </c>
      <c r="F3" s="219">
        <f>'01'!$F$44</f>
        <v>2931</v>
      </c>
      <c r="G3" s="220">
        <f>'01'!$F$48</f>
        <v>5710.9896024972049</v>
      </c>
      <c r="H3" s="896">
        <f>B3+E3-G3</f>
        <v>0</v>
      </c>
      <c r="I3" s="221">
        <f>'01'!$F$51</f>
        <v>11803.018075457881</v>
      </c>
      <c r="J3" s="221">
        <f>'01'!$F$5</f>
        <v>6289.0515207078724</v>
      </c>
      <c r="K3" s="215">
        <f>'01'!$F$18</f>
        <v>0</v>
      </c>
      <c r="L3" s="215">
        <f>'01'!$F$17</f>
        <v>0</v>
      </c>
      <c r="M3" s="215">
        <f>'01'!$F$19</f>
        <v>6829.930266588779</v>
      </c>
      <c r="N3" s="279">
        <f>'01'!$F$21</f>
        <v>0</v>
      </c>
      <c r="O3" s="279">
        <f>'01'!$F$22</f>
        <v>0</v>
      </c>
      <c r="P3" s="280">
        <f>SUM(K3:N3)</f>
        <v>6829.930266588779</v>
      </c>
      <c r="Q3" s="281">
        <f>'01'!$F$55</f>
        <v>0</v>
      </c>
      <c r="R3" s="290">
        <f>'01'!$F$54</f>
        <v>0</v>
      </c>
      <c r="S3" s="281">
        <f>'01'!$F$58</f>
        <v>0</v>
      </c>
      <c r="T3" s="282">
        <f>'01'!$F$70</f>
        <v>696.7</v>
      </c>
      <c r="U3" s="281">
        <f>'01'!$F$56</f>
        <v>0</v>
      </c>
      <c r="V3" s="282">
        <f>'01'!$F$57</f>
        <v>0</v>
      </c>
      <c r="W3" s="281">
        <f>'01'!$F$68</f>
        <v>0</v>
      </c>
      <c r="X3" s="282">
        <f>'01'!$F$69</f>
        <v>0</v>
      </c>
      <c r="Y3" s="282">
        <f>'01'!$F$53</f>
        <v>0</v>
      </c>
      <c r="Z3" s="900">
        <f>'01'!$E$18</f>
        <v>0</v>
      </c>
      <c r="AA3" s="294">
        <f>'01'!$E$17</f>
        <v>0</v>
      </c>
      <c r="AB3" s="900">
        <f>'01'!$E$19</f>
        <v>3769.8107054963084</v>
      </c>
      <c r="AC3" s="900">
        <f>'01'!$E$21</f>
        <v>35.171452009844131</v>
      </c>
      <c r="AD3" s="900">
        <f>'01'!$E$22</f>
        <v>0</v>
      </c>
      <c r="AF3" s="1007">
        <v>45778</v>
      </c>
      <c r="AG3" s="1004">
        <f>(('01'!$O$131)/4.184)*1000</f>
        <v>4045523.3556937096</v>
      </c>
      <c r="AH3" s="1004">
        <f>J3</f>
        <v>6289.0515207078724</v>
      </c>
      <c r="AI3" s="1004">
        <v>1.644746024245854</v>
      </c>
      <c r="AJ3" s="1005">
        <f>IFERROR(AG3/J3,0)</f>
        <v>643.26446402499187</v>
      </c>
      <c r="AK3" s="1004">
        <f>'01'!$P$131</f>
        <v>2.691418517480566</v>
      </c>
    </row>
    <row r="4" spans="1:37">
      <c r="A4" s="222">
        <v>2</v>
      </c>
      <c r="B4" s="223">
        <f>'02'!$F$39</f>
        <v>2347.0223132815481</v>
      </c>
      <c r="C4" s="224">
        <f>'02'!$F$40</f>
        <v>1213</v>
      </c>
      <c r="D4" s="217">
        <f t="shared" si="0"/>
        <v>3560.0223132815481</v>
      </c>
      <c r="E4" s="225">
        <f>'02'!$F$43</f>
        <v>2731</v>
      </c>
      <c r="F4" s="226">
        <f>'02'!$F$44</f>
        <v>2742</v>
      </c>
      <c r="G4" s="227">
        <f>'02'!$F$48</f>
        <v>5078.0223132815481</v>
      </c>
      <c r="H4" s="896">
        <f t="shared" ref="H4:H33" si="1">B4+E4-G4</f>
        <v>0</v>
      </c>
      <c r="I4" s="228">
        <f>'02'!$F$51</f>
        <v>8431.2938095858863</v>
      </c>
      <c r="J4" s="228">
        <f>'02'!$F$5</f>
        <v>4249.7600283130014</v>
      </c>
      <c r="K4" s="223">
        <f>'02'!$F$18</f>
        <v>0</v>
      </c>
      <c r="L4" s="223">
        <f>'02'!$F$17</f>
        <v>0</v>
      </c>
      <c r="M4" s="223">
        <f>'02'!$F$19</f>
        <v>5426.5026960100158</v>
      </c>
      <c r="N4" s="283">
        <f>'02'!$F$21</f>
        <v>0</v>
      </c>
      <c r="O4" s="283">
        <f>'02'!$F$22</f>
        <v>0</v>
      </c>
      <c r="P4" s="280">
        <f t="shared" ref="P4:P33" si="2">SUM(K4:N4)</f>
        <v>5426.5026960100158</v>
      </c>
      <c r="Q4" s="284">
        <f>'02'!$F$55</f>
        <v>0</v>
      </c>
      <c r="R4" s="291">
        <f>'02'!$F$54</f>
        <v>0</v>
      </c>
      <c r="S4" s="284">
        <f>'02'!$F$58</f>
        <v>0</v>
      </c>
      <c r="T4" s="285">
        <f>'02'!$F$70</f>
        <v>2632.45</v>
      </c>
      <c r="U4" s="284">
        <f>'02'!$F$56</f>
        <v>0</v>
      </c>
      <c r="V4" s="285">
        <f>'02'!$F$57</f>
        <v>0</v>
      </c>
      <c r="W4" s="284">
        <f>'02'!$F$68</f>
        <v>0</v>
      </c>
      <c r="X4" s="285">
        <f>'02'!$F$69</f>
        <v>0</v>
      </c>
      <c r="Y4" s="285">
        <f>'02'!$F$53</f>
        <v>0</v>
      </c>
      <c r="Z4" s="900">
        <f>'02'!$E$18</f>
        <v>0</v>
      </c>
      <c r="AA4" s="294">
        <f>'02'!$E$17</f>
        <v>0</v>
      </c>
      <c r="AB4" s="900">
        <f>'02'!$E$19</f>
        <v>3585.9539581624285</v>
      </c>
      <c r="AC4" s="900">
        <f>'02'!$E$21</f>
        <v>33.456111566858077</v>
      </c>
      <c r="AD4" s="900">
        <f>'02'!$E$22</f>
        <v>0</v>
      </c>
      <c r="AF4" s="1007">
        <v>45779</v>
      </c>
      <c r="AG4" s="1004">
        <f>(('02'!$O$131)/4.184)*1000</f>
        <v>2852848.6044227863</v>
      </c>
      <c r="AH4" s="1004">
        <f t="shared" ref="AH4:AH33" si="3">J4</f>
        <v>4249.7600283130014</v>
      </c>
      <c r="AI4" s="1004">
        <v>1.6232981977744529</v>
      </c>
      <c r="AJ4" s="1005">
        <f t="shared" ref="AJ4:AJ33" si="4">IFERROR(AG4/J4,0)</f>
        <v>671.29639918874727</v>
      </c>
      <c r="AK4" s="1004">
        <f>'02'!$P$131</f>
        <v>2.8087041342057182</v>
      </c>
    </row>
    <row r="5" spans="1:37">
      <c r="A5" s="222">
        <v>3</v>
      </c>
      <c r="B5" s="223">
        <f>'03'!$F$39</f>
        <v>2045.3588564107249</v>
      </c>
      <c r="C5" s="224">
        <f>'03'!$F$40</f>
        <v>1079</v>
      </c>
      <c r="D5" s="217">
        <f t="shared" si="0"/>
        <v>3124.3588564107249</v>
      </c>
      <c r="E5" s="225">
        <f>'03'!$F$43</f>
        <v>2410</v>
      </c>
      <c r="F5" s="226">
        <f>'03'!$F$44</f>
        <v>1582</v>
      </c>
      <c r="G5" s="227">
        <f>'03'!$F$48</f>
        <v>4455.3588564107249</v>
      </c>
      <c r="H5" s="896">
        <f t="shared" si="1"/>
        <v>0</v>
      </c>
      <c r="I5" s="228">
        <f>'03'!$F$51</f>
        <v>11941.87510970487</v>
      </c>
      <c r="J5" s="228">
        <f>'03'!$F$5</f>
        <v>6335.2598477857</v>
      </c>
      <c r="K5" s="223">
        <f>'03'!$F$18</f>
        <v>0</v>
      </c>
      <c r="L5" s="223">
        <f>'03'!$F$17</f>
        <v>0</v>
      </c>
      <c r="M5" s="223">
        <f>'03'!$F$19</f>
        <v>3372.755109714878</v>
      </c>
      <c r="N5" s="283">
        <f>'03'!$F$21</f>
        <v>0</v>
      </c>
      <c r="O5" s="283">
        <f>'03'!$F$22</f>
        <v>2130.1044634377968</v>
      </c>
      <c r="P5" s="280">
        <f t="shared" si="2"/>
        <v>3372.755109714878</v>
      </c>
      <c r="Q5" s="284">
        <f>'03'!$F$55</f>
        <v>0</v>
      </c>
      <c r="R5" s="291">
        <f>'03'!$F$54</f>
        <v>0</v>
      </c>
      <c r="S5" s="284">
        <f>'03'!$F$58</f>
        <v>0</v>
      </c>
      <c r="T5" s="285">
        <f>'03'!$F$70</f>
        <v>0</v>
      </c>
      <c r="U5" s="284">
        <f>'03'!$F$56</f>
        <v>0</v>
      </c>
      <c r="V5" s="285">
        <f>'03'!$F$57</f>
        <v>0</v>
      </c>
      <c r="W5" s="284">
        <f>'03'!$F$68</f>
        <v>0</v>
      </c>
      <c r="X5" s="285">
        <f>'03'!$F$69</f>
        <v>0</v>
      </c>
      <c r="Y5" s="285">
        <f>'03'!$F$53</f>
        <v>0</v>
      </c>
      <c r="Z5" s="900">
        <f>'03'!$E$18</f>
        <v>0</v>
      </c>
      <c r="AA5" s="294">
        <f>'03'!$E$17</f>
        <v>0</v>
      </c>
      <c r="AB5" s="900">
        <f>'03'!$E$19</f>
        <v>4903.5939807219038</v>
      </c>
      <c r="AC5" s="900">
        <f>'03'!$E$21</f>
        <v>45.749384741591463</v>
      </c>
      <c r="AD5" s="900">
        <f>'03'!$E$22</f>
        <v>0</v>
      </c>
      <c r="AF5" s="1007">
        <v>45780</v>
      </c>
      <c r="AG5" s="1004">
        <f>(('03'!$O$131)/4.184)*1000</f>
        <v>4114341.5184156373</v>
      </c>
      <c r="AH5" s="1004">
        <f t="shared" si="3"/>
        <v>6335.2598477857</v>
      </c>
      <c r="AI5" s="1004">
        <v>1.6327529641398599</v>
      </c>
      <c r="AJ5" s="1005">
        <f t="shared" si="4"/>
        <v>649.43532187613141</v>
      </c>
      <c r="AK5" s="1004">
        <f>'03'!$P$131</f>
        <v>2.7172373867297339</v>
      </c>
    </row>
    <row r="6" spans="1:37">
      <c r="A6" s="222">
        <v>4</v>
      </c>
      <c r="B6" s="223">
        <f>'04'!$F$39</f>
        <v>0</v>
      </c>
      <c r="C6" s="224">
        <f>'04'!$F$40</f>
        <v>0</v>
      </c>
      <c r="D6" s="217">
        <f t="shared" si="0"/>
        <v>0</v>
      </c>
      <c r="E6" s="225">
        <f>'04'!$F$43</f>
        <v>0</v>
      </c>
      <c r="F6" s="226">
        <f>'04'!$F$44</f>
        <v>0</v>
      </c>
      <c r="G6" s="227">
        <f>'04'!$F$48</f>
        <v>0</v>
      </c>
      <c r="H6" s="896">
        <f t="shared" si="1"/>
        <v>0</v>
      </c>
      <c r="I6" s="228">
        <f>'04'!$F$51</f>
        <v>0</v>
      </c>
      <c r="J6" s="228">
        <f>'04'!$F$5</f>
        <v>0</v>
      </c>
      <c r="K6" s="223">
        <f>'04'!$F$18</f>
        <v>0</v>
      </c>
      <c r="L6" s="223">
        <f>'04'!$F$17</f>
        <v>0</v>
      </c>
      <c r="M6" s="223">
        <f>'04'!$F$19</f>
        <v>0</v>
      </c>
      <c r="N6" s="283">
        <f>'04'!$F$21</f>
        <v>0</v>
      </c>
      <c r="O6" s="283">
        <f>'04'!$F$22</f>
        <v>0</v>
      </c>
      <c r="P6" s="280">
        <f t="shared" si="2"/>
        <v>0</v>
      </c>
      <c r="Q6" s="284">
        <f>'04'!$F$55</f>
        <v>0</v>
      </c>
      <c r="R6" s="291">
        <f>'04'!$F$54</f>
        <v>0</v>
      </c>
      <c r="S6" s="284">
        <f>'04'!$F$58</f>
        <v>0</v>
      </c>
      <c r="T6" s="285">
        <f>'04'!$F$70</f>
        <v>0</v>
      </c>
      <c r="U6" s="284">
        <f>'04'!$F$56</f>
        <v>0</v>
      </c>
      <c r="V6" s="285">
        <f>'04'!$F$57</f>
        <v>0</v>
      </c>
      <c r="W6" s="284">
        <f>'04'!$F$68</f>
        <v>0</v>
      </c>
      <c r="X6" s="285">
        <f>'04'!$F$69</f>
        <v>0</v>
      </c>
      <c r="Y6" s="285">
        <f>'04'!$F$53</f>
        <v>0</v>
      </c>
      <c r="Z6" s="900">
        <f>'04'!$E$18</f>
        <v>0</v>
      </c>
      <c r="AA6" s="294">
        <f>'04'!$E$17</f>
        <v>0</v>
      </c>
      <c r="AB6" s="900">
        <f>'04'!$E$19</f>
        <v>4937.9736977030352</v>
      </c>
      <c r="AC6" s="900">
        <f>'04'!$E$21</f>
        <v>46.070139458572598</v>
      </c>
      <c r="AD6" s="900">
        <f>'04'!$E$22</f>
        <v>0</v>
      </c>
      <c r="AF6" s="1007">
        <v>45781</v>
      </c>
      <c r="AG6" s="1004">
        <f>(('04'!$O$131)/4.184)*1000</f>
        <v>0</v>
      </c>
      <c r="AH6" s="1004">
        <f t="shared" si="3"/>
        <v>0</v>
      </c>
      <c r="AI6" s="1004">
        <v>0</v>
      </c>
      <c r="AJ6" s="1005">
        <f t="shared" si="4"/>
        <v>0</v>
      </c>
      <c r="AK6" s="1004">
        <f>'04'!$P$131</f>
        <v>0</v>
      </c>
    </row>
    <row r="7" spans="1:37">
      <c r="A7" s="222">
        <v>5</v>
      </c>
      <c r="B7" s="223">
        <f>'05'!$F$39</f>
        <v>0</v>
      </c>
      <c r="C7" s="224">
        <f>'05'!$F$40</f>
        <v>0</v>
      </c>
      <c r="D7" s="217">
        <f t="shared" si="0"/>
        <v>0</v>
      </c>
      <c r="E7" s="225">
        <f>'05'!$F$43</f>
        <v>0</v>
      </c>
      <c r="F7" s="226">
        <f>'05'!$F$44</f>
        <v>0</v>
      </c>
      <c r="G7" s="227">
        <f>'05'!$F$48</f>
        <v>0</v>
      </c>
      <c r="H7" s="896">
        <f t="shared" si="1"/>
        <v>0</v>
      </c>
      <c r="I7" s="228">
        <f>'05'!$F$51</f>
        <v>0</v>
      </c>
      <c r="J7" s="228">
        <f>'05'!$F$5</f>
        <v>0</v>
      </c>
      <c r="K7" s="223">
        <f>'05'!$F$18</f>
        <v>0</v>
      </c>
      <c r="L7" s="223">
        <f>'05'!$F$17</f>
        <v>0</v>
      </c>
      <c r="M7" s="223">
        <f>'05'!$F$19</f>
        <v>0</v>
      </c>
      <c r="N7" s="283">
        <f>'05'!$F$21</f>
        <v>0</v>
      </c>
      <c r="O7" s="283">
        <f>'05'!$F$22</f>
        <v>0</v>
      </c>
      <c r="P7" s="280">
        <f t="shared" si="2"/>
        <v>0</v>
      </c>
      <c r="Q7" s="284">
        <f>'05'!$F$55</f>
        <v>0</v>
      </c>
      <c r="R7" s="291">
        <f>'05'!$F$54</f>
        <v>0</v>
      </c>
      <c r="S7" s="284">
        <f>'05'!$F$58</f>
        <v>0</v>
      </c>
      <c r="T7" s="285">
        <f>'05'!$F$70</f>
        <v>0</v>
      </c>
      <c r="U7" s="284">
        <f>'05'!$F$56</f>
        <v>0</v>
      </c>
      <c r="V7" s="285">
        <f>'05'!$F$57</f>
        <v>0</v>
      </c>
      <c r="W7" s="284">
        <f>'05'!$F$68</f>
        <v>0</v>
      </c>
      <c r="X7" s="285">
        <f>'05'!$F$69</f>
        <v>0</v>
      </c>
      <c r="Y7" s="285">
        <f>'05'!$F$53</f>
        <v>0</v>
      </c>
      <c r="Z7" s="900">
        <f>'05'!$E$18</f>
        <v>0</v>
      </c>
      <c r="AA7" s="294">
        <f>'05'!$E$17</f>
        <v>0</v>
      </c>
      <c r="AB7" s="900">
        <f>'05'!$E$19</f>
        <v>5044.1023892534868</v>
      </c>
      <c r="AC7" s="900">
        <f>'05'!$E$21</f>
        <v>47.06029532403609</v>
      </c>
      <c r="AD7" s="900">
        <f>'05'!$E$22</f>
        <v>0</v>
      </c>
      <c r="AF7" s="1007">
        <v>45782</v>
      </c>
      <c r="AG7" s="1004">
        <f>(('05'!$O$131)/4.184)*1000</f>
        <v>0</v>
      </c>
      <c r="AH7" s="1004">
        <f t="shared" si="3"/>
        <v>0</v>
      </c>
      <c r="AI7" s="1004">
        <v>0</v>
      </c>
      <c r="AJ7" s="1005">
        <f t="shared" si="4"/>
        <v>0</v>
      </c>
      <c r="AK7" s="1004">
        <f>'05'!$P$131</f>
        <v>0</v>
      </c>
    </row>
    <row r="8" spans="1:37">
      <c r="A8" s="222">
        <v>6</v>
      </c>
      <c r="B8" s="223">
        <f>'06'!$F$39</f>
        <v>0</v>
      </c>
      <c r="C8" s="224">
        <f>'06'!$F$40</f>
        <v>0</v>
      </c>
      <c r="D8" s="217">
        <f t="shared" si="0"/>
        <v>0</v>
      </c>
      <c r="E8" s="225">
        <f>'06'!$F$43</f>
        <v>0</v>
      </c>
      <c r="F8" s="226">
        <f>'06'!$F$44</f>
        <v>0</v>
      </c>
      <c r="G8" s="227">
        <f>'06'!$F$48</f>
        <v>0</v>
      </c>
      <c r="H8" s="896">
        <f t="shared" si="1"/>
        <v>0</v>
      </c>
      <c r="I8" s="228">
        <f>'06'!$F$51</f>
        <v>0</v>
      </c>
      <c r="J8" s="228">
        <f>'06'!$F$5</f>
        <v>0</v>
      </c>
      <c r="K8" s="223">
        <f>'06'!$F$18</f>
        <v>0</v>
      </c>
      <c r="L8" s="223">
        <f>'06'!$F$17</f>
        <v>0</v>
      </c>
      <c r="M8" s="223">
        <f>'06'!$F$19</f>
        <v>0</v>
      </c>
      <c r="N8" s="283">
        <f>'06'!$F$21</f>
        <v>0</v>
      </c>
      <c r="O8" s="283">
        <f>'06'!$F$22</f>
        <v>0</v>
      </c>
      <c r="P8" s="280">
        <f t="shared" si="2"/>
        <v>0</v>
      </c>
      <c r="Q8" s="284">
        <f>'06'!$F$55</f>
        <v>0</v>
      </c>
      <c r="R8" s="291">
        <f>'06'!$F$54</f>
        <v>0</v>
      </c>
      <c r="S8" s="284">
        <f>'06'!$F$58</f>
        <v>0</v>
      </c>
      <c r="T8" s="285">
        <f>'06'!$F$70</f>
        <v>0</v>
      </c>
      <c r="U8" s="284">
        <f>'06'!$F$56</f>
        <v>0</v>
      </c>
      <c r="V8" s="285">
        <f>'06'!$F$57</f>
        <v>0</v>
      </c>
      <c r="W8" s="284">
        <f>'06'!$F$68</f>
        <v>0</v>
      </c>
      <c r="X8" s="285">
        <f>'06'!$F$69</f>
        <v>0</v>
      </c>
      <c r="Y8" s="285">
        <f>'06'!$F$53</f>
        <v>0</v>
      </c>
      <c r="Z8" s="900">
        <f>'06'!$E$18</f>
        <v>0</v>
      </c>
      <c r="AA8" s="294">
        <f>'06'!$E$17</f>
        <v>0</v>
      </c>
      <c r="AB8" s="900">
        <f>'06'!$E$19</f>
        <v>5051.5762407711245</v>
      </c>
      <c r="AC8" s="900">
        <f>'06'!$E$21</f>
        <v>47.130024610336342</v>
      </c>
      <c r="AD8" s="900">
        <f>'06'!$E$22</f>
        <v>0</v>
      </c>
      <c r="AF8" s="1007">
        <v>45783</v>
      </c>
      <c r="AG8" s="1004">
        <f>(('06'!$O$131)/4.184)*1000</f>
        <v>0</v>
      </c>
      <c r="AH8" s="1004">
        <f t="shared" si="3"/>
        <v>0</v>
      </c>
      <c r="AI8" s="1004">
        <v>0</v>
      </c>
      <c r="AJ8" s="1005">
        <f t="shared" si="4"/>
        <v>0</v>
      </c>
      <c r="AK8" s="1004">
        <f>'06'!$P$131</f>
        <v>0</v>
      </c>
    </row>
    <row r="9" spans="1:37">
      <c r="A9" s="222">
        <v>7</v>
      </c>
      <c r="B9" s="223">
        <f>'07'!$F$39</f>
        <v>0</v>
      </c>
      <c r="C9" s="224">
        <f>'07'!$F$40</f>
        <v>0</v>
      </c>
      <c r="D9" s="217">
        <f t="shared" si="0"/>
        <v>0</v>
      </c>
      <c r="E9" s="225">
        <f>'07'!$F$43</f>
        <v>0</v>
      </c>
      <c r="F9" s="226">
        <f>'07'!$F$44</f>
        <v>0</v>
      </c>
      <c r="G9" s="227">
        <f>'07'!$F$48</f>
        <v>0</v>
      </c>
      <c r="H9" s="896">
        <f t="shared" si="1"/>
        <v>0</v>
      </c>
      <c r="I9" s="228">
        <f>'07'!$F$51</f>
        <v>0</v>
      </c>
      <c r="J9" s="228">
        <f>'07'!$F$5</f>
        <v>0</v>
      </c>
      <c r="K9" s="223">
        <f>'07'!$F$18</f>
        <v>0</v>
      </c>
      <c r="L9" s="223">
        <f>'07'!$F$17</f>
        <v>0</v>
      </c>
      <c r="M9" s="223">
        <f>'07'!$F$19</f>
        <v>0</v>
      </c>
      <c r="N9" s="283">
        <f>'07'!$F$21</f>
        <v>0</v>
      </c>
      <c r="O9" s="283">
        <f>'07'!$F$22</f>
        <v>0</v>
      </c>
      <c r="P9" s="280">
        <f t="shared" si="2"/>
        <v>0</v>
      </c>
      <c r="Q9" s="284">
        <f>'07'!$F$55</f>
        <v>0</v>
      </c>
      <c r="R9" s="291">
        <f>'07'!$F$54</f>
        <v>0</v>
      </c>
      <c r="S9" s="284">
        <f>'07'!$F$58</f>
        <v>0</v>
      </c>
      <c r="T9" s="285">
        <f>'07'!$F$70</f>
        <v>0</v>
      </c>
      <c r="U9" s="284">
        <f>'07'!$F$56</f>
        <v>0</v>
      </c>
      <c r="V9" s="285">
        <f>'07'!$F$57</f>
        <v>0</v>
      </c>
      <c r="W9" s="284">
        <f>'07'!$F$68</f>
        <v>0</v>
      </c>
      <c r="X9" s="285">
        <f>'07'!$F$69</f>
        <v>0</v>
      </c>
      <c r="Y9" s="285">
        <f>'07'!$F$53</f>
        <v>0</v>
      </c>
      <c r="Z9" s="900">
        <f>'07'!$E$18</f>
        <v>0</v>
      </c>
      <c r="AA9" s="294">
        <f>'07'!$E$17</f>
        <v>0</v>
      </c>
      <c r="AB9" s="900">
        <f>'07'!$E$19</f>
        <v>4961.8900225594753</v>
      </c>
      <c r="AC9" s="900">
        <f>'07'!$E$21</f>
        <v>46.293273174733379</v>
      </c>
      <c r="AD9" s="900">
        <f>'07'!$E$22</f>
        <v>0</v>
      </c>
      <c r="AF9" s="1007">
        <v>45784</v>
      </c>
      <c r="AG9" s="1004">
        <f>(('07'!$O$131)/4.184)*1000</f>
        <v>0</v>
      </c>
      <c r="AH9" s="1004">
        <f t="shared" si="3"/>
        <v>0</v>
      </c>
      <c r="AI9" s="1004">
        <v>0</v>
      </c>
      <c r="AJ9" s="1005">
        <f t="shared" si="4"/>
        <v>0</v>
      </c>
      <c r="AK9" s="1004">
        <f>'07'!$P$131</f>
        <v>0</v>
      </c>
    </row>
    <row r="10" spans="1:37">
      <c r="A10" s="222">
        <v>8</v>
      </c>
      <c r="B10" s="223">
        <f>'08'!$F$39</f>
        <v>0</v>
      </c>
      <c r="C10" s="224">
        <f>'08'!$F$40</f>
        <v>0</v>
      </c>
      <c r="D10" s="217">
        <f t="shared" si="0"/>
        <v>0</v>
      </c>
      <c r="E10" s="225">
        <f>'08'!$F$43</f>
        <v>0</v>
      </c>
      <c r="F10" s="226">
        <f>'08'!$F$44</f>
        <v>0</v>
      </c>
      <c r="G10" s="227">
        <f>'08'!$F$48</f>
        <v>0</v>
      </c>
      <c r="H10" s="896">
        <f t="shared" si="1"/>
        <v>0</v>
      </c>
      <c r="I10" s="228">
        <f>'08'!$F$51</f>
        <v>0</v>
      </c>
      <c r="J10" s="228">
        <f>'08'!$F$5</f>
        <v>0</v>
      </c>
      <c r="K10" s="223">
        <f>'08'!$F$18</f>
        <v>0</v>
      </c>
      <c r="L10" s="223">
        <f>'08'!$F$17</f>
        <v>0</v>
      </c>
      <c r="M10" s="223">
        <f>'08'!$F$19</f>
        <v>0</v>
      </c>
      <c r="N10" s="283">
        <f>'08'!$F$21</f>
        <v>0</v>
      </c>
      <c r="O10" s="283">
        <f>'08'!$F$22</f>
        <v>0</v>
      </c>
      <c r="P10" s="280">
        <f t="shared" si="2"/>
        <v>0</v>
      </c>
      <c r="Q10" s="284">
        <f>'08'!$F$55</f>
        <v>0</v>
      </c>
      <c r="R10" s="291">
        <f>'08'!$F$54</f>
        <v>0</v>
      </c>
      <c r="S10" s="284">
        <f>'08'!$F$58</f>
        <v>0</v>
      </c>
      <c r="T10" s="285">
        <f>'08'!$F$70</f>
        <v>0</v>
      </c>
      <c r="U10" s="284">
        <f>'08'!$F$56</f>
        <v>0</v>
      </c>
      <c r="V10" s="285">
        <f>'08'!$F$57</f>
        <v>0</v>
      </c>
      <c r="W10" s="284">
        <f>'08'!$F$68</f>
        <v>0</v>
      </c>
      <c r="X10" s="285">
        <f>'08'!$F$69</f>
        <v>0</v>
      </c>
      <c r="Y10" s="285">
        <f>'08'!$F$53</f>
        <v>0</v>
      </c>
      <c r="Z10" s="900">
        <f>'08'!$E$18</f>
        <v>0</v>
      </c>
      <c r="AA10" s="294">
        <f>'08'!$E$17</f>
        <v>0</v>
      </c>
      <c r="AB10" s="900">
        <f>'08'!$E$19</f>
        <v>4702.5473748974564</v>
      </c>
      <c r="AC10" s="900">
        <f>'08'!$E$21</f>
        <v>43.873666940114845</v>
      </c>
      <c r="AD10" s="900">
        <f>'08'!$E$22</f>
        <v>0</v>
      </c>
      <c r="AF10" s="1007">
        <v>45785</v>
      </c>
      <c r="AG10" s="1004">
        <f>(('08'!$O$131)/4.184)*1000</f>
        <v>0</v>
      </c>
      <c r="AH10" s="1004">
        <f t="shared" si="3"/>
        <v>0</v>
      </c>
      <c r="AI10" s="1004">
        <v>0</v>
      </c>
      <c r="AJ10" s="1005">
        <f t="shared" si="4"/>
        <v>0</v>
      </c>
      <c r="AK10" s="1004">
        <f>'08'!$P$131</f>
        <v>0</v>
      </c>
    </row>
    <row r="11" spans="1:37">
      <c r="A11" s="222">
        <v>9</v>
      </c>
      <c r="B11" s="223">
        <f>'09'!$F$39</f>
        <v>0</v>
      </c>
      <c r="C11" s="224">
        <f>'09'!$F$40</f>
        <v>0</v>
      </c>
      <c r="D11" s="217">
        <f t="shared" si="0"/>
        <v>0</v>
      </c>
      <c r="E11" s="225">
        <f>'09'!$F$43</f>
        <v>0</v>
      </c>
      <c r="F11" s="226">
        <f>'09'!$F$44</f>
        <v>0</v>
      </c>
      <c r="G11" s="227">
        <f>'09'!$F$48</f>
        <v>0</v>
      </c>
      <c r="H11" s="896">
        <f t="shared" si="1"/>
        <v>0</v>
      </c>
      <c r="I11" s="228">
        <f>'09'!$F$51</f>
        <v>0</v>
      </c>
      <c r="J11" s="228">
        <f>'09'!$F$5</f>
        <v>0</v>
      </c>
      <c r="K11" s="223">
        <f>'09'!$F$18</f>
        <v>0</v>
      </c>
      <c r="L11" s="223">
        <f>'09'!$F$17</f>
        <v>0</v>
      </c>
      <c r="M11" s="223">
        <f>'09'!$F$19</f>
        <v>0</v>
      </c>
      <c r="N11" s="283">
        <f>'09'!$F$21</f>
        <v>0</v>
      </c>
      <c r="O11" s="283">
        <f>'09'!$F$22</f>
        <v>0</v>
      </c>
      <c r="P11" s="280">
        <f t="shared" si="2"/>
        <v>0</v>
      </c>
      <c r="Q11" s="284">
        <f>'09'!$F$55</f>
        <v>0</v>
      </c>
      <c r="R11" s="291">
        <f>'09'!$F$54</f>
        <v>0</v>
      </c>
      <c r="S11" s="284">
        <f>'09'!$F$58</f>
        <v>0</v>
      </c>
      <c r="T11" s="285">
        <f>'09'!$F$70</f>
        <v>0</v>
      </c>
      <c r="U11" s="284">
        <f>'09'!$F$56</f>
        <v>0</v>
      </c>
      <c r="V11" s="285">
        <f>'09'!$F$57</f>
        <v>0</v>
      </c>
      <c r="W11" s="284">
        <f>'09'!$F$68</f>
        <v>0</v>
      </c>
      <c r="X11" s="285">
        <f>'09'!$F$69</f>
        <v>0</v>
      </c>
      <c r="Y11" s="285">
        <f>'09'!$F$53</f>
        <v>0</v>
      </c>
      <c r="Z11" s="900">
        <f>'09'!$E$18</f>
        <v>0</v>
      </c>
      <c r="AA11" s="294">
        <f>'09'!$E$17</f>
        <v>0</v>
      </c>
      <c r="AB11" s="900">
        <f>'09'!$E$19</f>
        <v>3449.9298605414274</v>
      </c>
      <c r="AC11" s="900">
        <f>'09'!$E$21</f>
        <v>32.187038556193592</v>
      </c>
      <c r="AD11" s="900">
        <f>'09'!$E$22</f>
        <v>0</v>
      </c>
      <c r="AF11" s="1007">
        <v>45786</v>
      </c>
      <c r="AG11" s="1004">
        <f>(('09'!$O$131)/4.184)*1000</f>
        <v>0</v>
      </c>
      <c r="AH11" s="1004">
        <f t="shared" si="3"/>
        <v>0</v>
      </c>
      <c r="AI11" s="1004">
        <v>0</v>
      </c>
      <c r="AJ11" s="1005">
        <f t="shared" si="4"/>
        <v>0</v>
      </c>
      <c r="AK11" s="1004">
        <f>'09'!$P$131</f>
        <v>0</v>
      </c>
    </row>
    <row r="12" spans="1:37">
      <c r="A12" s="222">
        <v>10</v>
      </c>
      <c r="B12" s="223">
        <f>'10'!$F$39</f>
        <v>0</v>
      </c>
      <c r="C12" s="224">
        <f>'10'!$F$40</f>
        <v>0</v>
      </c>
      <c r="D12" s="217">
        <f t="shared" si="0"/>
        <v>0</v>
      </c>
      <c r="E12" s="225">
        <f>'10'!$F$43</f>
        <v>0</v>
      </c>
      <c r="F12" s="226">
        <f>'10'!$F$44</f>
        <v>0</v>
      </c>
      <c r="G12" s="227">
        <f>'10'!$F$48</f>
        <v>0</v>
      </c>
      <c r="H12" s="896">
        <f t="shared" si="1"/>
        <v>0</v>
      </c>
      <c r="I12" s="228">
        <f>'10'!$F$51</f>
        <v>0</v>
      </c>
      <c r="J12" s="228">
        <f>'10'!$F$5</f>
        <v>0</v>
      </c>
      <c r="K12" s="223">
        <f>'10'!$F$18</f>
        <v>0</v>
      </c>
      <c r="L12" s="223">
        <f>'10'!$F$17</f>
        <v>0</v>
      </c>
      <c r="M12" s="223">
        <f>'10'!$F$19</f>
        <v>0</v>
      </c>
      <c r="N12" s="283">
        <f>'10'!$F$21</f>
        <v>0</v>
      </c>
      <c r="O12" s="283">
        <f>'10'!$F$22</f>
        <v>0</v>
      </c>
      <c r="P12" s="280">
        <f t="shared" si="2"/>
        <v>0</v>
      </c>
      <c r="Q12" s="284">
        <f>'10'!$F$55</f>
        <v>0</v>
      </c>
      <c r="R12" s="291">
        <f>'10'!$F$54</f>
        <v>0</v>
      </c>
      <c r="S12" s="284">
        <f>'10'!$F$58</f>
        <v>0</v>
      </c>
      <c r="T12" s="285">
        <f>'10'!$F$70</f>
        <v>0</v>
      </c>
      <c r="U12" s="284">
        <f>'10'!$F$56</f>
        <v>0</v>
      </c>
      <c r="V12" s="285">
        <f>'10'!$F$57</f>
        <v>0</v>
      </c>
      <c r="W12" s="284">
        <f>'10'!$F$68</f>
        <v>0</v>
      </c>
      <c r="X12" s="285">
        <f>'10'!$F$69</f>
        <v>0</v>
      </c>
      <c r="Y12" s="285">
        <f>'10'!$F$53</f>
        <v>0</v>
      </c>
      <c r="Z12" s="900">
        <f>'10'!$E$18</f>
        <v>0</v>
      </c>
      <c r="AA12" s="294">
        <f>'10'!$E$17</f>
        <v>0</v>
      </c>
      <c r="AB12" s="900">
        <f>'10'!$E$19</f>
        <v>5051.5762407711245</v>
      </c>
      <c r="AC12" s="900">
        <f>'10'!$E$21</f>
        <v>47.130024610336342</v>
      </c>
      <c r="AD12" s="900">
        <f>'10'!$E$22</f>
        <v>0</v>
      </c>
      <c r="AF12" s="1007">
        <v>45787</v>
      </c>
      <c r="AG12" s="1004">
        <f>(('10'!$O$131)/4.184)*1000</f>
        <v>0</v>
      </c>
      <c r="AH12" s="1004">
        <f t="shared" si="3"/>
        <v>0</v>
      </c>
      <c r="AI12" s="1004">
        <v>0</v>
      </c>
      <c r="AJ12" s="1005">
        <f t="shared" si="4"/>
        <v>0</v>
      </c>
      <c r="AK12" s="1004">
        <f>'10'!$P$131</f>
        <v>0</v>
      </c>
    </row>
    <row r="13" spans="1:37">
      <c r="A13" s="222">
        <v>11</v>
      </c>
      <c r="B13" s="223">
        <f>'11'!$F$39</f>
        <v>0</v>
      </c>
      <c r="C13" s="224">
        <f>'11'!$F$40</f>
        <v>0</v>
      </c>
      <c r="D13" s="217">
        <f t="shared" si="0"/>
        <v>0</v>
      </c>
      <c r="E13" s="225">
        <f>'11'!$F$43</f>
        <v>0</v>
      </c>
      <c r="F13" s="226">
        <f>'11'!$F$44</f>
        <v>0</v>
      </c>
      <c r="G13" s="227">
        <f>'11'!$F$48</f>
        <v>0</v>
      </c>
      <c r="H13" s="896">
        <f t="shared" si="1"/>
        <v>0</v>
      </c>
      <c r="I13" s="228">
        <f>'11'!$F$51</f>
        <v>0</v>
      </c>
      <c r="J13" s="228">
        <f>'11'!$F$5</f>
        <v>0</v>
      </c>
      <c r="K13" s="223">
        <f>'11'!$F$18</f>
        <v>0</v>
      </c>
      <c r="L13" s="223">
        <f>'11'!$F$17</f>
        <v>0</v>
      </c>
      <c r="M13" s="223">
        <f>'11'!$F$19</f>
        <v>0</v>
      </c>
      <c r="N13" s="283">
        <f>'11'!$F$21</f>
        <v>0</v>
      </c>
      <c r="O13" s="283">
        <f>'11'!$F$22</f>
        <v>0</v>
      </c>
      <c r="P13" s="280">
        <f t="shared" si="2"/>
        <v>0</v>
      </c>
      <c r="Q13" s="284">
        <f>'11'!$F$55</f>
        <v>0</v>
      </c>
      <c r="R13" s="291">
        <f>'11'!$F$54</f>
        <v>0</v>
      </c>
      <c r="S13" s="284">
        <f>'11'!$F$58</f>
        <v>0</v>
      </c>
      <c r="T13" s="285">
        <f>'11'!$F$70</f>
        <v>0</v>
      </c>
      <c r="U13" s="284">
        <f>'11'!$F$56</f>
        <v>0</v>
      </c>
      <c r="V13" s="285">
        <f>'11'!$F$57</f>
        <v>0</v>
      </c>
      <c r="W13" s="284">
        <f>'11'!$F$68</f>
        <v>0</v>
      </c>
      <c r="X13" s="285">
        <f>'11'!$F$69</f>
        <v>0</v>
      </c>
      <c r="Y13" s="285">
        <f>'11'!$F$53</f>
        <v>0</v>
      </c>
      <c r="Z13" s="900">
        <f>'11'!$E$18</f>
        <v>0</v>
      </c>
      <c r="AA13" s="294">
        <f>'11'!$E$17</f>
        <v>0</v>
      </c>
      <c r="AB13" s="900">
        <f>'11'!$E$19</f>
        <v>5036.628537735849</v>
      </c>
      <c r="AC13" s="900">
        <f>'11'!$E$21</f>
        <v>46.990566037735846</v>
      </c>
      <c r="AD13" s="900">
        <f>'11'!$E$22</f>
        <v>0</v>
      </c>
      <c r="AF13" s="1007">
        <v>45788</v>
      </c>
      <c r="AG13" s="1004">
        <f>(('11'!$O$131)/4.184)*1000</f>
        <v>0</v>
      </c>
      <c r="AH13" s="1004">
        <f t="shared" si="3"/>
        <v>0</v>
      </c>
      <c r="AI13" s="1004">
        <v>0</v>
      </c>
      <c r="AJ13" s="1005">
        <f t="shared" si="4"/>
        <v>0</v>
      </c>
      <c r="AK13" s="1004">
        <f>'11'!$P$131</f>
        <v>0</v>
      </c>
    </row>
    <row r="14" spans="1:37">
      <c r="A14" s="222">
        <v>12</v>
      </c>
      <c r="B14" s="223">
        <f>'12'!$F$39</f>
        <v>0</v>
      </c>
      <c r="C14" s="224">
        <f>'12'!$F$40</f>
        <v>0</v>
      </c>
      <c r="D14" s="217">
        <f t="shared" si="0"/>
        <v>0</v>
      </c>
      <c r="E14" s="225">
        <f>'12'!$F$43</f>
        <v>0</v>
      </c>
      <c r="F14" s="226">
        <f>'12'!$F$44</f>
        <v>0</v>
      </c>
      <c r="G14" s="227">
        <f>'12'!$F$48</f>
        <v>0</v>
      </c>
      <c r="H14" s="896">
        <f t="shared" si="1"/>
        <v>0</v>
      </c>
      <c r="I14" s="228">
        <f>'12'!$F$51</f>
        <v>0</v>
      </c>
      <c r="J14" s="228">
        <f>'12'!$F$5</f>
        <v>0</v>
      </c>
      <c r="K14" s="223">
        <f>'12'!$F$18</f>
        <v>0</v>
      </c>
      <c r="L14" s="223">
        <f>'12'!$F$17</f>
        <v>0</v>
      </c>
      <c r="M14" s="223">
        <f>'12'!$F$19</f>
        <v>0</v>
      </c>
      <c r="N14" s="283">
        <f>'12'!$F$21</f>
        <v>0</v>
      </c>
      <c r="O14" s="283">
        <f>'12'!$F$22</f>
        <v>0</v>
      </c>
      <c r="P14" s="280">
        <f t="shared" si="2"/>
        <v>0</v>
      </c>
      <c r="Q14" s="284">
        <f>'12'!$F$55</f>
        <v>0</v>
      </c>
      <c r="R14" s="291">
        <f>'12'!$F$54</f>
        <v>0</v>
      </c>
      <c r="S14" s="284">
        <f>'12'!$F$58</f>
        <v>0</v>
      </c>
      <c r="T14" s="285">
        <f>'12'!$F$70</f>
        <v>0</v>
      </c>
      <c r="U14" s="284">
        <f>'12'!$F$56</f>
        <v>0</v>
      </c>
      <c r="V14" s="285">
        <f>'12'!$F$57</f>
        <v>0</v>
      </c>
      <c r="W14" s="284">
        <f>'12'!$F$68</f>
        <v>0</v>
      </c>
      <c r="X14" s="285">
        <f>'12'!$F$69</f>
        <v>0</v>
      </c>
      <c r="Y14" s="285">
        <f>'12'!$F$53</f>
        <v>0</v>
      </c>
      <c r="Z14" s="900">
        <f>'12'!$E$18</f>
        <v>0</v>
      </c>
      <c r="AA14" s="294">
        <f>'12'!$E$17</f>
        <v>0</v>
      </c>
      <c r="AB14" s="900">
        <f>'12'!$E$19</f>
        <v>4836.3293170631659</v>
      </c>
      <c r="AC14" s="900">
        <f>'12'!$E$21</f>
        <v>45.121821164889248</v>
      </c>
      <c r="AD14" s="900">
        <f>'12'!$E$22</f>
        <v>0</v>
      </c>
      <c r="AF14" s="1007">
        <v>45789</v>
      </c>
      <c r="AG14" s="1004">
        <f>(('12'!$O$131)/4.184)*1000</f>
        <v>0</v>
      </c>
      <c r="AH14" s="1004">
        <f t="shared" si="3"/>
        <v>0</v>
      </c>
      <c r="AI14" s="1004">
        <v>0</v>
      </c>
      <c r="AJ14" s="1005">
        <f t="shared" si="4"/>
        <v>0</v>
      </c>
      <c r="AK14" s="1004">
        <f>'12'!$P$131</f>
        <v>0</v>
      </c>
    </row>
    <row r="15" spans="1:37">
      <c r="A15" s="222">
        <v>13</v>
      </c>
      <c r="B15" s="223">
        <f>'13'!$F$39</f>
        <v>0</v>
      </c>
      <c r="C15" s="224">
        <f>'13'!$F$40</f>
        <v>0</v>
      </c>
      <c r="D15" s="217">
        <f t="shared" si="0"/>
        <v>0</v>
      </c>
      <c r="E15" s="225">
        <f>'13'!$F$43</f>
        <v>0</v>
      </c>
      <c r="F15" s="226">
        <f>'13'!$F$44</f>
        <v>0</v>
      </c>
      <c r="G15" s="227">
        <f>'13'!$F$48</f>
        <v>0</v>
      </c>
      <c r="H15" s="896">
        <f t="shared" si="1"/>
        <v>0</v>
      </c>
      <c r="I15" s="228">
        <f>'13'!$F$51</f>
        <v>0</v>
      </c>
      <c r="J15" s="228">
        <f>'13'!$F$5</f>
        <v>0</v>
      </c>
      <c r="K15" s="223">
        <f>'13'!$F$18</f>
        <v>0</v>
      </c>
      <c r="L15" s="223">
        <f>'13'!$F$17</f>
        <v>0</v>
      </c>
      <c r="M15" s="223">
        <f>'13'!$F$19</f>
        <v>0</v>
      </c>
      <c r="N15" s="283">
        <f>'13'!$F$21</f>
        <v>0</v>
      </c>
      <c r="O15" s="283">
        <f>'13'!$F$22</f>
        <v>0</v>
      </c>
      <c r="P15" s="280">
        <f t="shared" si="2"/>
        <v>0</v>
      </c>
      <c r="Q15" s="284">
        <f>'13'!$F$55</f>
        <v>0</v>
      </c>
      <c r="R15" s="291">
        <f>'13'!$F$54</f>
        <v>0</v>
      </c>
      <c r="S15" s="284">
        <f>'13'!$F$58</f>
        <v>0</v>
      </c>
      <c r="T15" s="285">
        <f>'13'!$F$70</f>
        <v>0</v>
      </c>
      <c r="U15" s="284">
        <f>'13'!$F$56</f>
        <v>0</v>
      </c>
      <c r="V15" s="285">
        <f>'13'!$F$57</f>
        <v>0</v>
      </c>
      <c r="W15" s="284">
        <f>'13'!$F$68</f>
        <v>0</v>
      </c>
      <c r="X15" s="285">
        <f>'13'!$F$69</f>
        <v>0</v>
      </c>
      <c r="Y15" s="285">
        <f>'13'!$F$53</f>
        <v>0</v>
      </c>
      <c r="Z15" s="900">
        <f>'13'!$E$18</f>
        <v>0</v>
      </c>
      <c r="AA15" s="294">
        <f>'13'!$E$17</f>
        <v>0</v>
      </c>
      <c r="AB15" s="900">
        <f>'13'!$E$19</f>
        <v>5109.872282608696</v>
      </c>
      <c r="AC15" s="900">
        <f>'13'!$E$21</f>
        <v>47.673913043478258</v>
      </c>
      <c r="AD15" s="900">
        <f>'13'!$E$22</f>
        <v>0</v>
      </c>
      <c r="AF15" s="1007">
        <v>45790</v>
      </c>
      <c r="AG15" s="1004">
        <f>(('13'!$O$131)/4.184)*1000</f>
        <v>0</v>
      </c>
      <c r="AH15" s="1004">
        <f t="shared" si="3"/>
        <v>0</v>
      </c>
      <c r="AI15" s="1004">
        <v>0</v>
      </c>
      <c r="AJ15" s="1005">
        <f t="shared" si="4"/>
        <v>0</v>
      </c>
      <c r="AK15" s="1004">
        <f>'13'!$P$131</f>
        <v>0</v>
      </c>
    </row>
    <row r="16" spans="1:37">
      <c r="A16" s="222">
        <v>14</v>
      </c>
      <c r="B16" s="223">
        <f>'14'!$F$39</f>
        <v>0</v>
      </c>
      <c r="C16" s="224">
        <f>'14'!$F$40</f>
        <v>0</v>
      </c>
      <c r="D16" s="217">
        <f t="shared" si="0"/>
        <v>0</v>
      </c>
      <c r="E16" s="225">
        <f>'14'!$F$43</f>
        <v>0</v>
      </c>
      <c r="F16" s="226">
        <f>'14'!$F$44</f>
        <v>0</v>
      </c>
      <c r="G16" s="227">
        <f>'14'!$F$48</f>
        <v>0</v>
      </c>
      <c r="H16" s="896">
        <f t="shared" si="1"/>
        <v>0</v>
      </c>
      <c r="I16" s="228">
        <f>'14'!$F$51</f>
        <v>0</v>
      </c>
      <c r="J16" s="228">
        <f>'14'!$F$5</f>
        <v>0</v>
      </c>
      <c r="K16" s="223">
        <f>'14'!$F$18</f>
        <v>0</v>
      </c>
      <c r="L16" s="223">
        <f>'14'!$F$17</f>
        <v>0</v>
      </c>
      <c r="M16" s="223">
        <f>'14'!$F$19</f>
        <v>0</v>
      </c>
      <c r="N16" s="283">
        <f>'14'!$F$21</f>
        <v>0</v>
      </c>
      <c r="O16" s="283">
        <f>'14'!$F$22</f>
        <v>0</v>
      </c>
      <c r="P16" s="280">
        <f t="shared" si="2"/>
        <v>0</v>
      </c>
      <c r="Q16" s="284">
        <f>'14'!$F$55</f>
        <v>0</v>
      </c>
      <c r="R16" s="291">
        <f>'14'!$F$54</f>
        <v>0</v>
      </c>
      <c r="S16" s="284">
        <f>'14'!$F$58</f>
        <v>0</v>
      </c>
      <c r="T16" s="285">
        <f>'14'!$F$70</f>
        <v>0</v>
      </c>
      <c r="U16" s="284">
        <f>'14'!$F$56</f>
        <v>0</v>
      </c>
      <c r="V16" s="285">
        <f>'14'!$F$57</f>
        <v>0</v>
      </c>
      <c r="W16" s="284">
        <f>'14'!$F$68</f>
        <v>0</v>
      </c>
      <c r="X16" s="285">
        <f>'14'!$F$69</f>
        <v>0</v>
      </c>
      <c r="Y16" s="285">
        <f>'14'!$F$53</f>
        <v>0</v>
      </c>
      <c r="Z16" s="900">
        <f>'14'!$E$18</f>
        <v>0</v>
      </c>
      <c r="AA16" s="294">
        <f>'14'!$E$17</f>
        <v>0</v>
      </c>
      <c r="AB16" s="900">
        <f>'14'!$E$19</f>
        <v>5263.8336238720258</v>
      </c>
      <c r="AC16" s="900">
        <f>'14'!$E$21</f>
        <v>49.110336341263327</v>
      </c>
      <c r="AD16" s="900">
        <f>'14'!$E$22</f>
        <v>0</v>
      </c>
      <c r="AF16" s="1007">
        <v>45791</v>
      </c>
      <c r="AG16" s="1004">
        <f>(('14'!$O$131)/4.184)*1000</f>
        <v>0</v>
      </c>
      <c r="AH16" s="1004">
        <f t="shared" si="3"/>
        <v>0</v>
      </c>
      <c r="AI16" s="1004">
        <v>0</v>
      </c>
      <c r="AJ16" s="1005">
        <f t="shared" si="4"/>
        <v>0</v>
      </c>
      <c r="AK16" s="1004">
        <f>'14'!$P$131</f>
        <v>0</v>
      </c>
    </row>
    <row r="17" spans="1:37">
      <c r="A17" s="222">
        <v>15</v>
      </c>
      <c r="B17" s="223">
        <f>'15'!$F$39</f>
        <v>0</v>
      </c>
      <c r="C17" s="224">
        <f>'15'!$F$40</f>
        <v>0</v>
      </c>
      <c r="D17" s="217">
        <f t="shared" si="0"/>
        <v>0</v>
      </c>
      <c r="E17" s="225">
        <f>'15'!$F$43</f>
        <v>0</v>
      </c>
      <c r="F17" s="226">
        <f>'15'!$F$44</f>
        <v>0</v>
      </c>
      <c r="G17" s="227">
        <f>'15'!$F$48</f>
        <v>0</v>
      </c>
      <c r="H17" s="896">
        <f t="shared" si="1"/>
        <v>0</v>
      </c>
      <c r="I17" s="228">
        <f>'15'!$F$51</f>
        <v>0</v>
      </c>
      <c r="J17" s="228">
        <f>'15'!$F$5</f>
        <v>0</v>
      </c>
      <c r="K17" s="223">
        <f>'15'!$F$18</f>
        <v>0</v>
      </c>
      <c r="L17" s="223">
        <f>'15'!$F$17</f>
        <v>0</v>
      </c>
      <c r="M17" s="223">
        <f>'15'!$F$19</f>
        <v>0</v>
      </c>
      <c r="N17" s="283">
        <f>'15'!$F$21</f>
        <v>0</v>
      </c>
      <c r="O17" s="283">
        <f>'15'!$F$22</f>
        <v>0</v>
      </c>
      <c r="P17" s="280">
        <f t="shared" si="2"/>
        <v>0</v>
      </c>
      <c r="Q17" s="284">
        <f>'15'!$F$55</f>
        <v>0</v>
      </c>
      <c r="R17" s="291">
        <f>'15'!$F$54</f>
        <v>0</v>
      </c>
      <c r="S17" s="284">
        <f>'15'!$F$58</f>
        <v>0</v>
      </c>
      <c r="T17" s="285">
        <f>'15'!$F$70</f>
        <v>0</v>
      </c>
      <c r="U17" s="284">
        <f>'15'!$F$56</f>
        <v>0</v>
      </c>
      <c r="V17" s="285">
        <f>'15'!$F$57</f>
        <v>0</v>
      </c>
      <c r="W17" s="284">
        <f>'15'!$F$68</f>
        <v>0</v>
      </c>
      <c r="X17" s="285">
        <f>'15'!$F$69</f>
        <v>0</v>
      </c>
      <c r="Y17" s="285">
        <f>'15'!$F$53</f>
        <v>0</v>
      </c>
      <c r="Z17" s="900">
        <f>'15'!$E$18</f>
        <v>0</v>
      </c>
      <c r="AA17" s="294">
        <f>'15'!$E$17</f>
        <v>0</v>
      </c>
      <c r="AB17" s="900">
        <f>'15'!$E$19</f>
        <v>4904.3413658736663</v>
      </c>
      <c r="AC17" s="900">
        <f>'15'!$E$21</f>
        <v>45.75635767022149</v>
      </c>
      <c r="AD17" s="900">
        <f>'15'!$E$22</f>
        <v>0</v>
      </c>
      <c r="AF17" s="1007">
        <v>45792</v>
      </c>
      <c r="AG17" s="1004">
        <f>(('15'!$O$131)/4.184)*1000</f>
        <v>0</v>
      </c>
      <c r="AH17" s="1004">
        <f t="shared" si="3"/>
        <v>0</v>
      </c>
      <c r="AI17" s="1004">
        <v>0</v>
      </c>
      <c r="AJ17" s="1005">
        <f t="shared" si="4"/>
        <v>0</v>
      </c>
      <c r="AK17" s="1004">
        <f>'15'!$P$131</f>
        <v>0</v>
      </c>
    </row>
    <row r="18" spans="1:37">
      <c r="A18" s="222">
        <v>16</v>
      </c>
      <c r="B18" s="223">
        <f>'16'!$F$39</f>
        <v>0</v>
      </c>
      <c r="C18" s="224">
        <f>'16'!$F$40</f>
        <v>0</v>
      </c>
      <c r="D18" s="217">
        <f t="shared" si="0"/>
        <v>0</v>
      </c>
      <c r="E18" s="225">
        <f>'16'!$F$43</f>
        <v>0</v>
      </c>
      <c r="F18" s="226">
        <f>'16'!$F$44</f>
        <v>0</v>
      </c>
      <c r="G18" s="227">
        <f>'16'!$F$48</f>
        <v>0</v>
      </c>
      <c r="H18" s="896">
        <f t="shared" si="1"/>
        <v>0</v>
      </c>
      <c r="I18" s="228">
        <f>'16'!$F$51</f>
        <v>0</v>
      </c>
      <c r="J18" s="228">
        <f>'16'!$F$5</f>
        <v>0</v>
      </c>
      <c r="K18" s="223">
        <f>'16'!$F$18</f>
        <v>0</v>
      </c>
      <c r="L18" s="223">
        <f>'16'!$F$17</f>
        <v>0</v>
      </c>
      <c r="M18" s="223">
        <f>'16'!$F$19</f>
        <v>0</v>
      </c>
      <c r="N18" s="283">
        <f>'16'!$F$21</f>
        <v>0</v>
      </c>
      <c r="O18" s="283">
        <f>'16'!$F$22</f>
        <v>0</v>
      </c>
      <c r="P18" s="280">
        <f t="shared" si="2"/>
        <v>0</v>
      </c>
      <c r="Q18" s="284">
        <f>'16'!$F$55</f>
        <v>0</v>
      </c>
      <c r="R18" s="291">
        <f>'16'!$F$54</f>
        <v>0</v>
      </c>
      <c r="S18" s="284">
        <f>'16'!$F$58</f>
        <v>0</v>
      </c>
      <c r="T18" s="285">
        <f>'16'!$F$70</f>
        <v>0</v>
      </c>
      <c r="U18" s="284">
        <f>'16'!$F$56</f>
        <v>0</v>
      </c>
      <c r="V18" s="285">
        <f>'16'!$F$57</f>
        <v>0</v>
      </c>
      <c r="W18" s="284">
        <f>'16'!$F$68</f>
        <v>0</v>
      </c>
      <c r="X18" s="285">
        <f>'16'!$F$69</f>
        <v>0</v>
      </c>
      <c r="Y18" s="285">
        <f>'16'!$F$53</f>
        <v>0</v>
      </c>
      <c r="Z18" s="900">
        <f>'16'!$E$18</f>
        <v>0</v>
      </c>
      <c r="AA18" s="294">
        <f>'16'!$E$17</f>
        <v>0</v>
      </c>
      <c r="AB18" s="900">
        <f>'16'!$E$19</f>
        <v>3248.8832547169814</v>
      </c>
      <c r="AC18" s="900">
        <f>'16'!$E$21</f>
        <v>30.311320754716977</v>
      </c>
      <c r="AD18" s="900">
        <f>'16'!$E$22</f>
        <v>0</v>
      </c>
      <c r="AF18" s="1007">
        <v>45793</v>
      </c>
      <c r="AG18" s="1004">
        <f>(('16'!$O$131)/4.184)*1000</f>
        <v>0</v>
      </c>
      <c r="AH18" s="1004">
        <f t="shared" si="3"/>
        <v>0</v>
      </c>
      <c r="AI18" s="1004">
        <v>0</v>
      </c>
      <c r="AJ18" s="1005">
        <f t="shared" si="4"/>
        <v>0</v>
      </c>
      <c r="AK18" s="1004">
        <f>'16'!$P$131</f>
        <v>0</v>
      </c>
    </row>
    <row r="19" spans="1:37">
      <c r="A19" s="222">
        <v>17</v>
      </c>
      <c r="B19" s="223">
        <f>'17'!$F$39</f>
        <v>0</v>
      </c>
      <c r="C19" s="224">
        <f>'17'!$F$40</f>
        <v>0</v>
      </c>
      <c r="D19" s="217">
        <f t="shared" si="0"/>
        <v>0</v>
      </c>
      <c r="E19" s="225">
        <f>'17'!$F$43</f>
        <v>0</v>
      </c>
      <c r="F19" s="226">
        <f>'17'!$F$44</f>
        <v>0</v>
      </c>
      <c r="G19" s="227">
        <f>'17'!$F$48</f>
        <v>0</v>
      </c>
      <c r="H19" s="896">
        <f t="shared" si="1"/>
        <v>0</v>
      </c>
      <c r="I19" s="228">
        <f>'17'!$F$51</f>
        <v>0</v>
      </c>
      <c r="J19" s="228">
        <f>'17'!$F$5</f>
        <v>0</v>
      </c>
      <c r="K19" s="223">
        <f>'17'!$F$18</f>
        <v>0</v>
      </c>
      <c r="L19" s="223">
        <f>'17'!$F$17</f>
        <v>0</v>
      </c>
      <c r="M19" s="223">
        <f>'17'!$F$19</f>
        <v>0</v>
      </c>
      <c r="N19" s="283">
        <f>'17'!$F$21</f>
        <v>0</v>
      </c>
      <c r="O19" s="283">
        <f>'17'!$F$22</f>
        <v>0</v>
      </c>
      <c r="P19" s="280">
        <f t="shared" si="2"/>
        <v>0</v>
      </c>
      <c r="Q19" s="284">
        <f>'17'!$F$55</f>
        <v>0</v>
      </c>
      <c r="R19" s="291">
        <f>'17'!$F$54</f>
        <v>0</v>
      </c>
      <c r="S19" s="284">
        <f>'17'!$F$58</f>
        <v>0</v>
      </c>
      <c r="T19" s="285">
        <f>'17'!$F$70</f>
        <v>0</v>
      </c>
      <c r="U19" s="284">
        <f>'17'!$F$56</f>
        <v>0</v>
      </c>
      <c r="V19" s="285">
        <f>'17'!$F$57</f>
        <v>0</v>
      </c>
      <c r="W19" s="284">
        <f>'17'!$F$68</f>
        <v>0</v>
      </c>
      <c r="X19" s="285">
        <f>'17'!$F$69</f>
        <v>0</v>
      </c>
      <c r="Y19" s="285">
        <f>'17'!$F$53</f>
        <v>0</v>
      </c>
      <c r="Z19" s="900">
        <f>'17'!$E$18</f>
        <v>0</v>
      </c>
      <c r="AA19" s="294">
        <f>'17'!$E$17</f>
        <v>0</v>
      </c>
      <c r="AB19" s="900">
        <f>'17'!$E$19</f>
        <v>4822.8763843314191</v>
      </c>
      <c r="AC19" s="900">
        <f>'17'!$E$21</f>
        <v>44.996308449548806</v>
      </c>
      <c r="AD19" s="900">
        <f>'17'!$E$22</f>
        <v>0</v>
      </c>
      <c r="AF19" s="1007">
        <v>45794</v>
      </c>
      <c r="AG19" s="1004">
        <f>(('17'!$O$131)/4.184)*1000</f>
        <v>0</v>
      </c>
      <c r="AH19" s="1004">
        <f t="shared" si="3"/>
        <v>0</v>
      </c>
      <c r="AI19" s="1004">
        <v>0</v>
      </c>
      <c r="AJ19" s="1005">
        <f t="shared" si="4"/>
        <v>0</v>
      </c>
      <c r="AK19" s="1004">
        <f>'17'!$P$131</f>
        <v>0</v>
      </c>
    </row>
    <row r="20" spans="1:37">
      <c r="A20" s="222">
        <v>18</v>
      </c>
      <c r="B20" s="223">
        <f>'18'!$F$39</f>
        <v>0</v>
      </c>
      <c r="C20" s="224">
        <f>'18'!$F$40</f>
        <v>0</v>
      </c>
      <c r="D20" s="217">
        <f t="shared" si="0"/>
        <v>0</v>
      </c>
      <c r="E20" s="225">
        <f>'18'!$F$43</f>
        <v>0</v>
      </c>
      <c r="F20" s="226">
        <f>'18'!$F$44</f>
        <v>0</v>
      </c>
      <c r="G20" s="227">
        <f>'18'!$F$48</f>
        <v>0</v>
      </c>
      <c r="H20" s="896">
        <f t="shared" si="1"/>
        <v>0</v>
      </c>
      <c r="I20" s="228">
        <f>'18'!$F$51</f>
        <v>0</v>
      </c>
      <c r="J20" s="228">
        <f>'18'!$F$5</f>
        <v>0</v>
      </c>
      <c r="K20" s="223">
        <f>'18'!$F$18</f>
        <v>0</v>
      </c>
      <c r="L20" s="223">
        <f>'18'!$F$17</f>
        <v>0</v>
      </c>
      <c r="M20" s="223">
        <f>'18'!$F$19</f>
        <v>0</v>
      </c>
      <c r="N20" s="283">
        <f>'18'!$F$21</f>
        <v>0</v>
      </c>
      <c r="O20" s="283">
        <f>'18'!$F$22</f>
        <v>0</v>
      </c>
      <c r="P20" s="280">
        <f t="shared" si="2"/>
        <v>0</v>
      </c>
      <c r="Q20" s="284">
        <f>'18'!$F$55</f>
        <v>0</v>
      </c>
      <c r="R20" s="291">
        <f>'18'!$F$54</f>
        <v>0</v>
      </c>
      <c r="S20" s="284">
        <f>'18'!$F$58</f>
        <v>0</v>
      </c>
      <c r="T20" s="285">
        <f>'18'!$F$70</f>
        <v>0</v>
      </c>
      <c r="U20" s="284">
        <f>'18'!$F$56</f>
        <v>0</v>
      </c>
      <c r="V20" s="285">
        <f>'18'!$F$57</f>
        <v>0</v>
      </c>
      <c r="W20" s="284">
        <f>'18'!$F$68</f>
        <v>0</v>
      </c>
      <c r="X20" s="285">
        <f>'18'!$F$69</f>
        <v>0</v>
      </c>
      <c r="Y20" s="285">
        <f>'18'!$F$53</f>
        <v>0</v>
      </c>
      <c r="Z20" s="900">
        <f>'18'!$E$18</f>
        <v>0</v>
      </c>
      <c r="AA20" s="294">
        <f>'18'!$E$17</f>
        <v>0</v>
      </c>
      <c r="AB20" s="900">
        <f>'18'!$E$19</f>
        <v>5147.2415401968829</v>
      </c>
      <c r="AC20" s="900">
        <f>'18'!$E$21</f>
        <v>48.022559474979481</v>
      </c>
      <c r="AD20" s="900">
        <f>'18'!$E$22</f>
        <v>1100</v>
      </c>
      <c r="AF20" s="1007">
        <v>45795</v>
      </c>
      <c r="AG20" s="1004">
        <f>(('18'!$O$131)/4.184)*1000</f>
        <v>0</v>
      </c>
      <c r="AH20" s="1004">
        <f t="shared" si="3"/>
        <v>0</v>
      </c>
      <c r="AI20" s="1004">
        <v>0</v>
      </c>
      <c r="AJ20" s="1005">
        <f t="shared" si="4"/>
        <v>0</v>
      </c>
      <c r="AK20" s="1004">
        <f>'18'!$P$131</f>
        <v>0</v>
      </c>
    </row>
    <row r="21" spans="1:37">
      <c r="A21" s="222">
        <v>19</v>
      </c>
      <c r="B21" s="223">
        <f>'19'!$F$39</f>
        <v>0</v>
      </c>
      <c r="C21" s="224">
        <f>'19'!$F$40</f>
        <v>0</v>
      </c>
      <c r="D21" s="217">
        <f t="shared" si="0"/>
        <v>0</v>
      </c>
      <c r="E21" s="225">
        <f>'19'!$F$43</f>
        <v>0</v>
      </c>
      <c r="F21" s="226">
        <f>'19'!$F$44</f>
        <v>0</v>
      </c>
      <c r="G21" s="227">
        <f>'19'!$F$48</f>
        <v>0</v>
      </c>
      <c r="H21" s="896">
        <f t="shared" si="1"/>
        <v>0</v>
      </c>
      <c r="I21" s="228">
        <f>'19'!$F$51</f>
        <v>0</v>
      </c>
      <c r="J21" s="228">
        <f>'19'!$F$5</f>
        <v>0</v>
      </c>
      <c r="K21" s="223">
        <f>'19'!$F$18</f>
        <v>0</v>
      </c>
      <c r="L21" s="223">
        <f>'19'!$F$17</f>
        <v>0</v>
      </c>
      <c r="M21" s="223">
        <f>'19'!$F$19</f>
        <v>0</v>
      </c>
      <c r="N21" s="283">
        <f>'19'!$F$21</f>
        <v>0</v>
      </c>
      <c r="O21" s="283">
        <f>'19'!$F$22</f>
        <v>0</v>
      </c>
      <c r="P21" s="280">
        <f t="shared" si="2"/>
        <v>0</v>
      </c>
      <c r="Q21" s="284">
        <f>'19'!$F$55</f>
        <v>0</v>
      </c>
      <c r="R21" s="291">
        <f>'19'!$F$54</f>
        <v>0</v>
      </c>
      <c r="S21" s="284">
        <f>'19'!$F$58</f>
        <v>0</v>
      </c>
      <c r="T21" s="285">
        <f>'19'!$F$70</f>
        <v>0</v>
      </c>
      <c r="U21" s="284">
        <f>'19'!$F$56</f>
        <v>0</v>
      </c>
      <c r="V21" s="285">
        <f>'19'!$F$57</f>
        <v>0</v>
      </c>
      <c r="W21" s="284">
        <f>'19'!$F$68</f>
        <v>0</v>
      </c>
      <c r="X21" s="285">
        <f>'19'!$F$69</f>
        <v>0</v>
      </c>
      <c r="Y21" s="285">
        <f>'19'!$F$53</f>
        <v>0</v>
      </c>
      <c r="Z21" s="900">
        <f>'19'!$E$18</f>
        <v>0</v>
      </c>
      <c r="AA21" s="294">
        <f>'19'!$E$17</f>
        <v>0</v>
      </c>
      <c r="AB21" s="900">
        <f>'19'!$E$19</f>
        <v>4849.7822497949137</v>
      </c>
      <c r="AC21" s="900">
        <f>'19'!$E$21</f>
        <v>45.247333880229696</v>
      </c>
      <c r="AD21" s="900">
        <f>'19'!$E$22</f>
        <v>0</v>
      </c>
      <c r="AF21" s="1007">
        <v>45796</v>
      </c>
      <c r="AG21" s="1004">
        <f>(('19'!$O$131)/4.184)*1000</f>
        <v>0</v>
      </c>
      <c r="AH21" s="1004">
        <f t="shared" si="3"/>
        <v>0</v>
      </c>
      <c r="AI21" s="1004">
        <v>0</v>
      </c>
      <c r="AJ21" s="1005">
        <f t="shared" si="4"/>
        <v>0</v>
      </c>
      <c r="AK21" s="1004">
        <f>'19'!$P$131</f>
        <v>0</v>
      </c>
    </row>
    <row r="22" spans="1:37">
      <c r="A22" s="222">
        <v>20</v>
      </c>
      <c r="B22" s="223">
        <f>'20'!$F$39</f>
        <v>0</v>
      </c>
      <c r="C22" s="224">
        <f>'20'!$F$40</f>
        <v>0</v>
      </c>
      <c r="D22" s="217">
        <f t="shared" si="0"/>
        <v>0</v>
      </c>
      <c r="E22" s="225">
        <f>'20'!$F$43</f>
        <v>0</v>
      </c>
      <c r="F22" s="226">
        <f>'20'!$F$44</f>
        <v>0</v>
      </c>
      <c r="G22" s="227">
        <f>'20'!$F$48</f>
        <v>0</v>
      </c>
      <c r="H22" s="896">
        <f t="shared" si="1"/>
        <v>0</v>
      </c>
      <c r="I22" s="228">
        <f>'20'!$F$51</f>
        <v>0</v>
      </c>
      <c r="J22" s="228">
        <f>'20'!$F$5</f>
        <v>0</v>
      </c>
      <c r="K22" s="223">
        <f>'20'!$F$18</f>
        <v>0</v>
      </c>
      <c r="L22" s="223">
        <f>'20'!$F$17</f>
        <v>0</v>
      </c>
      <c r="M22" s="223">
        <f>'20'!$F$19</f>
        <v>0</v>
      </c>
      <c r="N22" s="283">
        <f>'20'!$F$21</f>
        <v>0</v>
      </c>
      <c r="O22" s="283">
        <f>'20'!$F$22</f>
        <v>0</v>
      </c>
      <c r="P22" s="280">
        <f t="shared" si="2"/>
        <v>0</v>
      </c>
      <c r="Q22" s="284">
        <f>'20'!$F$55</f>
        <v>0</v>
      </c>
      <c r="R22" s="291">
        <f>'20'!$F$54</f>
        <v>0</v>
      </c>
      <c r="S22" s="284">
        <f>'20'!$F$58</f>
        <v>0</v>
      </c>
      <c r="T22" s="285">
        <f>'20'!$F$70</f>
        <v>0</v>
      </c>
      <c r="U22" s="284">
        <f>'20'!$F$56</f>
        <v>0</v>
      </c>
      <c r="V22" s="285">
        <f>'20'!$F$57</f>
        <v>0</v>
      </c>
      <c r="W22" s="284">
        <f>'20'!$F$68</f>
        <v>0</v>
      </c>
      <c r="X22" s="285">
        <f>'20'!$F$69</f>
        <v>0</v>
      </c>
      <c r="Y22" s="285">
        <f>'20'!$F$53</f>
        <v>0</v>
      </c>
      <c r="Z22" s="900">
        <f>'20'!$E$18</f>
        <v>0</v>
      </c>
      <c r="AA22" s="294">
        <f>'20'!$E$17</f>
        <v>0</v>
      </c>
      <c r="AB22" s="900">
        <f>'20'!$E$19</f>
        <v>5050.0814704675959</v>
      </c>
      <c r="AC22" s="900">
        <f>'20'!$E$21</f>
        <v>47.116078753076287</v>
      </c>
      <c r="AD22" s="900">
        <f>'20'!$E$22</f>
        <v>0</v>
      </c>
      <c r="AF22" s="1007">
        <v>45797</v>
      </c>
      <c r="AG22" s="1004">
        <f>(('20'!$O$131)/4.184)*1000</f>
        <v>0</v>
      </c>
      <c r="AH22" s="1004">
        <f t="shared" si="3"/>
        <v>0</v>
      </c>
      <c r="AI22" s="1004">
        <v>0</v>
      </c>
      <c r="AJ22" s="1005">
        <f t="shared" si="4"/>
        <v>0</v>
      </c>
      <c r="AK22" s="1004">
        <f>'20'!$P$131</f>
        <v>0</v>
      </c>
    </row>
    <row r="23" spans="1:37">
      <c r="A23" s="222">
        <v>21</v>
      </c>
      <c r="B23" s="223">
        <f>'21'!$F$39</f>
        <v>0</v>
      </c>
      <c r="C23" s="224">
        <f>'21'!$F$40</f>
        <v>0</v>
      </c>
      <c r="D23" s="217">
        <f t="shared" si="0"/>
        <v>0</v>
      </c>
      <c r="E23" s="225">
        <f>'21'!$F$43</f>
        <v>0</v>
      </c>
      <c r="F23" s="226">
        <f>'21'!$F$44</f>
        <v>0</v>
      </c>
      <c r="G23" s="227">
        <f>'21'!$F$48</f>
        <v>0</v>
      </c>
      <c r="H23" s="896">
        <f t="shared" si="1"/>
        <v>0</v>
      </c>
      <c r="I23" s="228">
        <f>'21'!$F$51</f>
        <v>0</v>
      </c>
      <c r="J23" s="228">
        <f>'21'!$F$5</f>
        <v>0</v>
      </c>
      <c r="K23" s="223">
        <f>'21'!$F$18</f>
        <v>0</v>
      </c>
      <c r="L23" s="223">
        <f>'21'!$F$17</f>
        <v>0</v>
      </c>
      <c r="M23" s="223">
        <f>'21'!$F$19</f>
        <v>0</v>
      </c>
      <c r="N23" s="283">
        <f>'21'!$F$21</f>
        <v>0</v>
      </c>
      <c r="O23" s="283">
        <f>'21'!$F$22</f>
        <v>0</v>
      </c>
      <c r="P23" s="280">
        <f t="shared" si="2"/>
        <v>0</v>
      </c>
      <c r="Q23" s="284">
        <f>'21'!$F$55</f>
        <v>0</v>
      </c>
      <c r="R23" s="291">
        <f>'21'!$F$54</f>
        <v>0</v>
      </c>
      <c r="S23" s="284">
        <f>'21'!$F$58</f>
        <v>0</v>
      </c>
      <c r="T23" s="285">
        <f>'21'!$F$70</f>
        <v>0</v>
      </c>
      <c r="U23" s="284">
        <f>'21'!$F$56</f>
        <v>0</v>
      </c>
      <c r="V23" s="285">
        <f>'21'!$F$57</f>
        <v>0</v>
      </c>
      <c r="W23" s="284">
        <f>'21'!$F$68</f>
        <v>0</v>
      </c>
      <c r="X23" s="285">
        <f>'21'!$F$69</f>
        <v>0</v>
      </c>
      <c r="Y23" s="285">
        <f>'21'!$F$53</f>
        <v>0</v>
      </c>
      <c r="Z23" s="900">
        <f>'21'!$E$18</f>
        <v>0</v>
      </c>
      <c r="AA23" s="294">
        <f>'21'!$E$17</f>
        <v>0</v>
      </c>
      <c r="AB23" s="900">
        <f>'21'!$E$19</f>
        <v>5187.6003383921252</v>
      </c>
      <c r="AC23" s="900">
        <f>'21'!$E$21</f>
        <v>48.39909762100082</v>
      </c>
      <c r="AD23" s="900">
        <f>'21'!$E$22</f>
        <v>0</v>
      </c>
      <c r="AF23" s="1007">
        <v>45798</v>
      </c>
      <c r="AG23" s="1004">
        <f>(('21'!$O$131)/4.184)*1000</f>
        <v>0</v>
      </c>
      <c r="AH23" s="1004">
        <f t="shared" si="3"/>
        <v>0</v>
      </c>
      <c r="AI23" s="1004">
        <v>0</v>
      </c>
      <c r="AJ23" s="1005">
        <f t="shared" si="4"/>
        <v>0</v>
      </c>
      <c r="AK23" s="1004">
        <f>'21'!$P$131</f>
        <v>0</v>
      </c>
    </row>
    <row r="24" spans="1:37">
      <c r="A24" s="222">
        <v>22</v>
      </c>
      <c r="B24" s="223">
        <f>'22'!$F$39</f>
        <v>0</v>
      </c>
      <c r="C24" s="224">
        <f>'22'!$F$40</f>
        <v>0</v>
      </c>
      <c r="D24" s="217">
        <f t="shared" si="0"/>
        <v>0</v>
      </c>
      <c r="E24" s="225">
        <f>'22'!$F$43</f>
        <v>0</v>
      </c>
      <c r="F24" s="226">
        <f>'22'!$F$44</f>
        <v>0</v>
      </c>
      <c r="G24" s="227">
        <f>'22'!$F$48</f>
        <v>0</v>
      </c>
      <c r="H24" s="896">
        <f t="shared" si="1"/>
        <v>0</v>
      </c>
      <c r="I24" s="228">
        <f>'22'!$F$51</f>
        <v>0</v>
      </c>
      <c r="J24" s="228">
        <f>'22'!$F$5</f>
        <v>0</v>
      </c>
      <c r="K24" s="223">
        <f>'22'!$F$18</f>
        <v>0</v>
      </c>
      <c r="L24" s="223">
        <f>'22'!$F$17</f>
        <v>0</v>
      </c>
      <c r="M24" s="223">
        <f>'22'!$F$19</f>
        <v>0</v>
      </c>
      <c r="N24" s="283">
        <f>'22'!$F$21</f>
        <v>0</v>
      </c>
      <c r="O24" s="283">
        <f>'22'!$F$22</f>
        <v>0</v>
      </c>
      <c r="P24" s="280">
        <f t="shared" si="2"/>
        <v>0</v>
      </c>
      <c r="Q24" s="284">
        <f>'22'!$F$21</f>
        <v>0</v>
      </c>
      <c r="R24" s="291">
        <f>'22'!$F$54</f>
        <v>0</v>
      </c>
      <c r="S24" s="284">
        <f>'22'!$F$58</f>
        <v>0</v>
      </c>
      <c r="T24" s="285">
        <f>'22'!$F$70</f>
        <v>0</v>
      </c>
      <c r="U24" s="284">
        <f>'22'!$F$56</f>
        <v>0</v>
      </c>
      <c r="V24" s="285">
        <f>'22'!$F$57</f>
        <v>0</v>
      </c>
      <c r="W24" s="284">
        <f>'22'!$F$68</f>
        <v>0</v>
      </c>
      <c r="X24" s="285">
        <f>'22'!$F$69</f>
        <v>0</v>
      </c>
      <c r="Y24" s="285">
        <f>'22'!$F$53</f>
        <v>0</v>
      </c>
      <c r="Z24" s="900">
        <f>'22'!$E$18</f>
        <v>0</v>
      </c>
      <c r="AA24" s="294">
        <f>'22'!$E$17</f>
        <v>0</v>
      </c>
      <c r="AB24" s="900">
        <f>'22'!$E$19</f>
        <v>4587.4500615258403</v>
      </c>
      <c r="AC24" s="900">
        <f>'22'!$E$21</f>
        <v>42.799835931091053</v>
      </c>
      <c r="AD24" s="900">
        <f>'22'!$E$22</f>
        <v>0</v>
      </c>
      <c r="AF24" s="1007">
        <v>45799</v>
      </c>
      <c r="AG24" s="1004">
        <f>(('22'!$O$131)/4.184)*1000</f>
        <v>0</v>
      </c>
      <c r="AH24" s="1004">
        <f t="shared" si="3"/>
        <v>0</v>
      </c>
      <c r="AI24" s="1004">
        <v>0</v>
      </c>
      <c r="AJ24" s="1005">
        <f t="shared" si="4"/>
        <v>0</v>
      </c>
      <c r="AK24" s="1004">
        <f>'22'!$P$131</f>
        <v>0</v>
      </c>
    </row>
    <row r="25" spans="1:37">
      <c r="A25" s="222">
        <v>23</v>
      </c>
      <c r="B25" s="223">
        <f>'23'!$F$39</f>
        <v>0</v>
      </c>
      <c r="C25" s="224">
        <f>'23'!$F$40</f>
        <v>0</v>
      </c>
      <c r="D25" s="217">
        <f t="shared" si="0"/>
        <v>0</v>
      </c>
      <c r="E25" s="225">
        <f>'29'!$F$43</f>
        <v>0</v>
      </c>
      <c r="F25" s="226">
        <f>'23'!$F$44</f>
        <v>0</v>
      </c>
      <c r="G25" s="227">
        <f>'23'!$F$48</f>
        <v>0</v>
      </c>
      <c r="H25" s="896">
        <f t="shared" si="1"/>
        <v>0</v>
      </c>
      <c r="I25" s="228">
        <f>'23'!$F$51</f>
        <v>0</v>
      </c>
      <c r="J25" s="228">
        <f>'23'!$F$5</f>
        <v>0</v>
      </c>
      <c r="K25" s="223">
        <f>'23'!$F$18</f>
        <v>0</v>
      </c>
      <c r="L25" s="223">
        <f>'23'!$F$17</f>
        <v>0</v>
      </c>
      <c r="M25" s="223">
        <f>'23'!$F$19</f>
        <v>0</v>
      </c>
      <c r="N25" s="283">
        <f>'23'!$F$21</f>
        <v>0</v>
      </c>
      <c r="O25" s="283">
        <f>'23'!$F$22</f>
        <v>0</v>
      </c>
      <c r="P25" s="280">
        <f t="shared" si="2"/>
        <v>0</v>
      </c>
      <c r="Q25" s="284">
        <f>'23'!$F$55</f>
        <v>0</v>
      </c>
      <c r="R25" s="291">
        <f>'23'!$F$54</f>
        <v>0</v>
      </c>
      <c r="S25" s="284">
        <f>'23'!$F$58</f>
        <v>0</v>
      </c>
      <c r="T25" s="285">
        <f>'23'!$F$70</f>
        <v>0</v>
      </c>
      <c r="U25" s="284">
        <f>'23'!$F$56</f>
        <v>0</v>
      </c>
      <c r="V25" s="285">
        <f>'23'!$F$57</f>
        <v>0</v>
      </c>
      <c r="W25" s="284">
        <f>'23'!$F$68</f>
        <v>0</v>
      </c>
      <c r="X25" s="285">
        <f>'23'!$F$69</f>
        <v>0</v>
      </c>
      <c r="Y25" s="285">
        <f>'23'!$F$53</f>
        <v>0</v>
      </c>
      <c r="Z25" s="900">
        <f>'23'!$E$18</f>
        <v>0</v>
      </c>
      <c r="AA25" s="294">
        <f>'23'!$E$17</f>
        <v>0</v>
      </c>
      <c r="AB25" s="900">
        <f>'23'!$E$19</f>
        <v>4236.1790401968829</v>
      </c>
      <c r="AC25" s="900">
        <f>'23'!$E$21</f>
        <v>39.522559474979488</v>
      </c>
      <c r="AD25" s="900">
        <f>'23'!$E$22</f>
        <v>0</v>
      </c>
      <c r="AF25" s="1007">
        <v>45800</v>
      </c>
      <c r="AG25" s="1004">
        <f>(('23'!$O$131)/4.184)*1000</f>
        <v>0</v>
      </c>
      <c r="AH25" s="1004">
        <f t="shared" si="3"/>
        <v>0</v>
      </c>
      <c r="AI25" s="1004">
        <v>0</v>
      </c>
      <c r="AJ25" s="1005">
        <f t="shared" si="4"/>
        <v>0</v>
      </c>
      <c r="AK25" s="1004">
        <f>'23'!$P$131</f>
        <v>0</v>
      </c>
    </row>
    <row r="26" spans="1:37">
      <c r="A26" s="222">
        <v>24</v>
      </c>
      <c r="B26" s="223">
        <f>'24'!$F$39</f>
        <v>0</v>
      </c>
      <c r="C26" s="224">
        <f>'24'!$F$40</f>
        <v>0</v>
      </c>
      <c r="D26" s="217">
        <f t="shared" si="0"/>
        <v>0</v>
      </c>
      <c r="E26" s="225">
        <f>'24'!$F$43</f>
        <v>0</v>
      </c>
      <c r="F26" s="226">
        <f>'24'!$F$44</f>
        <v>0</v>
      </c>
      <c r="G26" s="227">
        <f>'24'!$F$48</f>
        <v>0</v>
      </c>
      <c r="H26" s="896">
        <f t="shared" si="1"/>
        <v>0</v>
      </c>
      <c r="I26" s="228">
        <f>'24'!$F$51</f>
        <v>0</v>
      </c>
      <c r="J26" s="228">
        <f>'24'!$F$5</f>
        <v>0</v>
      </c>
      <c r="K26" s="223">
        <f>'24'!$F$18</f>
        <v>0</v>
      </c>
      <c r="L26" s="223">
        <f>'24'!$F$17</f>
        <v>0</v>
      </c>
      <c r="M26" s="223">
        <f>'24'!$F$19</f>
        <v>0</v>
      </c>
      <c r="N26" s="283">
        <f>'24'!$F$21</f>
        <v>0</v>
      </c>
      <c r="O26" s="283">
        <f>'24'!$F$22</f>
        <v>0</v>
      </c>
      <c r="P26" s="280">
        <f t="shared" si="2"/>
        <v>0</v>
      </c>
      <c r="Q26" s="284">
        <f>'24'!$F$55</f>
        <v>0</v>
      </c>
      <c r="R26" s="291">
        <f>'24'!$F$54</f>
        <v>0</v>
      </c>
      <c r="S26" s="284">
        <f>'24'!$F$58</f>
        <v>0</v>
      </c>
      <c r="T26" s="285">
        <f>'24'!$F$70</f>
        <v>0</v>
      </c>
      <c r="U26" s="284">
        <f>'24'!$F$56</f>
        <v>0</v>
      </c>
      <c r="V26" s="285">
        <f>'24'!$F$57</f>
        <v>0</v>
      </c>
      <c r="W26" s="284">
        <f>'24'!$F$68</f>
        <v>0</v>
      </c>
      <c r="X26" s="285">
        <f>'24'!$F$69</f>
        <v>0</v>
      </c>
      <c r="Y26" s="285">
        <f>'24'!$F$53</f>
        <v>0</v>
      </c>
      <c r="Z26" s="900">
        <f>'24'!$E$18</f>
        <v>0</v>
      </c>
      <c r="AA26" s="294">
        <f>'24'!$E$17</f>
        <v>0</v>
      </c>
      <c r="AB26" s="900">
        <f>'24'!$E$19</f>
        <v>5012.712212879409</v>
      </c>
      <c r="AC26" s="900">
        <f>'24'!$E$21</f>
        <v>46.767432321575058</v>
      </c>
      <c r="AD26" s="900">
        <f>'24'!$E$22</f>
        <v>0</v>
      </c>
      <c r="AF26" s="1007">
        <v>45801</v>
      </c>
      <c r="AG26" s="1004">
        <f>(('24'!$O$131)/4.184)*1000</f>
        <v>0</v>
      </c>
      <c r="AH26" s="1004">
        <f t="shared" si="3"/>
        <v>0</v>
      </c>
      <c r="AI26" s="1004">
        <v>0</v>
      </c>
      <c r="AJ26" s="1005">
        <f t="shared" si="4"/>
        <v>0</v>
      </c>
      <c r="AK26" s="1004">
        <f>'24'!$P$131</f>
        <v>0</v>
      </c>
    </row>
    <row r="27" spans="1:37">
      <c r="A27" s="222">
        <v>25</v>
      </c>
      <c r="B27" s="223">
        <f>'25'!$F$39</f>
        <v>0</v>
      </c>
      <c r="C27" s="224">
        <f>'25'!$F$40</f>
        <v>0</v>
      </c>
      <c r="D27" s="217">
        <f t="shared" si="0"/>
        <v>0</v>
      </c>
      <c r="E27" s="225">
        <f>'25'!$F$43</f>
        <v>0</v>
      </c>
      <c r="F27" s="226">
        <f>'25'!$F$44</f>
        <v>0</v>
      </c>
      <c r="G27" s="227">
        <f>'25'!$F$48</f>
        <v>0</v>
      </c>
      <c r="H27" s="896">
        <f t="shared" si="1"/>
        <v>0</v>
      </c>
      <c r="I27" s="228">
        <f>'25'!$F$51</f>
        <v>0</v>
      </c>
      <c r="J27" s="228">
        <f>'25'!$F$5</f>
        <v>0</v>
      </c>
      <c r="K27" s="223">
        <f>'25'!$F$18</f>
        <v>0</v>
      </c>
      <c r="L27" s="223">
        <f>'25'!$F$17</f>
        <v>0</v>
      </c>
      <c r="M27" s="223">
        <f>'25'!$F$19</f>
        <v>0</v>
      </c>
      <c r="N27" s="283">
        <f>'25'!$F$21</f>
        <v>0</v>
      </c>
      <c r="O27" s="283">
        <f>'25'!$F$22</f>
        <v>0</v>
      </c>
      <c r="P27" s="280">
        <f t="shared" si="2"/>
        <v>0</v>
      </c>
      <c r="Q27" s="284">
        <f>'25'!$F$55</f>
        <v>0</v>
      </c>
      <c r="R27" s="291">
        <f>'25'!$F$54</f>
        <v>0</v>
      </c>
      <c r="S27" s="284">
        <f>'25'!$F$58</f>
        <v>0</v>
      </c>
      <c r="T27" s="285">
        <f>'25'!$F$70</f>
        <v>0</v>
      </c>
      <c r="U27" s="284">
        <f>'25'!$F$56</f>
        <v>0</v>
      </c>
      <c r="V27" s="285">
        <f>'25'!$F$57</f>
        <v>0</v>
      </c>
      <c r="W27" s="284">
        <f>'25'!$F$68</f>
        <v>0</v>
      </c>
      <c r="X27" s="285">
        <f>'25'!$F$69</f>
        <v>0</v>
      </c>
      <c r="Y27" s="285">
        <f>'25'!$F$53</f>
        <v>0</v>
      </c>
      <c r="Z27" s="900">
        <f>'25'!$E$18</f>
        <v>0</v>
      </c>
      <c r="AA27" s="294">
        <f>'25'!$E$17</f>
        <v>0</v>
      </c>
      <c r="AB27" s="900">
        <f>'25'!$E$19</f>
        <v>4864.7299528301883</v>
      </c>
      <c r="AC27" s="900">
        <f>'25'!$E$21</f>
        <v>45.386792452830186</v>
      </c>
      <c r="AD27" s="900">
        <f>'25'!$E$22</f>
        <v>0</v>
      </c>
      <c r="AF27" s="1007">
        <v>45802</v>
      </c>
      <c r="AG27" s="1004">
        <f>(('25'!$O$131)/4.184)*1000</f>
        <v>0</v>
      </c>
      <c r="AH27" s="1004">
        <f t="shared" si="3"/>
        <v>0</v>
      </c>
      <c r="AI27" s="1004">
        <v>0</v>
      </c>
      <c r="AJ27" s="1005">
        <f t="shared" si="4"/>
        <v>0</v>
      </c>
      <c r="AK27" s="1004">
        <f>'25'!$P$131</f>
        <v>0</v>
      </c>
    </row>
    <row r="28" spans="1:37">
      <c r="A28" s="222">
        <v>26</v>
      </c>
      <c r="B28" s="223">
        <f>'26'!$F$39</f>
        <v>0</v>
      </c>
      <c r="C28" s="224">
        <f>'26'!$F$40</f>
        <v>0</v>
      </c>
      <c r="D28" s="217">
        <f t="shared" si="0"/>
        <v>0</v>
      </c>
      <c r="E28" s="225">
        <f>'26'!$F$43</f>
        <v>0</v>
      </c>
      <c r="F28" s="226">
        <f>'26'!$F$44</f>
        <v>0</v>
      </c>
      <c r="G28" s="227">
        <f>'26'!$F$48</f>
        <v>0</v>
      </c>
      <c r="H28" s="896">
        <f t="shared" si="1"/>
        <v>0</v>
      </c>
      <c r="I28" s="228">
        <f>'26'!$F$51</f>
        <v>0</v>
      </c>
      <c r="J28" s="228">
        <f>'26'!$F$5</f>
        <v>0</v>
      </c>
      <c r="K28" s="223">
        <f>'26'!$F$18</f>
        <v>0</v>
      </c>
      <c r="L28" s="223">
        <f>'26'!$F$17</f>
        <v>0</v>
      </c>
      <c r="M28" s="223">
        <f>'26'!$F$19</f>
        <v>0</v>
      </c>
      <c r="N28" s="283">
        <f>'26'!$F$21</f>
        <v>0</v>
      </c>
      <c r="O28" s="283">
        <f>'26'!$F$22</f>
        <v>0</v>
      </c>
      <c r="P28" s="280">
        <f t="shared" si="2"/>
        <v>0</v>
      </c>
      <c r="Q28" s="284">
        <f>'26'!$F$55</f>
        <v>0</v>
      </c>
      <c r="R28" s="291">
        <f>'26'!$F$54</f>
        <v>0</v>
      </c>
      <c r="S28" s="284">
        <f>'26'!$F$58</f>
        <v>0</v>
      </c>
      <c r="T28" s="285">
        <f>'26'!$F$70</f>
        <v>0</v>
      </c>
      <c r="U28" s="284">
        <f>'26'!$F$56</f>
        <v>0</v>
      </c>
      <c r="V28" s="285">
        <f>'26'!$F$57</f>
        <v>0</v>
      </c>
      <c r="W28" s="284">
        <f>'26'!$F$68</f>
        <v>0</v>
      </c>
      <c r="X28" s="285">
        <f>'26'!$F$69</f>
        <v>0</v>
      </c>
      <c r="Y28" s="285">
        <f>'26'!$F$53</f>
        <v>0</v>
      </c>
      <c r="Z28" s="900">
        <f>'26'!$E$18</f>
        <v>0</v>
      </c>
      <c r="AA28" s="294">
        <f>'26'!$E$17</f>
        <v>0</v>
      </c>
      <c r="AB28" s="900">
        <f>'26'!$E$19</f>
        <v>4848.287479491386</v>
      </c>
      <c r="AC28" s="900">
        <f>'26'!$E$21</f>
        <v>45.233388022969642</v>
      </c>
      <c r="AD28" s="900">
        <f>'26'!$E$22</f>
        <v>0</v>
      </c>
      <c r="AF28" s="1007">
        <v>45803</v>
      </c>
      <c r="AG28" s="1004">
        <f>(('26'!$O$131)/4.184)*1000</f>
        <v>0</v>
      </c>
      <c r="AH28" s="1004">
        <f t="shared" si="3"/>
        <v>0</v>
      </c>
      <c r="AI28" s="1004">
        <v>0</v>
      </c>
      <c r="AJ28" s="1005">
        <f t="shared" si="4"/>
        <v>0</v>
      </c>
      <c r="AK28" s="1004">
        <f>'26'!$P$131</f>
        <v>0</v>
      </c>
    </row>
    <row r="29" spans="1:37">
      <c r="A29" s="222">
        <v>27</v>
      </c>
      <c r="B29" s="223">
        <f>'27'!$F$39</f>
        <v>0</v>
      </c>
      <c r="C29" s="224">
        <f>'27'!$F$40</f>
        <v>0</v>
      </c>
      <c r="D29" s="217">
        <f t="shared" si="0"/>
        <v>0</v>
      </c>
      <c r="E29" s="225">
        <f>'27'!$F$43</f>
        <v>0</v>
      </c>
      <c r="F29" s="226">
        <f>'27'!$F$44</f>
        <v>0</v>
      </c>
      <c r="G29" s="227">
        <f>'27'!$F$48</f>
        <v>0</v>
      </c>
      <c r="H29" s="896">
        <f t="shared" si="1"/>
        <v>0</v>
      </c>
      <c r="I29" s="228">
        <f>'27'!$F$51</f>
        <v>0</v>
      </c>
      <c r="J29" s="228">
        <f>'27'!$F$5</f>
        <v>0</v>
      </c>
      <c r="K29" s="223">
        <f>'27'!$F$18</f>
        <v>0</v>
      </c>
      <c r="L29" s="223">
        <f>'27'!$F$17</f>
        <v>0</v>
      </c>
      <c r="M29" s="223">
        <f>'27'!$F$19</f>
        <v>0</v>
      </c>
      <c r="N29" s="283">
        <f>'27'!$F$21</f>
        <v>0</v>
      </c>
      <c r="O29" s="283">
        <f>'27'!$F$22</f>
        <v>0</v>
      </c>
      <c r="P29" s="280">
        <f t="shared" si="2"/>
        <v>0</v>
      </c>
      <c r="Q29" s="284">
        <f>'27'!$F$55</f>
        <v>0</v>
      </c>
      <c r="R29" s="291">
        <f>'27'!$F$54</f>
        <v>0</v>
      </c>
      <c r="S29" s="284">
        <f>'27'!$F$58</f>
        <v>0</v>
      </c>
      <c r="T29" s="285">
        <f>'27'!$F$70</f>
        <v>0</v>
      </c>
      <c r="U29" s="284">
        <f>'27'!$F$56</f>
        <v>0</v>
      </c>
      <c r="V29" s="285">
        <f>'27'!$F$57</f>
        <v>0</v>
      </c>
      <c r="W29" s="284">
        <f>'27'!$F$68</f>
        <v>0</v>
      </c>
      <c r="X29" s="285">
        <f>'27'!$F$69</f>
        <v>0</v>
      </c>
      <c r="Y29" s="285">
        <f>'27'!$F$53</f>
        <v>0</v>
      </c>
      <c r="Z29" s="900">
        <f>'27'!$E$18</f>
        <v>0</v>
      </c>
      <c r="AA29" s="294">
        <f>'27'!$E$17</f>
        <v>0</v>
      </c>
      <c r="AB29" s="900">
        <f>'27'!$E$19</f>
        <v>5329.603517227235</v>
      </c>
      <c r="AC29" s="900">
        <f>'27'!$E$21</f>
        <v>49.723954060705495</v>
      </c>
      <c r="AD29" s="900">
        <f>'27'!$E$22</f>
        <v>0</v>
      </c>
      <c r="AF29" s="1007">
        <v>45804</v>
      </c>
      <c r="AG29" s="1004">
        <f>(('27'!$O$131)/4.184)*1000</f>
        <v>0</v>
      </c>
      <c r="AH29" s="1004">
        <f t="shared" si="3"/>
        <v>0</v>
      </c>
      <c r="AI29" s="1004">
        <v>0</v>
      </c>
      <c r="AJ29" s="1005">
        <f t="shared" si="4"/>
        <v>0</v>
      </c>
      <c r="AK29" s="1004">
        <f>'27'!$P$131</f>
        <v>0</v>
      </c>
    </row>
    <row r="30" spans="1:37">
      <c r="A30" s="222">
        <v>28</v>
      </c>
      <c r="B30" s="223">
        <f>'28'!$F$39</f>
        <v>0</v>
      </c>
      <c r="C30" s="224">
        <f>'28'!$F$40</f>
        <v>0</v>
      </c>
      <c r="D30" s="217">
        <f t="shared" si="0"/>
        <v>0</v>
      </c>
      <c r="E30" s="225">
        <f>'28'!$F$43</f>
        <v>0</v>
      </c>
      <c r="F30" s="226">
        <f>'28'!$F$44</f>
        <v>0</v>
      </c>
      <c r="G30" s="227">
        <f>'28'!$F$48</f>
        <v>0</v>
      </c>
      <c r="H30" s="896">
        <f t="shared" si="1"/>
        <v>0</v>
      </c>
      <c r="I30" s="228">
        <f>'28'!$F$51</f>
        <v>0</v>
      </c>
      <c r="J30" s="228">
        <f>'28'!$F$5</f>
        <v>0</v>
      </c>
      <c r="K30" s="223">
        <f>'28'!$F$18</f>
        <v>0</v>
      </c>
      <c r="L30" s="223">
        <f>'28'!$F$17</f>
        <v>0</v>
      </c>
      <c r="M30" s="223">
        <f>'28'!$F$19</f>
        <v>0</v>
      </c>
      <c r="N30" s="283">
        <f>'28'!$F$21</f>
        <v>0</v>
      </c>
      <c r="O30" s="283">
        <f>'28'!$F$22</f>
        <v>0</v>
      </c>
      <c r="P30" s="280">
        <f t="shared" si="2"/>
        <v>0</v>
      </c>
      <c r="Q30" s="284">
        <f>'28'!$F$55</f>
        <v>0</v>
      </c>
      <c r="R30" s="291">
        <f>'28'!$F$54</f>
        <v>0</v>
      </c>
      <c r="S30" s="284">
        <f>'28'!$F$58</f>
        <v>0</v>
      </c>
      <c r="T30" s="285">
        <f>'28'!$F$70</f>
        <v>0</v>
      </c>
      <c r="U30" s="284">
        <f>'28'!$F$56</f>
        <v>0</v>
      </c>
      <c r="V30" s="285">
        <f>'28'!$F$57</f>
        <v>0</v>
      </c>
      <c r="W30" s="284">
        <f>'28'!$F$68</f>
        <v>0</v>
      </c>
      <c r="X30" s="285">
        <f>'28'!$F$69</f>
        <v>0</v>
      </c>
      <c r="Y30" s="285">
        <f>'28'!$F$53</f>
        <v>0</v>
      </c>
      <c r="Z30" s="900">
        <f>'28'!$E$18</f>
        <v>0</v>
      </c>
      <c r="AA30" s="294">
        <f>'28'!$E$17</f>
        <v>0</v>
      </c>
      <c r="AB30" s="900">
        <f>'28'!$E$19</f>
        <v>4788.4966673502877</v>
      </c>
      <c r="AC30" s="900">
        <f>'28'!$E$21</f>
        <v>44.675553732567678</v>
      </c>
      <c r="AD30" s="900">
        <f>'28'!$E$22</f>
        <v>0</v>
      </c>
      <c r="AF30" s="1007">
        <v>45805</v>
      </c>
      <c r="AG30" s="1004">
        <f>(('28'!$O$131)/4.184)*1000</f>
        <v>0</v>
      </c>
      <c r="AH30" s="1004">
        <f t="shared" si="3"/>
        <v>0</v>
      </c>
      <c r="AI30" s="1004">
        <v>0</v>
      </c>
      <c r="AJ30" s="1005">
        <f t="shared" si="4"/>
        <v>0</v>
      </c>
      <c r="AK30" s="1004">
        <f>'28'!$P$131</f>
        <v>0</v>
      </c>
    </row>
    <row r="31" spans="1:37">
      <c r="A31" s="222">
        <v>29</v>
      </c>
      <c r="B31" s="223">
        <f>'29'!$F$39</f>
        <v>0</v>
      </c>
      <c r="C31" s="224">
        <f>'29'!$F$40</f>
        <v>0</v>
      </c>
      <c r="D31" s="217">
        <f t="shared" si="0"/>
        <v>0</v>
      </c>
      <c r="E31" s="225">
        <f>'29'!$F$43</f>
        <v>0</v>
      </c>
      <c r="F31" s="226">
        <f>'29'!$F$44</f>
        <v>0</v>
      </c>
      <c r="G31" s="227">
        <f>'29'!$F$48</f>
        <v>0</v>
      </c>
      <c r="H31" s="896">
        <f t="shared" si="1"/>
        <v>0</v>
      </c>
      <c r="I31" s="228">
        <f>'29'!$F$51</f>
        <v>0</v>
      </c>
      <c r="J31" s="228">
        <f>'29'!$F$5</f>
        <v>0</v>
      </c>
      <c r="K31" s="223">
        <f>'29'!$F$18</f>
        <v>0</v>
      </c>
      <c r="L31" s="223">
        <f>'29'!$F$17</f>
        <v>0</v>
      </c>
      <c r="M31" s="223">
        <f>'29'!$F$19</f>
        <v>0</v>
      </c>
      <c r="N31" s="283">
        <f>'29'!$F$21</f>
        <v>0</v>
      </c>
      <c r="O31" s="283">
        <f>'29'!$F$22</f>
        <v>0</v>
      </c>
      <c r="P31" s="280">
        <f t="shared" si="2"/>
        <v>0</v>
      </c>
      <c r="Q31" s="284">
        <f>'29'!$F$55</f>
        <v>0</v>
      </c>
      <c r="R31" s="291">
        <f>'29'!$F$54</f>
        <v>0</v>
      </c>
      <c r="S31" s="284">
        <f>'29'!$F$58</f>
        <v>0</v>
      </c>
      <c r="T31" s="285">
        <f>'29'!$F$70</f>
        <v>0</v>
      </c>
      <c r="U31" s="284">
        <f>'29'!$F$56</f>
        <v>0</v>
      </c>
      <c r="V31" s="285">
        <f>'29'!$F$57</f>
        <v>0</v>
      </c>
      <c r="W31" s="284">
        <f>'29'!$F$68</f>
        <v>0</v>
      </c>
      <c r="X31" s="285">
        <f>'29'!$F$69</f>
        <v>0</v>
      </c>
      <c r="Y31" s="285">
        <f>'29'!$F$53</f>
        <v>0</v>
      </c>
      <c r="Z31" s="900">
        <f>'29'!$E$18</f>
        <v>0</v>
      </c>
      <c r="AA31" s="294">
        <f>'29'!$E$17</f>
        <v>0</v>
      </c>
      <c r="AB31" s="900">
        <f>'29'!$E$19</f>
        <v>4744.4009433962265</v>
      </c>
      <c r="AC31" s="900">
        <f>'29'!$E$21</f>
        <v>44.264150943396217</v>
      </c>
      <c r="AD31" s="900">
        <f>'29'!$E$22</f>
        <v>0</v>
      </c>
      <c r="AF31" s="1007">
        <v>45806</v>
      </c>
      <c r="AG31" s="1004">
        <f>(('29'!$O$131)/4.184)*1000</f>
        <v>0</v>
      </c>
      <c r="AH31" s="1004">
        <f t="shared" si="3"/>
        <v>0</v>
      </c>
      <c r="AI31" s="1004">
        <v>0</v>
      </c>
      <c r="AJ31" s="1005">
        <f t="shared" si="4"/>
        <v>0</v>
      </c>
      <c r="AK31" s="1004">
        <f>'29'!$P$131</f>
        <v>0</v>
      </c>
    </row>
    <row r="32" spans="1:37">
      <c r="A32" s="222">
        <v>30</v>
      </c>
      <c r="B32" s="223">
        <f>'30'!$F$39</f>
        <v>0</v>
      </c>
      <c r="C32" s="224">
        <f>'30'!$F$40</f>
        <v>0</v>
      </c>
      <c r="D32" s="217">
        <f t="shared" si="0"/>
        <v>0</v>
      </c>
      <c r="E32" s="225">
        <f>'30'!$F$43</f>
        <v>0</v>
      </c>
      <c r="F32" s="226">
        <f>'30'!$F$44</f>
        <v>0</v>
      </c>
      <c r="G32" s="227">
        <f>'30'!$F$48</f>
        <v>0</v>
      </c>
      <c r="H32" s="896">
        <f t="shared" si="1"/>
        <v>0</v>
      </c>
      <c r="I32" s="228">
        <f>'30'!$F$51</f>
        <v>0</v>
      </c>
      <c r="J32" s="228">
        <f>'30'!$F$5</f>
        <v>0</v>
      </c>
      <c r="K32" s="223">
        <f>'30'!$F$18</f>
        <v>0</v>
      </c>
      <c r="L32" s="223">
        <f>'30'!$F$17</f>
        <v>0</v>
      </c>
      <c r="M32" s="223">
        <f>'30'!$F$19</f>
        <v>0</v>
      </c>
      <c r="N32" s="283">
        <f>'30'!$F$21</f>
        <v>0</v>
      </c>
      <c r="O32" s="283">
        <f>'30'!$F$22</f>
        <v>0</v>
      </c>
      <c r="P32" s="280">
        <f t="shared" si="2"/>
        <v>0</v>
      </c>
      <c r="Q32" s="284">
        <f>'30'!$F$55</f>
        <v>0</v>
      </c>
      <c r="R32" s="291">
        <f>'30'!$F$54</f>
        <v>0</v>
      </c>
      <c r="S32" s="284">
        <f>'30'!$F$58</f>
        <v>0</v>
      </c>
      <c r="T32" s="285">
        <f>'30'!$F$70</f>
        <v>0</v>
      </c>
      <c r="U32" s="284">
        <f>'30'!$F$56</f>
        <v>0</v>
      </c>
      <c r="V32" s="285">
        <f>'30'!$F$57</f>
        <v>0</v>
      </c>
      <c r="W32" s="284">
        <f>'30'!$F$68</f>
        <v>0</v>
      </c>
      <c r="X32" s="285">
        <f>'30'!$F$69</f>
        <v>0</v>
      </c>
      <c r="Y32" s="285">
        <f>'30'!$F$53</f>
        <v>0</v>
      </c>
      <c r="Z32" s="900">
        <f>'30'!$E$18</f>
        <v>0</v>
      </c>
      <c r="AA32" s="294">
        <f>'30'!$E$17</f>
        <v>0</v>
      </c>
      <c r="AB32" s="900">
        <f>'30'!$E$19</f>
        <v>4136.0294298605413</v>
      </c>
      <c r="AC32" s="900">
        <f>'30'!$E$21</f>
        <v>38.588187038556192</v>
      </c>
      <c r="AD32" s="900">
        <f>'30'!$E$22</f>
        <v>0</v>
      </c>
      <c r="AF32" s="1007">
        <v>45807</v>
      </c>
      <c r="AG32" s="1004">
        <f>(('30'!$O$131)/4.184)*1000</f>
        <v>0</v>
      </c>
      <c r="AH32" s="1004">
        <f t="shared" si="3"/>
        <v>0</v>
      </c>
      <c r="AI32" s="1004">
        <v>0</v>
      </c>
      <c r="AJ32" s="1005">
        <f t="shared" si="4"/>
        <v>0</v>
      </c>
      <c r="AK32" s="1004">
        <f>'30'!$P$131</f>
        <v>0</v>
      </c>
    </row>
    <row r="33" spans="1:37" ht="15.75" thickBot="1">
      <c r="A33" s="293">
        <v>31</v>
      </c>
      <c r="B33" s="223">
        <f>'31'!$F$39</f>
        <v>0</v>
      </c>
      <c r="C33" s="224">
        <f>'31'!$F$40</f>
        <v>0</v>
      </c>
      <c r="D33" s="217">
        <f t="shared" si="0"/>
        <v>0</v>
      </c>
      <c r="E33" s="225">
        <f>'31'!$F$43</f>
        <v>0</v>
      </c>
      <c r="F33" s="226">
        <f>'31'!$F$44</f>
        <v>0</v>
      </c>
      <c r="G33" s="227">
        <f>'31'!$F$48</f>
        <v>0</v>
      </c>
      <c r="H33" s="896">
        <f t="shared" si="1"/>
        <v>0</v>
      </c>
      <c r="I33" s="228">
        <f>'31'!$F$51</f>
        <v>0</v>
      </c>
      <c r="J33" s="228">
        <f>'31'!$F$5</f>
        <v>0</v>
      </c>
      <c r="K33" s="223">
        <f>'31'!$F$18</f>
        <v>0</v>
      </c>
      <c r="L33" s="223">
        <f>'31'!$F$17</f>
        <v>0</v>
      </c>
      <c r="M33" s="223">
        <f>'31'!$F$19</f>
        <v>0</v>
      </c>
      <c r="N33" s="283">
        <f>'31'!$F$21</f>
        <v>0</v>
      </c>
      <c r="O33" s="283">
        <f>'31'!$F$22</f>
        <v>0</v>
      </c>
      <c r="P33" s="280">
        <f t="shared" si="2"/>
        <v>0</v>
      </c>
      <c r="Q33" s="284">
        <f>'31'!$F$55</f>
        <v>0</v>
      </c>
      <c r="R33" s="291">
        <f>'31'!$F$54</f>
        <v>0</v>
      </c>
      <c r="S33" s="284">
        <f>'31'!$F$58</f>
        <v>0</v>
      </c>
      <c r="T33" s="285">
        <f>'31'!$F$70</f>
        <v>0</v>
      </c>
      <c r="U33" s="284">
        <f>'31'!$F$56</f>
        <v>0</v>
      </c>
      <c r="V33" s="285">
        <f>'31'!$F$57</f>
        <v>0</v>
      </c>
      <c r="W33" s="284">
        <f>'31'!$F$68</f>
        <v>0</v>
      </c>
      <c r="X33" s="285">
        <f>'31'!$F$69</f>
        <v>0</v>
      </c>
      <c r="Y33" s="285">
        <f>'31'!$F$53</f>
        <v>0</v>
      </c>
      <c r="Z33" s="900">
        <f>'31'!$E$18</f>
        <v>0</v>
      </c>
      <c r="AA33" s="294">
        <f>'31'!$E$17</f>
        <v>0</v>
      </c>
      <c r="AB33" s="900">
        <f>'31'!$E$19</f>
        <v>4305.68585931091</v>
      </c>
      <c r="AC33" s="900">
        <f>'31'!$E$21</f>
        <v>40.171041837571778</v>
      </c>
      <c r="AD33" s="900">
        <f>'31'!$E$22</f>
        <v>0</v>
      </c>
      <c r="AF33" s="1007">
        <v>45808</v>
      </c>
      <c r="AG33" s="1004">
        <f>(('31'!$O$131)/4.184)*1000</f>
        <v>0</v>
      </c>
      <c r="AH33" s="1004">
        <f t="shared" si="3"/>
        <v>0</v>
      </c>
      <c r="AI33" s="1004">
        <v>0</v>
      </c>
      <c r="AJ33" s="1005">
        <f t="shared" si="4"/>
        <v>0</v>
      </c>
      <c r="AK33" s="1004">
        <f>'31'!$P$131</f>
        <v>0</v>
      </c>
    </row>
    <row r="34" spans="1:37" ht="15.75" thickBot="1">
      <c r="A34" s="229" t="s">
        <v>81</v>
      </c>
      <c r="B34" s="230">
        <f t="shared" ref="B34:Y34" si="5">SUM(B3:B32)</f>
        <v>6840.5707721894778</v>
      </c>
      <c r="C34" s="231">
        <f t="shared" si="5"/>
        <v>2292</v>
      </c>
      <c r="D34" s="232">
        <f t="shared" si="5"/>
        <v>9132.5707721894778</v>
      </c>
      <c r="E34" s="233">
        <f t="shared" si="5"/>
        <v>8403.7999999999993</v>
      </c>
      <c r="F34" s="234">
        <f>SUM(F3:F32)</f>
        <v>7255</v>
      </c>
      <c r="G34" s="235">
        <f t="shared" si="5"/>
        <v>15244.370772189477</v>
      </c>
      <c r="H34" s="895"/>
      <c r="I34" s="236">
        <f t="shared" si="5"/>
        <v>32176.186994748638</v>
      </c>
      <c r="J34" s="236">
        <f t="shared" si="5"/>
        <v>16874.071396806572</v>
      </c>
      <c r="K34" s="230">
        <f t="shared" si="5"/>
        <v>0</v>
      </c>
      <c r="L34" s="230">
        <f>SUM(L3:L33)</f>
        <v>0</v>
      </c>
      <c r="M34" s="230">
        <f t="shared" si="5"/>
        <v>15629.188072313675</v>
      </c>
      <c r="N34" s="286">
        <f>SUM(N3:N33)</f>
        <v>0</v>
      </c>
      <c r="O34" s="899"/>
      <c r="P34" s="287">
        <f>SUM(P3:P33)</f>
        <v>15629.188072313675</v>
      </c>
      <c r="Q34" s="288">
        <f>SUM(Q3:Q33)</f>
        <v>0</v>
      </c>
      <c r="R34" s="289">
        <f>SUM(R3:R33)</f>
        <v>0</v>
      </c>
      <c r="S34" s="288">
        <f>SUM(S3:S32)</f>
        <v>0</v>
      </c>
      <c r="T34" s="289">
        <f>SUM(T3:T32)</f>
        <v>3329.1499999999996</v>
      </c>
      <c r="U34" s="288">
        <f t="shared" si="5"/>
        <v>0</v>
      </c>
      <c r="V34" s="289">
        <f t="shared" si="5"/>
        <v>0</v>
      </c>
      <c r="W34" s="288">
        <f>SUM(W3:W32)</f>
        <v>0</v>
      </c>
      <c r="X34" s="289">
        <f>SUM(X3:X32)</f>
        <v>0</v>
      </c>
      <c r="Y34" s="289">
        <f t="shared" si="5"/>
        <v>0</v>
      </c>
      <c r="AD34" s="902"/>
    </row>
    <row r="35" spans="1:37">
      <c r="D35" s="237"/>
    </row>
  </sheetData>
  <mergeCells count="17">
    <mergeCell ref="B1:C1"/>
    <mergeCell ref="D1:D2"/>
    <mergeCell ref="E1:E2"/>
    <mergeCell ref="F1:F2"/>
    <mergeCell ref="P1:P2"/>
    <mergeCell ref="K1:N1"/>
    <mergeCell ref="X1:X2"/>
    <mergeCell ref="T1:T2"/>
    <mergeCell ref="Z1:AD1"/>
    <mergeCell ref="U1:U2"/>
    <mergeCell ref="G1:G2"/>
    <mergeCell ref="Q1:Q2"/>
    <mergeCell ref="V1:V2"/>
    <mergeCell ref="S1:S2"/>
    <mergeCell ref="Y1:Y2"/>
    <mergeCell ref="R1:R2"/>
    <mergeCell ref="W1:W2"/>
  </mergeCells>
  <pageMargins left="0.7" right="0.7" top="0.75" bottom="0.75" header="0.3" footer="0.3"/>
  <pageSetup paperSize="9" orientation="portrait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2:AY4"/>
  <sheetViews>
    <sheetView zoomScale="70" zoomScaleNormal="70" workbookViewId="0">
      <selection activeCell="P1" sqref="P1:V2"/>
    </sheetView>
  </sheetViews>
  <sheetFormatPr defaultRowHeight="15"/>
  <cols>
    <col min="1" max="2" width="11" customWidth="1"/>
    <col min="3" max="3" width="15.42578125" customWidth="1"/>
    <col min="4" max="4" width="17" customWidth="1"/>
    <col min="6" max="6" width="10.28515625" customWidth="1"/>
    <col min="7" max="7" width="12.28515625" customWidth="1"/>
    <col min="8" max="8" width="11.85546875" customWidth="1"/>
    <col min="9" max="9" width="12.7109375" customWidth="1"/>
    <col min="10" max="10" width="13.28515625" customWidth="1"/>
    <col min="11" max="11" width="15.140625" customWidth="1"/>
    <col min="12" max="12" width="12.42578125" customWidth="1"/>
    <col min="13" max="13" width="2.5703125" customWidth="1"/>
    <col min="14" max="14" width="17.28515625" customWidth="1"/>
    <col min="15" max="15" width="15.7109375" customWidth="1"/>
    <col min="16" max="16" width="16.85546875" customWidth="1"/>
    <col min="17" max="17" width="9.140625" customWidth="1"/>
    <col min="18" max="18" width="12.140625" customWidth="1"/>
    <col min="19" max="19" width="13" customWidth="1"/>
    <col min="20" max="20" width="14.85546875" customWidth="1"/>
    <col min="21" max="21" width="16.42578125" customWidth="1"/>
    <col min="22" max="25" width="9.140625" customWidth="1"/>
    <col min="26" max="26" width="2.5703125" customWidth="1"/>
    <col min="27" max="37" width="12.5703125" customWidth="1"/>
    <col min="38" max="38" width="15.28515625" customWidth="1"/>
    <col min="40" max="51" width="12.85546875" customWidth="1"/>
  </cols>
  <sheetData>
    <row r="2" spans="1:51" ht="15.75" thickBot="1"/>
    <row r="3" spans="1:51" ht="15" customHeight="1">
      <c r="A3" s="1424" t="s">
        <v>50</v>
      </c>
      <c r="B3" s="1425"/>
      <c r="C3" s="1425"/>
      <c r="D3" s="1425"/>
      <c r="E3" s="1425"/>
      <c r="F3" s="1425"/>
      <c r="G3" s="1425"/>
      <c r="H3" s="1425"/>
      <c r="I3" s="1425"/>
      <c r="J3" s="1425"/>
      <c r="K3" s="1425"/>
      <c r="L3" s="1426"/>
      <c r="N3" s="1424" t="s">
        <v>159</v>
      </c>
      <c r="O3" s="1425"/>
      <c r="P3" s="1425"/>
      <c r="Q3" s="1425"/>
      <c r="R3" s="1425"/>
      <c r="S3" s="1425"/>
      <c r="T3" s="1425"/>
      <c r="U3" s="1425"/>
      <c r="V3" s="1425"/>
      <c r="W3" s="1425"/>
      <c r="X3" s="1425"/>
      <c r="Y3" s="1426"/>
      <c r="AA3" s="1424" t="s">
        <v>155</v>
      </c>
      <c r="AB3" s="1425"/>
      <c r="AC3" s="1425"/>
      <c r="AD3" s="1425"/>
      <c r="AE3" s="1425"/>
      <c r="AF3" s="1425"/>
      <c r="AG3" s="1425"/>
      <c r="AH3" s="1425"/>
      <c r="AI3" s="1425"/>
      <c r="AJ3" s="1425"/>
      <c r="AK3" s="1425"/>
      <c r="AL3" s="1426"/>
      <c r="AN3" s="1424" t="s">
        <v>156</v>
      </c>
      <c r="AO3" s="1425"/>
      <c r="AP3" s="1425"/>
      <c r="AQ3" s="1425"/>
      <c r="AR3" s="1425"/>
      <c r="AS3" s="1425"/>
      <c r="AT3" s="1425"/>
      <c r="AU3" s="1425"/>
      <c r="AV3" s="1425"/>
      <c r="AW3" s="1425"/>
      <c r="AX3" s="1425"/>
      <c r="AY3" s="1426"/>
    </row>
    <row r="4" spans="1:51" ht="15.75" customHeight="1" thickBot="1">
      <c r="A4" s="1427"/>
      <c r="B4" s="1428"/>
      <c r="C4" s="1428"/>
      <c r="D4" s="1428"/>
      <c r="E4" s="1428"/>
      <c r="F4" s="1428"/>
      <c r="G4" s="1428"/>
      <c r="H4" s="1428"/>
      <c r="I4" s="1428"/>
      <c r="J4" s="1428"/>
      <c r="K4" s="1428"/>
      <c r="L4" s="1429"/>
      <c r="N4" s="1427"/>
      <c r="O4" s="1428"/>
      <c r="P4" s="1428"/>
      <c r="Q4" s="1428"/>
      <c r="R4" s="1428"/>
      <c r="S4" s="1428"/>
      <c r="T4" s="1428"/>
      <c r="U4" s="1428"/>
      <c r="V4" s="1428"/>
      <c r="W4" s="1428"/>
      <c r="X4" s="1428"/>
      <c r="Y4" s="1429"/>
      <c r="AA4" s="1427"/>
      <c r="AB4" s="1428"/>
      <c r="AC4" s="1428"/>
      <c r="AD4" s="1428"/>
      <c r="AE4" s="1428"/>
      <c r="AF4" s="1428"/>
      <c r="AG4" s="1428"/>
      <c r="AH4" s="1428"/>
      <c r="AI4" s="1428"/>
      <c r="AJ4" s="1428"/>
      <c r="AK4" s="1428"/>
      <c r="AL4" s="1429"/>
      <c r="AN4" s="1427"/>
      <c r="AO4" s="1428"/>
      <c r="AP4" s="1428"/>
      <c r="AQ4" s="1428"/>
      <c r="AR4" s="1428"/>
      <c r="AS4" s="1428"/>
      <c r="AT4" s="1428"/>
      <c r="AU4" s="1428"/>
      <c r="AV4" s="1428"/>
      <c r="AW4" s="1428"/>
      <c r="AX4" s="1428"/>
      <c r="AY4" s="1429"/>
    </row>
  </sheetData>
  <mergeCells count="4">
    <mergeCell ref="A3:L4"/>
    <mergeCell ref="N3:Y4"/>
    <mergeCell ref="AA3:AL4"/>
    <mergeCell ref="AN3:AY4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filterMode="1">
    <pageSetUpPr fitToPage="1"/>
  </sheetPr>
  <dimension ref="A1:BS147"/>
  <sheetViews>
    <sheetView zoomScale="55" zoomScaleNormal="55" workbookViewId="0">
      <selection activeCell="P1" sqref="P1:V2"/>
    </sheetView>
  </sheetViews>
  <sheetFormatPr defaultRowHeight="15"/>
  <cols>
    <col min="3" max="3" width="12.42578125" customWidth="1"/>
    <col min="4" max="4" width="14.5703125" customWidth="1"/>
    <col min="5" max="35" width="12.7109375" customWidth="1"/>
  </cols>
  <sheetData>
    <row r="1" spans="1:71" ht="15.75" thickBot="1">
      <c r="A1" s="1430" t="s">
        <v>115</v>
      </c>
      <c r="B1" s="1431"/>
      <c r="C1" s="1431"/>
      <c r="D1" s="1431"/>
      <c r="E1" s="1431"/>
      <c r="F1" s="1431"/>
      <c r="G1" s="1431"/>
      <c r="H1" s="1432"/>
      <c r="I1" s="1430" t="s">
        <v>116</v>
      </c>
      <c r="J1" s="1431"/>
      <c r="K1" s="1431"/>
      <c r="L1" s="1431"/>
      <c r="M1" s="1431"/>
      <c r="N1" s="1431"/>
      <c r="O1" s="1432"/>
      <c r="P1" s="1430" t="s">
        <v>117</v>
      </c>
      <c r="Q1" s="1431"/>
      <c r="R1" s="1431"/>
      <c r="S1" s="1431"/>
      <c r="T1" s="1431"/>
      <c r="U1" s="1431"/>
      <c r="V1" s="1432"/>
      <c r="W1" s="1430" t="s">
        <v>118</v>
      </c>
      <c r="X1" s="1431"/>
      <c r="Y1" s="1431"/>
      <c r="Z1" s="1431"/>
      <c r="AA1" s="1431"/>
      <c r="AB1" s="1431"/>
      <c r="AC1" s="1432"/>
      <c r="AD1" s="1430" t="s">
        <v>119</v>
      </c>
      <c r="AE1" s="1431"/>
      <c r="AF1" s="1431"/>
      <c r="AG1" s="1431"/>
      <c r="AH1" s="1431"/>
      <c r="AI1" s="1431"/>
      <c r="AJ1" s="1432"/>
      <c r="AK1" s="1430" t="s">
        <v>120</v>
      </c>
      <c r="AL1" s="1431"/>
      <c r="AM1" s="1431"/>
      <c r="AN1" s="1431"/>
      <c r="AO1" s="1431"/>
      <c r="AP1" s="1431"/>
      <c r="AQ1" s="1432"/>
      <c r="AR1" s="1430" t="s">
        <v>121</v>
      </c>
      <c r="AS1" s="1431"/>
      <c r="AT1" s="1431"/>
      <c r="AU1" s="1431"/>
      <c r="AV1" s="1431"/>
      <c r="AW1" s="1431"/>
      <c r="AX1" s="1432"/>
      <c r="AY1" s="1430" t="s">
        <v>122</v>
      </c>
      <c r="AZ1" s="1431"/>
      <c r="BA1" s="1431"/>
      <c r="BB1" s="1431"/>
      <c r="BC1" s="1431"/>
      <c r="BD1" s="1431"/>
      <c r="BE1" s="1432"/>
      <c r="BF1" s="1430" t="s">
        <v>123</v>
      </c>
      <c r="BG1" s="1431"/>
      <c r="BH1" s="1431"/>
      <c r="BI1" s="1431"/>
      <c r="BJ1" s="1431"/>
      <c r="BK1" s="1431"/>
      <c r="BL1" s="1432"/>
      <c r="BM1" s="1430" t="s">
        <v>124</v>
      </c>
      <c r="BN1" s="1431"/>
      <c r="BO1" s="1431"/>
      <c r="BP1" s="1431"/>
      <c r="BQ1" s="1431"/>
      <c r="BR1" s="1431"/>
      <c r="BS1" s="1432"/>
    </row>
    <row r="2" spans="1:71" ht="39" thickBot="1">
      <c r="A2" t="s">
        <v>111</v>
      </c>
      <c r="B2" s="457" t="s">
        <v>79</v>
      </c>
      <c r="C2" s="457" t="s">
        <v>110</v>
      </c>
      <c r="D2" s="457" t="s">
        <v>125</v>
      </c>
      <c r="E2" s="457" t="s">
        <v>74</v>
      </c>
      <c r="F2" s="457" t="s">
        <v>126</v>
      </c>
      <c r="G2" s="457" t="s">
        <v>127</v>
      </c>
      <c r="H2" s="458" t="s">
        <v>128</v>
      </c>
      <c r="I2" s="457" t="s">
        <v>79</v>
      </c>
      <c r="J2" s="457" t="s">
        <v>110</v>
      </c>
      <c r="K2" s="457" t="s">
        <v>125</v>
      </c>
      <c r="L2" s="457" t="s">
        <v>74</v>
      </c>
      <c r="M2" s="457" t="s">
        <v>126</v>
      </c>
      <c r="N2" s="457" t="s">
        <v>127</v>
      </c>
      <c r="O2" s="458" t="s">
        <v>128</v>
      </c>
      <c r="P2" s="457" t="s">
        <v>79</v>
      </c>
      <c r="Q2" s="457" t="s">
        <v>110</v>
      </c>
      <c r="R2" s="457" t="s">
        <v>125</v>
      </c>
      <c r="S2" s="457" t="s">
        <v>74</v>
      </c>
      <c r="T2" s="457" t="s">
        <v>126</v>
      </c>
      <c r="U2" s="457" t="s">
        <v>127</v>
      </c>
      <c r="V2" s="458" t="s">
        <v>128</v>
      </c>
      <c r="W2" s="457" t="s">
        <v>79</v>
      </c>
      <c r="X2" s="457" t="s">
        <v>110</v>
      </c>
      <c r="Y2" s="457" t="s">
        <v>125</v>
      </c>
      <c r="Z2" s="457" t="s">
        <v>74</v>
      </c>
      <c r="AA2" s="457" t="s">
        <v>126</v>
      </c>
      <c r="AB2" s="457" t="s">
        <v>127</v>
      </c>
      <c r="AC2" s="458" t="s">
        <v>128</v>
      </c>
      <c r="AD2" s="457" t="s">
        <v>79</v>
      </c>
      <c r="AE2" s="457" t="s">
        <v>110</v>
      </c>
      <c r="AF2" s="457" t="s">
        <v>125</v>
      </c>
      <c r="AG2" s="457" t="s">
        <v>74</v>
      </c>
      <c r="AH2" s="457" t="s">
        <v>126</v>
      </c>
      <c r="AI2" s="457" t="s">
        <v>127</v>
      </c>
      <c r="AJ2" s="458" t="s">
        <v>128</v>
      </c>
      <c r="AK2" s="457" t="s">
        <v>79</v>
      </c>
      <c r="AL2" s="457" t="s">
        <v>110</v>
      </c>
      <c r="AM2" s="457" t="s">
        <v>125</v>
      </c>
      <c r="AN2" s="457" t="s">
        <v>74</v>
      </c>
      <c r="AO2" s="457" t="s">
        <v>126</v>
      </c>
      <c r="AP2" s="457" t="s">
        <v>127</v>
      </c>
      <c r="AQ2" s="458" t="s">
        <v>128</v>
      </c>
      <c r="AR2" s="457" t="s">
        <v>79</v>
      </c>
      <c r="AS2" s="457" t="s">
        <v>110</v>
      </c>
      <c r="AT2" s="457" t="s">
        <v>125</v>
      </c>
      <c r="AU2" s="457" t="s">
        <v>74</v>
      </c>
      <c r="AV2" s="457" t="s">
        <v>126</v>
      </c>
      <c r="AW2" s="457" t="s">
        <v>127</v>
      </c>
      <c r="AX2" s="458" t="s">
        <v>128</v>
      </c>
      <c r="AY2" s="457" t="s">
        <v>79</v>
      </c>
      <c r="AZ2" s="457" t="s">
        <v>110</v>
      </c>
      <c r="BA2" s="457" t="s">
        <v>125</v>
      </c>
      <c r="BB2" s="457" t="s">
        <v>74</v>
      </c>
      <c r="BC2" s="457" t="s">
        <v>126</v>
      </c>
      <c r="BD2" s="457" t="s">
        <v>127</v>
      </c>
      <c r="BE2" s="458" t="s">
        <v>128</v>
      </c>
      <c r="BF2" s="457" t="s">
        <v>79</v>
      </c>
      <c r="BG2" s="457" t="s">
        <v>110</v>
      </c>
      <c r="BH2" s="457" t="s">
        <v>125</v>
      </c>
      <c r="BI2" s="457" t="s">
        <v>74</v>
      </c>
      <c r="BJ2" s="457" t="s">
        <v>126</v>
      </c>
      <c r="BK2" s="457" t="s">
        <v>127</v>
      </c>
      <c r="BL2" s="458" t="s">
        <v>128</v>
      </c>
      <c r="BM2" s="457" t="s">
        <v>79</v>
      </c>
      <c r="BN2" s="457" t="s">
        <v>110</v>
      </c>
      <c r="BO2" s="457" t="s">
        <v>125</v>
      </c>
      <c r="BP2" s="457" t="s">
        <v>74</v>
      </c>
      <c r="BQ2" s="457" t="s">
        <v>126</v>
      </c>
      <c r="BR2" s="457" t="s">
        <v>127</v>
      </c>
      <c r="BS2" s="458" t="s">
        <v>128</v>
      </c>
    </row>
    <row r="3" spans="1:71">
      <c r="A3">
        <v>1</v>
      </c>
      <c r="B3" s="237">
        <v>0</v>
      </c>
      <c r="C3" s="237">
        <v>0</v>
      </c>
      <c r="D3">
        <v>0</v>
      </c>
      <c r="E3" s="237">
        <v>0</v>
      </c>
      <c r="F3">
        <v>0</v>
      </c>
      <c r="G3" s="237">
        <v>0</v>
      </c>
      <c r="H3" s="763">
        <v>0</v>
      </c>
      <c r="I3" s="237">
        <v>0</v>
      </c>
      <c r="J3" s="237">
        <v>0</v>
      </c>
      <c r="K3">
        <v>0</v>
      </c>
      <c r="L3" s="237">
        <v>0</v>
      </c>
      <c r="M3">
        <v>0</v>
      </c>
      <c r="N3" s="237">
        <v>0</v>
      </c>
      <c r="O3" s="763">
        <v>0</v>
      </c>
      <c r="P3" s="237">
        <v>0</v>
      </c>
      <c r="Q3" s="237">
        <v>0</v>
      </c>
      <c r="R3">
        <v>0</v>
      </c>
      <c r="S3" s="237">
        <v>0</v>
      </c>
      <c r="T3">
        <v>0</v>
      </c>
      <c r="U3" s="237">
        <v>0</v>
      </c>
      <c r="V3" s="763">
        <v>0</v>
      </c>
      <c r="W3" s="237">
        <v>1270.9004933081733</v>
      </c>
      <c r="X3" s="237">
        <v>101.57463504764769</v>
      </c>
      <c r="Y3">
        <v>0</v>
      </c>
      <c r="Z3" s="237">
        <v>0</v>
      </c>
      <c r="AA3">
        <v>0</v>
      </c>
      <c r="AB3" s="237">
        <v>0</v>
      </c>
      <c r="AC3" s="763">
        <v>1357.5421645458171</v>
      </c>
      <c r="AD3" s="237">
        <v>0</v>
      </c>
      <c r="AE3" s="237">
        <v>0</v>
      </c>
      <c r="AF3">
        <v>0</v>
      </c>
      <c r="AG3" s="237">
        <v>0</v>
      </c>
      <c r="AH3">
        <v>0</v>
      </c>
      <c r="AI3" s="237">
        <v>0</v>
      </c>
      <c r="AJ3" s="763">
        <v>0</v>
      </c>
      <c r="AK3" s="237">
        <v>0</v>
      </c>
      <c r="AL3" s="237">
        <v>0</v>
      </c>
      <c r="AM3">
        <v>0</v>
      </c>
      <c r="AN3" s="237">
        <v>0</v>
      </c>
      <c r="AO3">
        <v>0</v>
      </c>
      <c r="AP3" s="237">
        <v>0</v>
      </c>
      <c r="AQ3" s="763">
        <v>0</v>
      </c>
      <c r="AR3" s="237">
        <v>0</v>
      </c>
      <c r="AS3" s="237">
        <v>0</v>
      </c>
      <c r="AT3">
        <v>0</v>
      </c>
      <c r="AU3" s="237">
        <v>0</v>
      </c>
      <c r="AV3">
        <v>0</v>
      </c>
      <c r="AW3" s="237">
        <v>0</v>
      </c>
      <c r="AX3" s="763">
        <v>0</v>
      </c>
      <c r="AY3" s="237">
        <v>0</v>
      </c>
      <c r="AZ3" s="237">
        <v>0</v>
      </c>
      <c r="BA3">
        <v>0</v>
      </c>
      <c r="BB3" s="237">
        <v>0</v>
      </c>
      <c r="BC3">
        <v>0</v>
      </c>
      <c r="BD3" s="237">
        <v>0</v>
      </c>
      <c r="BE3" s="763">
        <v>0</v>
      </c>
      <c r="BF3" s="237">
        <v>1951.8938585196602</v>
      </c>
      <c r="BG3" s="237">
        <v>155.86267175780404</v>
      </c>
      <c r="BH3">
        <v>0</v>
      </c>
      <c r="BI3" s="237">
        <v>0</v>
      </c>
      <c r="BJ3">
        <v>0</v>
      </c>
      <c r="BK3" s="237">
        <v>0</v>
      </c>
      <c r="BL3" s="763">
        <v>2084.8234720845344</v>
      </c>
      <c r="BM3" s="237">
        <v>3156.3087091615462</v>
      </c>
      <c r="BN3" s="237">
        <v>268.51913172642389</v>
      </c>
      <c r="BO3">
        <v>0</v>
      </c>
      <c r="BP3" s="237">
        <v>0</v>
      </c>
      <c r="BQ3">
        <v>0</v>
      </c>
      <c r="BR3" s="237">
        <v>0</v>
      </c>
      <c r="BS3" s="763">
        <v>3387.5646299584282</v>
      </c>
    </row>
    <row r="4" spans="1:71">
      <c r="A4">
        <f>A3+1</f>
        <v>2</v>
      </c>
      <c r="B4" s="237">
        <v>0</v>
      </c>
      <c r="C4" s="237">
        <v>0</v>
      </c>
      <c r="D4">
        <v>0</v>
      </c>
      <c r="E4" s="237">
        <v>0</v>
      </c>
      <c r="F4">
        <v>0</v>
      </c>
      <c r="G4" s="237">
        <v>0</v>
      </c>
      <c r="H4" s="763">
        <v>0</v>
      </c>
      <c r="I4" s="237">
        <v>0</v>
      </c>
      <c r="J4" s="237">
        <v>0</v>
      </c>
      <c r="K4">
        <v>0</v>
      </c>
      <c r="L4" s="237">
        <v>0</v>
      </c>
      <c r="M4">
        <v>0</v>
      </c>
      <c r="N4" s="237">
        <v>0</v>
      </c>
      <c r="O4" s="763">
        <v>0</v>
      </c>
      <c r="P4" s="237">
        <v>1124.6366568480598</v>
      </c>
      <c r="Q4" s="237">
        <v>77.852899129390721</v>
      </c>
      <c r="R4">
        <v>0</v>
      </c>
      <c r="S4" s="237">
        <v>325.12570132140598</v>
      </c>
      <c r="T4">
        <v>0</v>
      </c>
      <c r="U4" s="237">
        <v>0</v>
      </c>
      <c r="V4" s="763">
        <v>1499.1317539733627</v>
      </c>
      <c r="W4" s="237">
        <v>829.13842081281882</v>
      </c>
      <c r="X4" s="237">
        <v>66.265745520856655</v>
      </c>
      <c r="Y4">
        <v>0</v>
      </c>
      <c r="Z4" s="237">
        <v>0</v>
      </c>
      <c r="AA4">
        <v>0</v>
      </c>
      <c r="AB4" s="237">
        <v>0</v>
      </c>
      <c r="AC4" s="763">
        <v>885.66188559216175</v>
      </c>
      <c r="AD4" s="237">
        <v>0</v>
      </c>
      <c r="AE4" s="237">
        <v>0</v>
      </c>
      <c r="AF4">
        <v>0</v>
      </c>
      <c r="AG4" s="237">
        <v>0</v>
      </c>
      <c r="AH4">
        <v>0</v>
      </c>
      <c r="AI4" s="237">
        <v>0</v>
      </c>
      <c r="AJ4" s="763">
        <v>0</v>
      </c>
      <c r="AK4" s="237">
        <v>0</v>
      </c>
      <c r="AL4" s="237">
        <v>0</v>
      </c>
      <c r="AM4">
        <v>0</v>
      </c>
      <c r="AN4" s="237">
        <v>0</v>
      </c>
      <c r="AO4">
        <v>0</v>
      </c>
      <c r="AP4" s="237">
        <v>0</v>
      </c>
      <c r="AQ4" s="763">
        <v>0</v>
      </c>
      <c r="AR4" s="237">
        <v>1191.5938101832071</v>
      </c>
      <c r="AS4" s="237">
        <v>95.204670399294955</v>
      </c>
      <c r="AT4">
        <v>0</v>
      </c>
      <c r="AU4" s="237">
        <v>0</v>
      </c>
      <c r="AV4">
        <v>0</v>
      </c>
      <c r="AW4" s="237">
        <v>0</v>
      </c>
      <c r="AX4" s="763">
        <v>1272.7977058184986</v>
      </c>
      <c r="AY4" s="237">
        <v>0</v>
      </c>
      <c r="AZ4" s="237">
        <v>0</v>
      </c>
      <c r="BA4">
        <v>0</v>
      </c>
      <c r="BB4" s="237">
        <v>0</v>
      </c>
      <c r="BC4">
        <v>0</v>
      </c>
      <c r="BD4" s="237">
        <v>0</v>
      </c>
      <c r="BE4" s="763">
        <v>0</v>
      </c>
      <c r="BF4" s="237">
        <v>1738.6137785257233</v>
      </c>
      <c r="BG4" s="237">
        <v>146.71101743711364</v>
      </c>
      <c r="BH4">
        <v>0</v>
      </c>
      <c r="BI4" s="237">
        <v>0</v>
      </c>
      <c r="BJ4">
        <v>0</v>
      </c>
      <c r="BK4" s="237">
        <v>0</v>
      </c>
      <c r="BL4" s="763">
        <v>1864.8118654429645</v>
      </c>
      <c r="BM4" s="237">
        <v>1308.5101280890569</v>
      </c>
      <c r="BN4" s="237">
        <v>110.156654698054</v>
      </c>
      <c r="BO4">
        <v>0</v>
      </c>
      <c r="BP4" s="237">
        <v>0</v>
      </c>
      <c r="BQ4">
        <v>0</v>
      </c>
      <c r="BR4" s="237">
        <v>0</v>
      </c>
      <c r="BS4" s="763">
        <v>1403.2312391563908</v>
      </c>
    </row>
    <row r="5" spans="1:71">
      <c r="A5">
        <v>3</v>
      </c>
      <c r="B5" s="237">
        <v>0</v>
      </c>
      <c r="C5" s="237">
        <v>0</v>
      </c>
      <c r="D5">
        <v>0</v>
      </c>
      <c r="E5" s="237">
        <v>0</v>
      </c>
      <c r="F5">
        <v>0</v>
      </c>
      <c r="G5" s="237">
        <v>0</v>
      </c>
      <c r="H5" s="763">
        <v>0</v>
      </c>
      <c r="I5" s="237">
        <v>0</v>
      </c>
      <c r="J5" s="237">
        <v>0</v>
      </c>
      <c r="K5">
        <v>0</v>
      </c>
      <c r="L5" s="237">
        <v>0</v>
      </c>
      <c r="M5">
        <v>0</v>
      </c>
      <c r="N5" s="237">
        <v>0</v>
      </c>
      <c r="O5" s="763">
        <v>0</v>
      </c>
      <c r="P5" s="237">
        <v>54.934145363701717</v>
      </c>
      <c r="Q5" s="237">
        <v>3.7360767099592422</v>
      </c>
      <c r="R5">
        <v>0</v>
      </c>
      <c r="S5" s="237">
        <v>14.647501833703782</v>
      </c>
      <c r="T5">
        <v>0</v>
      </c>
      <c r="U5" s="237">
        <v>0</v>
      </c>
      <c r="V5" s="763">
        <v>71.950661341869235</v>
      </c>
      <c r="W5" s="237">
        <v>0</v>
      </c>
      <c r="X5" s="237">
        <v>0</v>
      </c>
      <c r="Y5">
        <v>0</v>
      </c>
      <c r="Z5" s="237">
        <v>0</v>
      </c>
      <c r="AA5">
        <v>0</v>
      </c>
      <c r="AB5" s="237">
        <v>0</v>
      </c>
      <c r="AC5" s="763">
        <v>0</v>
      </c>
      <c r="AD5" s="237">
        <v>0</v>
      </c>
      <c r="AE5" s="237">
        <v>0</v>
      </c>
      <c r="AF5">
        <v>0</v>
      </c>
      <c r="AG5" s="237">
        <v>0</v>
      </c>
      <c r="AH5">
        <v>0</v>
      </c>
      <c r="AI5" s="237">
        <v>0</v>
      </c>
      <c r="AJ5" s="763">
        <v>0</v>
      </c>
      <c r="AK5" s="237">
        <v>0</v>
      </c>
      <c r="AL5" s="237">
        <v>0</v>
      </c>
      <c r="AM5">
        <v>0</v>
      </c>
      <c r="AN5" s="237">
        <v>0</v>
      </c>
      <c r="AO5">
        <v>0</v>
      </c>
      <c r="AP5" s="237">
        <v>0</v>
      </c>
      <c r="AQ5" s="763">
        <v>0</v>
      </c>
      <c r="AR5" s="237">
        <v>0</v>
      </c>
      <c r="AS5" s="237">
        <v>0</v>
      </c>
      <c r="AT5">
        <v>0</v>
      </c>
      <c r="AU5" s="237">
        <v>0</v>
      </c>
      <c r="AV5">
        <v>0</v>
      </c>
      <c r="AW5" s="237">
        <v>0</v>
      </c>
      <c r="AX5" s="763">
        <v>0</v>
      </c>
      <c r="AY5" s="237">
        <v>0</v>
      </c>
      <c r="AZ5" s="237">
        <v>0</v>
      </c>
      <c r="BA5">
        <v>0</v>
      </c>
      <c r="BB5" s="237">
        <v>2243</v>
      </c>
      <c r="BC5">
        <v>0</v>
      </c>
      <c r="BD5" s="237">
        <v>0</v>
      </c>
      <c r="BE5" s="763">
        <v>2130.1044634377968</v>
      </c>
      <c r="BF5" s="237">
        <v>682.23626447677611</v>
      </c>
      <c r="BG5" s="237">
        <v>56.114343616697525</v>
      </c>
      <c r="BH5">
        <v>0</v>
      </c>
      <c r="BI5" s="237">
        <v>0</v>
      </c>
      <c r="BJ5">
        <v>0</v>
      </c>
      <c r="BK5" s="237">
        <v>0</v>
      </c>
      <c r="BL5" s="763">
        <v>730.31711977593841</v>
      </c>
      <c r="BM5" s="237">
        <v>2465.9360612148712</v>
      </c>
      <c r="BN5" s="237">
        <v>205.56874661339651</v>
      </c>
      <c r="BO5">
        <v>0</v>
      </c>
      <c r="BP5" s="237">
        <v>0</v>
      </c>
      <c r="BQ5">
        <v>0</v>
      </c>
      <c r="BR5" s="237">
        <v>0</v>
      </c>
      <c r="BS5" s="763">
        <v>2642.4379899389396</v>
      </c>
    </row>
    <row r="6" spans="1:71">
      <c r="A6">
        <v>4</v>
      </c>
      <c r="B6" s="237">
        <v>0</v>
      </c>
      <c r="C6" s="237">
        <v>0</v>
      </c>
      <c r="D6">
        <v>0</v>
      </c>
      <c r="E6" s="237">
        <v>0</v>
      </c>
      <c r="F6">
        <v>0</v>
      </c>
      <c r="G6" s="237">
        <v>0</v>
      </c>
      <c r="H6" s="763">
        <v>0</v>
      </c>
      <c r="I6" s="237">
        <v>0</v>
      </c>
      <c r="J6" s="237">
        <v>0</v>
      </c>
      <c r="K6">
        <v>0</v>
      </c>
      <c r="L6" s="237">
        <v>0</v>
      </c>
      <c r="M6">
        <v>0</v>
      </c>
      <c r="N6" s="237">
        <v>0</v>
      </c>
      <c r="O6" s="763">
        <v>0</v>
      </c>
      <c r="P6" s="237">
        <v>0</v>
      </c>
      <c r="Q6" s="237">
        <v>0</v>
      </c>
      <c r="R6">
        <v>0</v>
      </c>
      <c r="S6" s="237">
        <v>0</v>
      </c>
      <c r="T6">
        <v>0</v>
      </c>
      <c r="U6" s="237">
        <v>0</v>
      </c>
      <c r="V6" s="763">
        <v>0</v>
      </c>
      <c r="W6" s="237">
        <v>0</v>
      </c>
      <c r="X6" s="237">
        <v>0</v>
      </c>
      <c r="Y6">
        <v>0</v>
      </c>
      <c r="Z6" s="237">
        <v>0</v>
      </c>
      <c r="AA6">
        <v>0</v>
      </c>
      <c r="AB6" s="237">
        <v>0</v>
      </c>
      <c r="AC6" s="763">
        <v>0</v>
      </c>
      <c r="AD6" s="237">
        <v>0</v>
      </c>
      <c r="AE6" s="237">
        <v>0</v>
      </c>
      <c r="AF6">
        <v>0</v>
      </c>
      <c r="AG6" s="237">
        <v>0</v>
      </c>
      <c r="AH6">
        <v>0</v>
      </c>
      <c r="AI6" s="237">
        <v>0</v>
      </c>
      <c r="AJ6" s="763">
        <v>0</v>
      </c>
      <c r="AK6" s="237">
        <v>0</v>
      </c>
      <c r="AL6" s="237">
        <v>0</v>
      </c>
      <c r="AM6">
        <v>0</v>
      </c>
      <c r="AN6" s="237">
        <v>0</v>
      </c>
      <c r="AO6">
        <v>0</v>
      </c>
      <c r="AP6" s="237">
        <v>0</v>
      </c>
      <c r="AQ6" s="763">
        <v>0</v>
      </c>
      <c r="AR6" s="237">
        <v>0</v>
      </c>
      <c r="AS6" s="237">
        <v>0</v>
      </c>
      <c r="AT6">
        <v>0</v>
      </c>
      <c r="AU6" s="237">
        <v>0</v>
      </c>
      <c r="AV6">
        <v>0</v>
      </c>
      <c r="AW6" s="237">
        <v>0</v>
      </c>
      <c r="AX6" s="763">
        <v>0</v>
      </c>
      <c r="AY6" s="237">
        <v>0</v>
      </c>
      <c r="AZ6" s="237">
        <v>0</v>
      </c>
      <c r="BA6">
        <v>0</v>
      </c>
      <c r="BB6" s="237">
        <v>0</v>
      </c>
      <c r="BC6">
        <v>0</v>
      </c>
      <c r="BD6" s="237">
        <v>0</v>
      </c>
      <c r="BE6" s="763">
        <v>0</v>
      </c>
      <c r="BF6" s="237">
        <v>0</v>
      </c>
      <c r="BG6" s="237">
        <v>0</v>
      </c>
      <c r="BH6">
        <v>0</v>
      </c>
      <c r="BI6" s="237">
        <v>0</v>
      </c>
      <c r="BJ6">
        <v>0</v>
      </c>
      <c r="BK6" s="237">
        <v>0</v>
      </c>
      <c r="BL6" s="763">
        <v>0</v>
      </c>
      <c r="BM6" s="237">
        <v>0</v>
      </c>
      <c r="BN6" s="237">
        <v>0</v>
      </c>
      <c r="BO6">
        <v>0</v>
      </c>
      <c r="BP6" s="237">
        <v>0</v>
      </c>
      <c r="BQ6">
        <v>0</v>
      </c>
      <c r="BR6" s="237">
        <v>0</v>
      </c>
      <c r="BS6" s="763">
        <v>0</v>
      </c>
    </row>
    <row r="7" spans="1:71">
      <c r="A7">
        <v>5</v>
      </c>
      <c r="B7" s="237">
        <v>0</v>
      </c>
      <c r="C7" s="237">
        <v>0</v>
      </c>
      <c r="D7">
        <v>0</v>
      </c>
      <c r="E7" s="237">
        <v>0</v>
      </c>
      <c r="F7">
        <v>0</v>
      </c>
      <c r="G7" s="237">
        <v>0</v>
      </c>
      <c r="H7" s="763">
        <v>0</v>
      </c>
      <c r="I7" s="237">
        <v>0</v>
      </c>
      <c r="J7" s="237">
        <v>0</v>
      </c>
      <c r="K7">
        <v>0</v>
      </c>
      <c r="L7" s="237">
        <v>0</v>
      </c>
      <c r="M7">
        <v>0</v>
      </c>
      <c r="N7" s="237">
        <v>0</v>
      </c>
      <c r="O7" s="763">
        <v>0</v>
      </c>
      <c r="P7" s="237">
        <v>0</v>
      </c>
      <c r="Q7" s="237">
        <v>0</v>
      </c>
      <c r="R7">
        <v>0</v>
      </c>
      <c r="S7" s="237">
        <v>0</v>
      </c>
      <c r="T7">
        <v>0</v>
      </c>
      <c r="U7" s="237">
        <v>0</v>
      </c>
      <c r="V7" s="763">
        <v>0</v>
      </c>
      <c r="W7" s="237">
        <v>0</v>
      </c>
      <c r="X7" s="237">
        <v>0</v>
      </c>
      <c r="Y7">
        <v>0</v>
      </c>
      <c r="Z7" s="237">
        <v>0</v>
      </c>
      <c r="AA7">
        <v>0</v>
      </c>
      <c r="AB7" s="237">
        <v>0</v>
      </c>
      <c r="AC7" s="763">
        <v>0</v>
      </c>
      <c r="AD7" s="237">
        <v>0</v>
      </c>
      <c r="AE7" s="237">
        <v>0</v>
      </c>
      <c r="AF7">
        <v>0</v>
      </c>
      <c r="AG7" s="237">
        <v>0</v>
      </c>
      <c r="AH7">
        <v>0</v>
      </c>
      <c r="AI7" s="237">
        <v>0</v>
      </c>
      <c r="AJ7" s="763">
        <v>0</v>
      </c>
      <c r="AK7" s="237">
        <v>0</v>
      </c>
      <c r="AL7" s="237">
        <v>0</v>
      </c>
      <c r="AM7">
        <v>0</v>
      </c>
      <c r="AN7" s="237">
        <v>0</v>
      </c>
      <c r="AO7">
        <v>0</v>
      </c>
      <c r="AP7" s="237">
        <v>0</v>
      </c>
      <c r="AQ7" s="763">
        <v>0</v>
      </c>
      <c r="AR7" s="237">
        <v>0</v>
      </c>
      <c r="AS7" s="237">
        <v>0</v>
      </c>
      <c r="AT7">
        <v>0</v>
      </c>
      <c r="AU7" s="237">
        <v>0</v>
      </c>
      <c r="AV7">
        <v>0</v>
      </c>
      <c r="AW7" s="237">
        <v>0</v>
      </c>
      <c r="AX7" s="763">
        <v>0</v>
      </c>
      <c r="AY7" s="237">
        <v>0</v>
      </c>
      <c r="AZ7" s="237">
        <v>0</v>
      </c>
      <c r="BA7">
        <v>0</v>
      </c>
      <c r="BB7" s="237">
        <v>0</v>
      </c>
      <c r="BC7">
        <v>0</v>
      </c>
      <c r="BD7" s="237">
        <v>0</v>
      </c>
      <c r="BE7" s="763">
        <v>0</v>
      </c>
      <c r="BF7" s="237">
        <v>0</v>
      </c>
      <c r="BG7" s="237">
        <v>0</v>
      </c>
      <c r="BH7">
        <v>0</v>
      </c>
      <c r="BI7" s="237">
        <v>0</v>
      </c>
      <c r="BJ7">
        <v>0</v>
      </c>
      <c r="BK7" s="237">
        <v>0</v>
      </c>
      <c r="BL7" s="763">
        <v>0</v>
      </c>
      <c r="BM7" s="237">
        <v>0</v>
      </c>
      <c r="BN7" s="237">
        <v>0</v>
      </c>
      <c r="BO7">
        <v>0</v>
      </c>
      <c r="BP7" s="237">
        <v>0</v>
      </c>
      <c r="BQ7">
        <v>0</v>
      </c>
      <c r="BR7" s="237">
        <v>0</v>
      </c>
      <c r="BS7" s="763">
        <v>0</v>
      </c>
    </row>
    <row r="8" spans="1:71">
      <c r="A8">
        <v>6</v>
      </c>
      <c r="B8" s="237">
        <v>0</v>
      </c>
      <c r="C8" s="237">
        <v>0</v>
      </c>
      <c r="D8">
        <v>0</v>
      </c>
      <c r="E8" s="237">
        <v>0</v>
      </c>
      <c r="F8">
        <v>0</v>
      </c>
      <c r="G8" s="237">
        <v>0</v>
      </c>
      <c r="H8" s="763">
        <v>0</v>
      </c>
      <c r="I8" s="237">
        <v>0</v>
      </c>
      <c r="J8" s="237">
        <v>0</v>
      </c>
      <c r="K8">
        <v>0</v>
      </c>
      <c r="L8" s="237">
        <v>0</v>
      </c>
      <c r="M8">
        <v>0</v>
      </c>
      <c r="N8" s="237">
        <v>0</v>
      </c>
      <c r="O8" s="763">
        <v>0</v>
      </c>
      <c r="P8" s="237">
        <v>0</v>
      </c>
      <c r="Q8" s="237">
        <v>0</v>
      </c>
      <c r="R8">
        <v>0</v>
      </c>
      <c r="S8" s="237">
        <v>0</v>
      </c>
      <c r="T8">
        <v>0</v>
      </c>
      <c r="U8" s="237">
        <v>0</v>
      </c>
      <c r="V8" s="763">
        <v>0</v>
      </c>
      <c r="W8" s="237">
        <v>0</v>
      </c>
      <c r="X8" s="237">
        <v>0</v>
      </c>
      <c r="Y8">
        <v>0</v>
      </c>
      <c r="Z8" s="237">
        <v>0</v>
      </c>
      <c r="AA8">
        <v>0</v>
      </c>
      <c r="AB8" s="237">
        <v>0</v>
      </c>
      <c r="AC8" s="763">
        <v>0</v>
      </c>
      <c r="AD8" s="237">
        <v>0</v>
      </c>
      <c r="AE8" s="237">
        <v>0</v>
      </c>
      <c r="AF8">
        <v>0</v>
      </c>
      <c r="AG8" s="237">
        <v>0</v>
      </c>
      <c r="AH8">
        <v>0</v>
      </c>
      <c r="AI8" s="237">
        <v>0</v>
      </c>
      <c r="AJ8" s="763">
        <v>0</v>
      </c>
      <c r="AK8" s="237">
        <v>0</v>
      </c>
      <c r="AL8" s="237">
        <v>0</v>
      </c>
      <c r="AM8">
        <v>0</v>
      </c>
      <c r="AN8" s="237">
        <v>0</v>
      </c>
      <c r="AO8">
        <v>0</v>
      </c>
      <c r="AP8" s="237">
        <v>0</v>
      </c>
      <c r="AQ8" s="763">
        <v>0</v>
      </c>
      <c r="AR8" s="237">
        <v>0</v>
      </c>
      <c r="AS8" s="237">
        <v>0</v>
      </c>
      <c r="AT8">
        <v>0</v>
      </c>
      <c r="AU8" s="237">
        <v>0</v>
      </c>
      <c r="AV8">
        <v>0</v>
      </c>
      <c r="AW8" s="237">
        <v>0</v>
      </c>
      <c r="AX8" s="763">
        <v>0</v>
      </c>
      <c r="AY8" s="237">
        <v>0</v>
      </c>
      <c r="AZ8" s="237">
        <v>0</v>
      </c>
      <c r="BA8">
        <v>0</v>
      </c>
      <c r="BB8" s="237">
        <v>0</v>
      </c>
      <c r="BC8">
        <v>0</v>
      </c>
      <c r="BD8" s="237">
        <v>0</v>
      </c>
      <c r="BE8" s="763">
        <v>0</v>
      </c>
      <c r="BF8" s="237">
        <v>0</v>
      </c>
      <c r="BG8" s="237">
        <v>0</v>
      </c>
      <c r="BH8">
        <v>0</v>
      </c>
      <c r="BI8" s="237">
        <v>0</v>
      </c>
      <c r="BJ8">
        <v>0</v>
      </c>
      <c r="BK8" s="237">
        <v>0</v>
      </c>
      <c r="BL8" s="763">
        <v>0</v>
      </c>
      <c r="BM8" s="237">
        <v>0</v>
      </c>
      <c r="BN8" s="237">
        <v>0</v>
      </c>
      <c r="BO8">
        <v>0</v>
      </c>
      <c r="BP8" s="237">
        <v>0</v>
      </c>
      <c r="BQ8">
        <v>0</v>
      </c>
      <c r="BR8" s="237">
        <v>0</v>
      </c>
      <c r="BS8" s="763">
        <v>0</v>
      </c>
    </row>
    <row r="9" spans="1:71">
      <c r="A9">
        <v>7</v>
      </c>
      <c r="B9" s="237">
        <v>0</v>
      </c>
      <c r="C9" s="237">
        <v>0</v>
      </c>
      <c r="D9">
        <v>0</v>
      </c>
      <c r="E9" s="237">
        <v>0</v>
      </c>
      <c r="F9">
        <v>0</v>
      </c>
      <c r="G9" s="237">
        <v>0</v>
      </c>
      <c r="H9" s="763">
        <v>0</v>
      </c>
      <c r="I9" s="237">
        <v>0</v>
      </c>
      <c r="J9" s="237">
        <v>0</v>
      </c>
      <c r="K9">
        <v>0</v>
      </c>
      <c r="L9" s="237">
        <v>0</v>
      </c>
      <c r="M9">
        <v>0</v>
      </c>
      <c r="N9" s="237">
        <v>0</v>
      </c>
      <c r="O9" s="763">
        <v>0</v>
      </c>
      <c r="P9" s="237">
        <v>0</v>
      </c>
      <c r="Q9" s="237">
        <v>0</v>
      </c>
      <c r="R9">
        <v>0</v>
      </c>
      <c r="S9" s="237">
        <v>0</v>
      </c>
      <c r="T9">
        <v>0</v>
      </c>
      <c r="U9" s="237">
        <v>0</v>
      </c>
      <c r="V9" s="763">
        <v>0</v>
      </c>
      <c r="W9" s="237">
        <v>0</v>
      </c>
      <c r="X9" s="237">
        <v>0</v>
      </c>
      <c r="Y9">
        <v>0</v>
      </c>
      <c r="Z9" s="237">
        <v>0</v>
      </c>
      <c r="AA9">
        <v>0</v>
      </c>
      <c r="AB9" s="237">
        <v>0</v>
      </c>
      <c r="AC9" s="763">
        <v>0</v>
      </c>
      <c r="AD9" s="237">
        <v>0</v>
      </c>
      <c r="AE9" s="237">
        <v>0</v>
      </c>
      <c r="AF9">
        <v>0</v>
      </c>
      <c r="AG9" s="237">
        <v>0</v>
      </c>
      <c r="AH9">
        <v>0</v>
      </c>
      <c r="AI9" s="237">
        <v>0</v>
      </c>
      <c r="AJ9" s="763">
        <v>0</v>
      </c>
      <c r="AK9" s="237">
        <v>0</v>
      </c>
      <c r="AL9" s="237">
        <v>0</v>
      </c>
      <c r="AM9">
        <v>0</v>
      </c>
      <c r="AN9" s="237">
        <v>0</v>
      </c>
      <c r="AO9">
        <v>0</v>
      </c>
      <c r="AP9" s="237">
        <v>0</v>
      </c>
      <c r="AQ9" s="763">
        <v>0</v>
      </c>
      <c r="AR9" s="237">
        <v>0</v>
      </c>
      <c r="AS9" s="237">
        <v>0</v>
      </c>
      <c r="AT9">
        <v>0</v>
      </c>
      <c r="AU9" s="237">
        <v>0</v>
      </c>
      <c r="AV9">
        <v>0</v>
      </c>
      <c r="AW9" s="237">
        <v>0</v>
      </c>
      <c r="AX9" s="763">
        <v>0</v>
      </c>
      <c r="AY9" s="237">
        <v>0</v>
      </c>
      <c r="AZ9" s="237">
        <v>0</v>
      </c>
      <c r="BA9">
        <v>0</v>
      </c>
      <c r="BB9" s="237">
        <v>0</v>
      </c>
      <c r="BC9">
        <v>0</v>
      </c>
      <c r="BD9" s="237">
        <v>0</v>
      </c>
      <c r="BE9" s="763">
        <v>0</v>
      </c>
      <c r="BF9" s="237">
        <v>0</v>
      </c>
      <c r="BG9" s="237">
        <v>0</v>
      </c>
      <c r="BH9">
        <v>0</v>
      </c>
      <c r="BI9" s="237">
        <v>0</v>
      </c>
      <c r="BJ9">
        <v>0</v>
      </c>
      <c r="BK9" s="237">
        <v>0</v>
      </c>
      <c r="BL9" s="763">
        <v>0</v>
      </c>
      <c r="BM9" s="237">
        <v>0</v>
      </c>
      <c r="BN9" s="237">
        <v>0</v>
      </c>
      <c r="BO9">
        <v>0</v>
      </c>
      <c r="BP9" s="237">
        <v>0</v>
      </c>
      <c r="BQ9">
        <v>0</v>
      </c>
      <c r="BR9" s="237">
        <v>0</v>
      </c>
      <c r="BS9" s="763">
        <v>0</v>
      </c>
    </row>
    <row r="10" spans="1:71">
      <c r="A10">
        <v>8</v>
      </c>
      <c r="B10" s="237">
        <v>0</v>
      </c>
      <c r="C10" s="237">
        <v>0</v>
      </c>
      <c r="D10">
        <v>0</v>
      </c>
      <c r="E10" s="237">
        <v>0</v>
      </c>
      <c r="F10">
        <v>0</v>
      </c>
      <c r="G10" s="237">
        <v>0</v>
      </c>
      <c r="H10" s="763">
        <v>0</v>
      </c>
      <c r="I10" s="237">
        <v>0</v>
      </c>
      <c r="J10" s="237">
        <v>0</v>
      </c>
      <c r="K10">
        <v>0</v>
      </c>
      <c r="L10" s="237">
        <v>0</v>
      </c>
      <c r="M10">
        <v>0</v>
      </c>
      <c r="N10" s="237">
        <v>0</v>
      </c>
      <c r="O10" s="763">
        <v>0</v>
      </c>
      <c r="P10" s="237">
        <v>0</v>
      </c>
      <c r="Q10" s="237">
        <v>0</v>
      </c>
      <c r="R10">
        <v>0</v>
      </c>
      <c r="S10" s="237">
        <v>0</v>
      </c>
      <c r="T10">
        <v>0</v>
      </c>
      <c r="U10" s="237">
        <v>0</v>
      </c>
      <c r="V10" s="763">
        <v>0</v>
      </c>
      <c r="W10" s="237">
        <v>0</v>
      </c>
      <c r="X10" s="237">
        <v>0</v>
      </c>
      <c r="Y10">
        <v>0</v>
      </c>
      <c r="Z10" s="237">
        <v>0</v>
      </c>
      <c r="AA10">
        <v>0</v>
      </c>
      <c r="AB10" s="237">
        <v>0</v>
      </c>
      <c r="AC10" s="763">
        <v>0</v>
      </c>
      <c r="AD10" s="237">
        <v>0</v>
      </c>
      <c r="AE10" s="237">
        <v>0</v>
      </c>
      <c r="AF10">
        <v>0</v>
      </c>
      <c r="AG10" s="237">
        <v>0</v>
      </c>
      <c r="AH10">
        <v>0</v>
      </c>
      <c r="AI10" s="237">
        <v>0</v>
      </c>
      <c r="AJ10" s="763">
        <v>0</v>
      </c>
      <c r="AK10" s="237">
        <v>0</v>
      </c>
      <c r="AL10" s="237">
        <v>0</v>
      </c>
      <c r="AM10">
        <v>0</v>
      </c>
      <c r="AN10" s="237">
        <v>0</v>
      </c>
      <c r="AO10">
        <v>0</v>
      </c>
      <c r="AP10" s="237">
        <v>0</v>
      </c>
      <c r="AQ10" s="763">
        <v>0</v>
      </c>
      <c r="AR10" s="237">
        <v>0</v>
      </c>
      <c r="AS10" s="237">
        <v>0</v>
      </c>
      <c r="AT10">
        <v>0</v>
      </c>
      <c r="AU10" s="237">
        <v>0</v>
      </c>
      <c r="AV10">
        <v>0</v>
      </c>
      <c r="AW10" s="237">
        <v>0</v>
      </c>
      <c r="AX10" s="763">
        <v>0</v>
      </c>
      <c r="AY10" s="237">
        <v>0</v>
      </c>
      <c r="AZ10" s="237">
        <v>0</v>
      </c>
      <c r="BA10">
        <v>0</v>
      </c>
      <c r="BB10" s="237">
        <v>0</v>
      </c>
      <c r="BC10">
        <v>0</v>
      </c>
      <c r="BD10" s="237">
        <v>0</v>
      </c>
      <c r="BE10" s="763">
        <v>0</v>
      </c>
      <c r="BF10" s="237">
        <v>0</v>
      </c>
      <c r="BG10" s="237">
        <v>0</v>
      </c>
      <c r="BH10">
        <v>0</v>
      </c>
      <c r="BI10" s="237">
        <v>0</v>
      </c>
      <c r="BJ10">
        <v>0</v>
      </c>
      <c r="BK10" s="237">
        <v>0</v>
      </c>
      <c r="BL10" s="763">
        <v>0</v>
      </c>
      <c r="BM10" s="237">
        <v>0</v>
      </c>
      <c r="BN10" s="237">
        <v>0</v>
      </c>
      <c r="BO10">
        <v>0</v>
      </c>
      <c r="BP10" s="237">
        <v>0</v>
      </c>
      <c r="BQ10">
        <v>0</v>
      </c>
      <c r="BR10" s="237">
        <v>0</v>
      </c>
      <c r="BS10" s="763">
        <v>0</v>
      </c>
    </row>
    <row r="11" spans="1:71">
      <c r="A11">
        <v>9</v>
      </c>
      <c r="B11" s="237">
        <v>0</v>
      </c>
      <c r="C11" s="237">
        <v>0</v>
      </c>
      <c r="D11">
        <v>0</v>
      </c>
      <c r="E11" s="237">
        <v>0</v>
      </c>
      <c r="F11">
        <v>0</v>
      </c>
      <c r="G11" s="237">
        <v>0</v>
      </c>
      <c r="H11" s="763">
        <v>0</v>
      </c>
      <c r="I11" s="237">
        <v>0</v>
      </c>
      <c r="J11" s="237">
        <v>0</v>
      </c>
      <c r="K11">
        <v>0</v>
      </c>
      <c r="L11" s="237">
        <v>0</v>
      </c>
      <c r="M11">
        <v>0</v>
      </c>
      <c r="N11" s="237">
        <v>0</v>
      </c>
      <c r="O11" s="763">
        <v>0</v>
      </c>
      <c r="P11" s="237">
        <v>0</v>
      </c>
      <c r="Q11" s="237">
        <v>0</v>
      </c>
      <c r="R11">
        <v>0</v>
      </c>
      <c r="S11" s="237">
        <v>0</v>
      </c>
      <c r="T11">
        <v>0</v>
      </c>
      <c r="U11" s="237">
        <v>0</v>
      </c>
      <c r="V11" s="763">
        <v>0</v>
      </c>
      <c r="W11" s="237">
        <v>0</v>
      </c>
      <c r="X11" s="237">
        <v>0</v>
      </c>
      <c r="Y11">
        <v>0</v>
      </c>
      <c r="Z11" s="237">
        <v>0</v>
      </c>
      <c r="AA11">
        <v>0</v>
      </c>
      <c r="AB11" s="237">
        <v>0</v>
      </c>
      <c r="AC11" s="763">
        <v>0</v>
      </c>
      <c r="AD11" s="237">
        <v>0</v>
      </c>
      <c r="AE11" s="237">
        <v>0</v>
      </c>
      <c r="AF11">
        <v>0</v>
      </c>
      <c r="AG11" s="237">
        <v>0</v>
      </c>
      <c r="AH11">
        <v>0</v>
      </c>
      <c r="AI11" s="237">
        <v>0</v>
      </c>
      <c r="AJ11" s="763">
        <v>0</v>
      </c>
      <c r="AK11" s="237">
        <v>0</v>
      </c>
      <c r="AL11" s="237">
        <v>0</v>
      </c>
      <c r="AM11">
        <v>0</v>
      </c>
      <c r="AN11" s="237">
        <v>0</v>
      </c>
      <c r="AO11">
        <v>0</v>
      </c>
      <c r="AP11" s="237">
        <v>0</v>
      </c>
      <c r="AQ11" s="763">
        <v>0</v>
      </c>
      <c r="AR11" s="237">
        <v>0</v>
      </c>
      <c r="AS11" s="237">
        <v>0</v>
      </c>
      <c r="AT11">
        <v>0</v>
      </c>
      <c r="AU11" s="237">
        <v>0</v>
      </c>
      <c r="AV11">
        <v>0</v>
      </c>
      <c r="AW11" s="237">
        <v>0</v>
      </c>
      <c r="AX11" s="763">
        <v>0</v>
      </c>
      <c r="AY11" s="237">
        <v>0</v>
      </c>
      <c r="AZ11" s="237">
        <v>0</v>
      </c>
      <c r="BA11">
        <v>0</v>
      </c>
      <c r="BB11" s="237">
        <v>0</v>
      </c>
      <c r="BC11">
        <v>0</v>
      </c>
      <c r="BD11" s="237">
        <v>0</v>
      </c>
      <c r="BE11" s="763">
        <v>0</v>
      </c>
      <c r="BF11" s="237">
        <v>0</v>
      </c>
      <c r="BG11" s="237">
        <v>0</v>
      </c>
      <c r="BH11">
        <v>0</v>
      </c>
      <c r="BI11" s="237">
        <v>0</v>
      </c>
      <c r="BJ11">
        <v>0</v>
      </c>
      <c r="BK11" s="237">
        <v>0</v>
      </c>
      <c r="BL11" s="763">
        <v>0</v>
      </c>
      <c r="BM11" s="237">
        <v>0</v>
      </c>
      <c r="BN11" s="237">
        <v>0</v>
      </c>
      <c r="BO11">
        <v>0</v>
      </c>
      <c r="BP11" s="237">
        <v>0</v>
      </c>
      <c r="BQ11">
        <v>0</v>
      </c>
      <c r="BR11" s="237">
        <v>0</v>
      </c>
      <c r="BS11" s="763">
        <v>0</v>
      </c>
    </row>
    <row r="12" spans="1:71">
      <c r="A12">
        <v>10</v>
      </c>
      <c r="B12" s="237">
        <v>0</v>
      </c>
      <c r="C12" s="237">
        <v>0</v>
      </c>
      <c r="D12">
        <v>0</v>
      </c>
      <c r="E12" s="237">
        <v>0</v>
      </c>
      <c r="F12">
        <v>0</v>
      </c>
      <c r="G12" s="237">
        <v>0</v>
      </c>
      <c r="H12" s="763">
        <v>0</v>
      </c>
      <c r="I12" s="237">
        <v>0</v>
      </c>
      <c r="J12" s="237">
        <v>0</v>
      </c>
      <c r="K12">
        <v>0</v>
      </c>
      <c r="L12" s="237">
        <v>0</v>
      </c>
      <c r="M12">
        <v>0</v>
      </c>
      <c r="N12" s="237">
        <v>0</v>
      </c>
      <c r="O12" s="763">
        <v>0</v>
      </c>
      <c r="P12" s="237">
        <v>0</v>
      </c>
      <c r="Q12" s="237">
        <v>0</v>
      </c>
      <c r="R12">
        <v>0</v>
      </c>
      <c r="S12" s="237">
        <v>0</v>
      </c>
      <c r="T12">
        <v>0</v>
      </c>
      <c r="U12" s="237">
        <v>0</v>
      </c>
      <c r="V12" s="763">
        <v>0</v>
      </c>
      <c r="W12" s="237">
        <v>0</v>
      </c>
      <c r="X12" s="237">
        <v>0</v>
      </c>
      <c r="Y12">
        <v>0</v>
      </c>
      <c r="Z12" s="237">
        <v>0</v>
      </c>
      <c r="AA12">
        <v>0</v>
      </c>
      <c r="AB12" s="237">
        <v>0</v>
      </c>
      <c r="AC12" s="763">
        <v>0</v>
      </c>
      <c r="AD12" s="237">
        <v>0</v>
      </c>
      <c r="AE12" s="237">
        <v>0</v>
      </c>
      <c r="AF12">
        <v>0</v>
      </c>
      <c r="AG12" s="237">
        <v>0</v>
      </c>
      <c r="AH12">
        <v>0</v>
      </c>
      <c r="AI12" s="237">
        <v>0</v>
      </c>
      <c r="AJ12" s="763">
        <v>0</v>
      </c>
      <c r="AK12" s="237">
        <v>0</v>
      </c>
      <c r="AL12" s="237">
        <v>0</v>
      </c>
      <c r="AM12">
        <v>0</v>
      </c>
      <c r="AN12" s="237">
        <v>0</v>
      </c>
      <c r="AO12">
        <v>0</v>
      </c>
      <c r="AP12" s="237">
        <v>0</v>
      </c>
      <c r="AQ12" s="763">
        <v>0</v>
      </c>
      <c r="AR12" s="237">
        <v>0</v>
      </c>
      <c r="AS12" s="237">
        <v>0</v>
      </c>
      <c r="AT12">
        <v>0</v>
      </c>
      <c r="AU12" s="237">
        <v>0</v>
      </c>
      <c r="AV12">
        <v>0</v>
      </c>
      <c r="AW12" s="237">
        <v>0</v>
      </c>
      <c r="AX12" s="763">
        <v>0</v>
      </c>
      <c r="AY12" s="237">
        <v>0</v>
      </c>
      <c r="AZ12" s="237">
        <v>0</v>
      </c>
      <c r="BA12">
        <v>0</v>
      </c>
      <c r="BB12" s="237">
        <v>0</v>
      </c>
      <c r="BC12">
        <v>0</v>
      </c>
      <c r="BD12" s="237">
        <v>0</v>
      </c>
      <c r="BE12" s="763">
        <v>0</v>
      </c>
      <c r="BF12" s="237">
        <v>0</v>
      </c>
      <c r="BG12" s="237">
        <v>0</v>
      </c>
      <c r="BH12">
        <v>0</v>
      </c>
      <c r="BI12" s="237">
        <v>0</v>
      </c>
      <c r="BJ12">
        <v>0</v>
      </c>
      <c r="BK12" s="237">
        <v>0</v>
      </c>
      <c r="BL12" s="763">
        <v>0</v>
      </c>
      <c r="BM12" s="237">
        <v>0</v>
      </c>
      <c r="BN12" s="237">
        <v>0</v>
      </c>
      <c r="BO12">
        <v>0</v>
      </c>
      <c r="BP12" s="237">
        <v>0</v>
      </c>
      <c r="BQ12">
        <v>0</v>
      </c>
      <c r="BR12" s="237">
        <v>0</v>
      </c>
      <c r="BS12" s="763">
        <v>0</v>
      </c>
    </row>
    <row r="13" spans="1:71">
      <c r="A13">
        <v>11</v>
      </c>
      <c r="B13" s="237">
        <v>0</v>
      </c>
      <c r="C13" s="237">
        <v>0</v>
      </c>
      <c r="D13">
        <v>0</v>
      </c>
      <c r="E13" s="237">
        <v>0</v>
      </c>
      <c r="F13">
        <v>0</v>
      </c>
      <c r="G13" s="237">
        <v>0</v>
      </c>
      <c r="H13" s="763">
        <v>0</v>
      </c>
      <c r="I13" s="237">
        <v>0</v>
      </c>
      <c r="J13" s="237">
        <v>0</v>
      </c>
      <c r="K13">
        <v>0</v>
      </c>
      <c r="L13" s="237">
        <v>0</v>
      </c>
      <c r="M13">
        <v>0</v>
      </c>
      <c r="N13" s="237">
        <v>0</v>
      </c>
      <c r="O13" s="763">
        <v>0</v>
      </c>
      <c r="P13" s="237">
        <v>0</v>
      </c>
      <c r="Q13" s="237">
        <v>0</v>
      </c>
      <c r="R13">
        <v>0</v>
      </c>
      <c r="S13" s="237">
        <v>0</v>
      </c>
      <c r="T13">
        <v>0</v>
      </c>
      <c r="U13" s="237">
        <v>0</v>
      </c>
      <c r="V13" s="763">
        <v>0</v>
      </c>
      <c r="W13" s="237">
        <v>0</v>
      </c>
      <c r="X13" s="237">
        <v>0</v>
      </c>
      <c r="Y13">
        <v>0</v>
      </c>
      <c r="Z13" s="237">
        <v>0</v>
      </c>
      <c r="AA13">
        <v>0</v>
      </c>
      <c r="AB13" s="237">
        <v>0</v>
      </c>
      <c r="AC13" s="763">
        <v>0</v>
      </c>
      <c r="AD13" s="237">
        <v>0</v>
      </c>
      <c r="AE13" s="237">
        <v>0</v>
      </c>
      <c r="AF13">
        <v>0</v>
      </c>
      <c r="AG13" s="237">
        <v>0</v>
      </c>
      <c r="AH13">
        <v>0</v>
      </c>
      <c r="AI13" s="237">
        <v>0</v>
      </c>
      <c r="AJ13" s="763">
        <v>0</v>
      </c>
      <c r="AK13" s="237">
        <v>0</v>
      </c>
      <c r="AL13" s="237">
        <v>0</v>
      </c>
      <c r="AM13">
        <v>0</v>
      </c>
      <c r="AN13" s="237">
        <v>0</v>
      </c>
      <c r="AO13">
        <v>0</v>
      </c>
      <c r="AP13" s="237">
        <v>0</v>
      </c>
      <c r="AQ13" s="763">
        <v>0</v>
      </c>
      <c r="AR13" s="237">
        <v>0</v>
      </c>
      <c r="AS13" s="237">
        <v>0</v>
      </c>
      <c r="AT13">
        <v>0</v>
      </c>
      <c r="AU13" s="237">
        <v>0</v>
      </c>
      <c r="AV13">
        <v>0</v>
      </c>
      <c r="AW13" s="237">
        <v>0</v>
      </c>
      <c r="AX13" s="763">
        <v>0</v>
      </c>
      <c r="AY13" s="237">
        <v>0</v>
      </c>
      <c r="AZ13" s="237">
        <v>0</v>
      </c>
      <c r="BA13">
        <v>0</v>
      </c>
      <c r="BB13" s="237">
        <v>0</v>
      </c>
      <c r="BC13">
        <v>0</v>
      </c>
      <c r="BD13" s="237">
        <v>0</v>
      </c>
      <c r="BE13" s="763">
        <v>0</v>
      </c>
      <c r="BF13" s="237">
        <v>0</v>
      </c>
      <c r="BG13" s="237">
        <v>0</v>
      </c>
      <c r="BH13">
        <v>0</v>
      </c>
      <c r="BI13" s="237">
        <v>0</v>
      </c>
      <c r="BJ13">
        <v>0</v>
      </c>
      <c r="BK13" s="237">
        <v>0</v>
      </c>
      <c r="BL13" s="763">
        <v>0</v>
      </c>
      <c r="BM13" s="237">
        <v>0</v>
      </c>
      <c r="BN13" s="237">
        <v>0</v>
      </c>
      <c r="BO13">
        <v>0</v>
      </c>
      <c r="BP13" s="237">
        <v>0</v>
      </c>
      <c r="BQ13">
        <v>0</v>
      </c>
      <c r="BR13" s="237">
        <v>0</v>
      </c>
      <c r="BS13" s="763">
        <v>0</v>
      </c>
    </row>
    <row r="14" spans="1:71">
      <c r="A14">
        <v>12</v>
      </c>
      <c r="B14" s="237">
        <v>0</v>
      </c>
      <c r="C14" s="237">
        <v>0</v>
      </c>
      <c r="D14">
        <v>0</v>
      </c>
      <c r="E14" s="237">
        <v>0</v>
      </c>
      <c r="F14">
        <v>0</v>
      </c>
      <c r="G14" s="237">
        <v>0</v>
      </c>
      <c r="H14" s="763">
        <v>0</v>
      </c>
      <c r="I14" s="237">
        <v>0</v>
      </c>
      <c r="J14" s="237">
        <v>0</v>
      </c>
      <c r="K14">
        <v>0</v>
      </c>
      <c r="L14" s="237">
        <v>0</v>
      </c>
      <c r="M14">
        <v>0</v>
      </c>
      <c r="N14" s="237">
        <v>0</v>
      </c>
      <c r="O14" s="763">
        <v>0</v>
      </c>
      <c r="P14" s="237">
        <v>0</v>
      </c>
      <c r="Q14" s="237">
        <v>0</v>
      </c>
      <c r="R14">
        <v>0</v>
      </c>
      <c r="S14" s="237">
        <v>0</v>
      </c>
      <c r="T14">
        <v>0</v>
      </c>
      <c r="U14" s="237">
        <v>0</v>
      </c>
      <c r="V14" s="763">
        <v>0</v>
      </c>
      <c r="W14" s="237">
        <v>0</v>
      </c>
      <c r="X14" s="237">
        <v>0</v>
      </c>
      <c r="Y14">
        <v>0</v>
      </c>
      <c r="Z14" s="237">
        <v>0</v>
      </c>
      <c r="AA14">
        <v>0</v>
      </c>
      <c r="AB14" s="237">
        <v>0</v>
      </c>
      <c r="AC14" s="763">
        <v>0</v>
      </c>
      <c r="AD14" s="237">
        <v>0</v>
      </c>
      <c r="AE14" s="237">
        <v>0</v>
      </c>
      <c r="AF14">
        <v>0</v>
      </c>
      <c r="AG14" s="237">
        <v>0</v>
      </c>
      <c r="AH14">
        <v>0</v>
      </c>
      <c r="AI14" s="237">
        <v>0</v>
      </c>
      <c r="AJ14" s="763">
        <v>0</v>
      </c>
      <c r="AK14" s="237">
        <v>0</v>
      </c>
      <c r="AL14" s="237">
        <v>0</v>
      </c>
      <c r="AM14">
        <v>0</v>
      </c>
      <c r="AN14" s="237">
        <v>0</v>
      </c>
      <c r="AO14">
        <v>0</v>
      </c>
      <c r="AP14" s="237">
        <v>0</v>
      </c>
      <c r="AQ14" s="763">
        <v>0</v>
      </c>
      <c r="AR14" s="237">
        <v>0</v>
      </c>
      <c r="AS14" s="237">
        <v>0</v>
      </c>
      <c r="AT14">
        <v>0</v>
      </c>
      <c r="AU14" s="237">
        <v>0</v>
      </c>
      <c r="AV14">
        <v>0</v>
      </c>
      <c r="AW14" s="237">
        <v>0</v>
      </c>
      <c r="AX14" s="763">
        <v>0</v>
      </c>
      <c r="AY14" s="237">
        <v>0</v>
      </c>
      <c r="AZ14" s="237">
        <v>0</v>
      </c>
      <c r="BA14">
        <v>0</v>
      </c>
      <c r="BB14" s="237">
        <v>0</v>
      </c>
      <c r="BC14">
        <v>0</v>
      </c>
      <c r="BD14" s="237">
        <v>0</v>
      </c>
      <c r="BE14" s="763">
        <v>0</v>
      </c>
      <c r="BF14" s="237">
        <v>0</v>
      </c>
      <c r="BG14" s="237">
        <v>0</v>
      </c>
      <c r="BH14">
        <v>0</v>
      </c>
      <c r="BI14" s="237">
        <v>0</v>
      </c>
      <c r="BJ14">
        <v>0</v>
      </c>
      <c r="BK14" s="237">
        <v>0</v>
      </c>
      <c r="BL14" s="763">
        <v>0</v>
      </c>
      <c r="BM14" s="237">
        <v>0</v>
      </c>
      <c r="BN14" s="237">
        <v>0</v>
      </c>
      <c r="BO14">
        <v>0</v>
      </c>
      <c r="BP14" s="237">
        <v>0</v>
      </c>
      <c r="BQ14">
        <v>0</v>
      </c>
      <c r="BR14" s="237">
        <v>0</v>
      </c>
      <c r="BS14" s="763">
        <v>0</v>
      </c>
    </row>
    <row r="15" spans="1:71">
      <c r="A15">
        <v>13</v>
      </c>
      <c r="B15" s="237">
        <v>0</v>
      </c>
      <c r="C15" s="237">
        <v>0</v>
      </c>
      <c r="D15">
        <v>0</v>
      </c>
      <c r="E15" s="237">
        <v>0</v>
      </c>
      <c r="F15">
        <v>0</v>
      </c>
      <c r="G15" s="237">
        <v>0</v>
      </c>
      <c r="H15" s="763">
        <v>0</v>
      </c>
      <c r="I15" s="237">
        <v>0</v>
      </c>
      <c r="J15" s="237">
        <v>0</v>
      </c>
      <c r="K15">
        <v>0</v>
      </c>
      <c r="L15" s="237">
        <v>0</v>
      </c>
      <c r="M15">
        <v>0</v>
      </c>
      <c r="N15" s="237">
        <v>0</v>
      </c>
      <c r="O15" s="763">
        <v>0</v>
      </c>
      <c r="P15" s="237">
        <v>0</v>
      </c>
      <c r="Q15" s="237">
        <v>0</v>
      </c>
      <c r="R15">
        <v>0</v>
      </c>
      <c r="S15" s="237">
        <v>0</v>
      </c>
      <c r="T15">
        <v>0</v>
      </c>
      <c r="U15" s="237">
        <v>0</v>
      </c>
      <c r="V15" s="763">
        <v>0</v>
      </c>
      <c r="W15" s="237">
        <v>0</v>
      </c>
      <c r="X15" s="237">
        <v>0</v>
      </c>
      <c r="Y15">
        <v>0</v>
      </c>
      <c r="Z15" s="237">
        <v>0</v>
      </c>
      <c r="AA15">
        <v>0</v>
      </c>
      <c r="AB15" s="237">
        <v>0</v>
      </c>
      <c r="AC15" s="763">
        <v>0</v>
      </c>
      <c r="AD15" s="237">
        <v>0</v>
      </c>
      <c r="AE15" s="237">
        <v>0</v>
      </c>
      <c r="AF15">
        <v>0</v>
      </c>
      <c r="AG15" s="237">
        <v>0</v>
      </c>
      <c r="AH15">
        <v>0</v>
      </c>
      <c r="AI15" s="237">
        <v>0</v>
      </c>
      <c r="AJ15" s="763">
        <v>0</v>
      </c>
      <c r="AK15" s="237">
        <v>0</v>
      </c>
      <c r="AL15" s="237">
        <v>0</v>
      </c>
      <c r="AM15">
        <v>0</v>
      </c>
      <c r="AN15" s="237">
        <v>0</v>
      </c>
      <c r="AO15">
        <v>0</v>
      </c>
      <c r="AP15" s="237">
        <v>0</v>
      </c>
      <c r="AQ15" s="763">
        <v>0</v>
      </c>
      <c r="AR15" s="237">
        <v>0</v>
      </c>
      <c r="AS15" s="237">
        <v>0</v>
      </c>
      <c r="AT15">
        <v>0</v>
      </c>
      <c r="AU15" s="237">
        <v>0</v>
      </c>
      <c r="AV15">
        <v>0</v>
      </c>
      <c r="AW15" s="237">
        <v>0</v>
      </c>
      <c r="AX15" s="763">
        <v>0</v>
      </c>
      <c r="AY15" s="237">
        <v>0</v>
      </c>
      <c r="AZ15" s="237">
        <v>0</v>
      </c>
      <c r="BA15">
        <v>0</v>
      </c>
      <c r="BB15" s="237">
        <v>0</v>
      </c>
      <c r="BC15">
        <v>0</v>
      </c>
      <c r="BD15" s="237">
        <v>0</v>
      </c>
      <c r="BE15" s="763">
        <v>0</v>
      </c>
      <c r="BF15" s="237">
        <v>0</v>
      </c>
      <c r="BG15" s="237">
        <v>0</v>
      </c>
      <c r="BH15">
        <v>0</v>
      </c>
      <c r="BI15" s="237">
        <v>0</v>
      </c>
      <c r="BJ15">
        <v>0</v>
      </c>
      <c r="BK15" s="237">
        <v>0</v>
      </c>
      <c r="BL15" s="763">
        <v>0</v>
      </c>
      <c r="BM15" s="237">
        <v>0</v>
      </c>
      <c r="BN15" s="237">
        <v>0</v>
      </c>
      <c r="BO15">
        <v>0</v>
      </c>
      <c r="BP15" s="237">
        <v>0</v>
      </c>
      <c r="BQ15">
        <v>0</v>
      </c>
      <c r="BR15" s="237">
        <v>0</v>
      </c>
      <c r="BS15" s="763">
        <v>0</v>
      </c>
    </row>
    <row r="16" spans="1:71">
      <c r="A16">
        <v>14</v>
      </c>
      <c r="B16" s="237">
        <v>0</v>
      </c>
      <c r="C16" s="237">
        <v>0</v>
      </c>
      <c r="D16">
        <v>0</v>
      </c>
      <c r="E16" s="237">
        <v>0</v>
      </c>
      <c r="F16">
        <v>0</v>
      </c>
      <c r="G16" s="237">
        <v>0</v>
      </c>
      <c r="H16" s="763">
        <v>0</v>
      </c>
      <c r="I16" s="237">
        <v>0</v>
      </c>
      <c r="J16" s="237">
        <v>0</v>
      </c>
      <c r="K16">
        <v>0</v>
      </c>
      <c r="L16" s="237">
        <v>0</v>
      </c>
      <c r="M16">
        <v>0</v>
      </c>
      <c r="N16" s="237">
        <v>0</v>
      </c>
      <c r="O16" s="763">
        <v>0</v>
      </c>
      <c r="P16" s="237">
        <v>0</v>
      </c>
      <c r="Q16" s="237">
        <v>0</v>
      </c>
      <c r="R16">
        <v>0</v>
      </c>
      <c r="S16" s="237">
        <v>0</v>
      </c>
      <c r="T16">
        <v>0</v>
      </c>
      <c r="U16" s="237">
        <v>0</v>
      </c>
      <c r="V16" s="763">
        <v>0</v>
      </c>
      <c r="W16" s="237">
        <v>0</v>
      </c>
      <c r="X16" s="237">
        <v>0</v>
      </c>
      <c r="Y16">
        <v>0</v>
      </c>
      <c r="Z16" s="237">
        <v>0</v>
      </c>
      <c r="AA16">
        <v>0</v>
      </c>
      <c r="AB16" s="237">
        <v>0</v>
      </c>
      <c r="AC16" s="763">
        <v>0</v>
      </c>
      <c r="AD16" s="237">
        <v>0</v>
      </c>
      <c r="AE16" s="237">
        <v>0</v>
      </c>
      <c r="AF16">
        <v>0</v>
      </c>
      <c r="AG16" s="237">
        <v>0</v>
      </c>
      <c r="AH16">
        <v>0</v>
      </c>
      <c r="AI16" s="237">
        <v>0</v>
      </c>
      <c r="AJ16" s="763">
        <v>0</v>
      </c>
      <c r="AK16" s="237">
        <v>0</v>
      </c>
      <c r="AL16" s="237">
        <v>0</v>
      </c>
      <c r="AM16">
        <v>0</v>
      </c>
      <c r="AN16" s="237">
        <v>0</v>
      </c>
      <c r="AO16">
        <v>0</v>
      </c>
      <c r="AP16" s="237">
        <v>0</v>
      </c>
      <c r="AQ16" s="763">
        <v>0</v>
      </c>
      <c r="AR16" s="237">
        <v>0</v>
      </c>
      <c r="AS16" s="237">
        <v>0</v>
      </c>
      <c r="AT16">
        <v>0</v>
      </c>
      <c r="AU16" s="237">
        <v>0</v>
      </c>
      <c r="AV16">
        <v>0</v>
      </c>
      <c r="AW16" s="237">
        <v>0</v>
      </c>
      <c r="AX16" s="763">
        <v>0</v>
      </c>
      <c r="AY16" s="237">
        <v>0</v>
      </c>
      <c r="AZ16" s="237">
        <v>0</v>
      </c>
      <c r="BA16">
        <v>0</v>
      </c>
      <c r="BB16" s="237">
        <v>0</v>
      </c>
      <c r="BC16">
        <v>0</v>
      </c>
      <c r="BD16" s="237">
        <v>0</v>
      </c>
      <c r="BE16" s="763">
        <v>0</v>
      </c>
      <c r="BF16" s="237">
        <v>0</v>
      </c>
      <c r="BG16" s="237">
        <v>0</v>
      </c>
      <c r="BH16">
        <v>0</v>
      </c>
      <c r="BI16" s="237">
        <v>0</v>
      </c>
      <c r="BJ16">
        <v>0</v>
      </c>
      <c r="BK16" s="237">
        <v>0</v>
      </c>
      <c r="BL16" s="763">
        <v>0</v>
      </c>
      <c r="BM16" s="237">
        <v>0</v>
      </c>
      <c r="BN16" s="237">
        <v>0</v>
      </c>
      <c r="BO16">
        <v>0</v>
      </c>
      <c r="BP16" s="237">
        <v>0</v>
      </c>
      <c r="BQ16">
        <v>0</v>
      </c>
      <c r="BR16" s="237">
        <v>0</v>
      </c>
      <c r="BS16" s="763">
        <v>0</v>
      </c>
    </row>
    <row r="17" spans="1:71">
      <c r="A17">
        <v>15</v>
      </c>
      <c r="B17" s="237">
        <v>0</v>
      </c>
      <c r="C17" s="237">
        <v>0</v>
      </c>
      <c r="D17">
        <v>0</v>
      </c>
      <c r="E17" s="237">
        <v>0</v>
      </c>
      <c r="F17">
        <v>0</v>
      </c>
      <c r="G17" s="237">
        <v>0</v>
      </c>
      <c r="H17" s="763">
        <v>0</v>
      </c>
      <c r="I17" s="237">
        <v>0</v>
      </c>
      <c r="J17" s="237">
        <v>0</v>
      </c>
      <c r="K17">
        <v>0</v>
      </c>
      <c r="L17" s="237">
        <v>0</v>
      </c>
      <c r="M17">
        <v>0</v>
      </c>
      <c r="N17" s="237">
        <v>0</v>
      </c>
      <c r="O17" s="763">
        <v>0</v>
      </c>
      <c r="P17" s="237">
        <v>0</v>
      </c>
      <c r="Q17" s="237">
        <v>0</v>
      </c>
      <c r="R17">
        <v>0</v>
      </c>
      <c r="S17" s="237">
        <v>0</v>
      </c>
      <c r="T17">
        <v>0</v>
      </c>
      <c r="U17" s="237">
        <v>0</v>
      </c>
      <c r="V17" s="763">
        <v>0</v>
      </c>
      <c r="W17" s="237">
        <v>0</v>
      </c>
      <c r="X17" s="237">
        <v>0</v>
      </c>
      <c r="Y17">
        <v>0</v>
      </c>
      <c r="Z17" s="237">
        <v>0</v>
      </c>
      <c r="AA17">
        <v>0</v>
      </c>
      <c r="AB17" s="237">
        <v>0</v>
      </c>
      <c r="AC17" s="763">
        <v>0</v>
      </c>
      <c r="AD17" s="237">
        <v>0</v>
      </c>
      <c r="AE17" s="237">
        <v>0</v>
      </c>
      <c r="AF17">
        <v>0</v>
      </c>
      <c r="AG17" s="237">
        <v>0</v>
      </c>
      <c r="AH17">
        <v>0</v>
      </c>
      <c r="AI17" s="237">
        <v>0</v>
      </c>
      <c r="AJ17" s="763">
        <v>0</v>
      </c>
      <c r="AK17" s="237">
        <v>0</v>
      </c>
      <c r="AL17" s="237">
        <v>0</v>
      </c>
      <c r="AM17">
        <v>0</v>
      </c>
      <c r="AN17" s="237">
        <v>0</v>
      </c>
      <c r="AO17">
        <v>0</v>
      </c>
      <c r="AP17" s="237">
        <v>0</v>
      </c>
      <c r="AQ17" s="763">
        <v>0</v>
      </c>
      <c r="AR17" s="237">
        <v>0</v>
      </c>
      <c r="AS17" s="237">
        <v>0</v>
      </c>
      <c r="AT17">
        <v>0</v>
      </c>
      <c r="AU17" s="237">
        <v>0</v>
      </c>
      <c r="AV17">
        <v>0</v>
      </c>
      <c r="AW17" s="237">
        <v>0</v>
      </c>
      <c r="AX17" s="763">
        <v>0</v>
      </c>
      <c r="AY17" s="237">
        <v>0</v>
      </c>
      <c r="AZ17" s="237">
        <v>0</v>
      </c>
      <c r="BA17">
        <v>0</v>
      </c>
      <c r="BB17" s="237">
        <v>0</v>
      </c>
      <c r="BC17">
        <v>0</v>
      </c>
      <c r="BD17" s="237">
        <v>0</v>
      </c>
      <c r="BE17" s="763">
        <v>0</v>
      </c>
      <c r="BF17" s="237">
        <v>0</v>
      </c>
      <c r="BG17" s="237">
        <v>0</v>
      </c>
      <c r="BH17">
        <v>0</v>
      </c>
      <c r="BI17" s="237">
        <v>0</v>
      </c>
      <c r="BJ17">
        <v>0</v>
      </c>
      <c r="BK17" s="237">
        <v>0</v>
      </c>
      <c r="BL17" s="763">
        <v>0</v>
      </c>
      <c r="BM17" s="237">
        <v>0</v>
      </c>
      <c r="BN17" s="237">
        <v>0</v>
      </c>
      <c r="BO17">
        <v>0</v>
      </c>
      <c r="BP17" s="237">
        <v>0</v>
      </c>
      <c r="BQ17">
        <v>0</v>
      </c>
      <c r="BR17" s="237">
        <v>0</v>
      </c>
      <c r="BS17" s="763">
        <v>0</v>
      </c>
    </row>
    <row r="18" spans="1:71">
      <c r="A18">
        <v>16</v>
      </c>
      <c r="B18" s="237">
        <v>0</v>
      </c>
      <c r="C18" s="237">
        <v>0</v>
      </c>
      <c r="D18">
        <v>0</v>
      </c>
      <c r="E18" s="237">
        <v>0</v>
      </c>
      <c r="F18">
        <v>0</v>
      </c>
      <c r="G18" s="237">
        <v>0</v>
      </c>
      <c r="H18" s="763">
        <v>0</v>
      </c>
      <c r="I18" s="237">
        <v>0</v>
      </c>
      <c r="J18" s="237">
        <v>0</v>
      </c>
      <c r="K18">
        <v>0</v>
      </c>
      <c r="L18" s="237">
        <v>0</v>
      </c>
      <c r="M18">
        <v>0</v>
      </c>
      <c r="N18" s="237">
        <v>0</v>
      </c>
      <c r="O18" s="763">
        <v>0</v>
      </c>
      <c r="P18" s="237">
        <v>0</v>
      </c>
      <c r="Q18" s="237">
        <v>0</v>
      </c>
      <c r="R18">
        <v>0</v>
      </c>
      <c r="S18" s="237">
        <v>0</v>
      </c>
      <c r="T18">
        <v>0</v>
      </c>
      <c r="U18" s="237">
        <v>0</v>
      </c>
      <c r="V18" s="763">
        <v>0</v>
      </c>
      <c r="W18" s="237">
        <v>0</v>
      </c>
      <c r="X18" s="237">
        <v>0</v>
      </c>
      <c r="Y18">
        <v>0</v>
      </c>
      <c r="Z18" s="237">
        <v>0</v>
      </c>
      <c r="AA18">
        <v>0</v>
      </c>
      <c r="AB18" s="237">
        <v>0</v>
      </c>
      <c r="AC18" s="763">
        <v>0</v>
      </c>
      <c r="AD18" s="237">
        <v>0</v>
      </c>
      <c r="AE18" s="237">
        <v>0</v>
      </c>
      <c r="AF18">
        <v>0</v>
      </c>
      <c r="AG18" s="237">
        <v>0</v>
      </c>
      <c r="AH18">
        <v>0</v>
      </c>
      <c r="AI18" s="237">
        <v>0</v>
      </c>
      <c r="AJ18" s="763">
        <v>0</v>
      </c>
      <c r="AK18" s="237">
        <v>0</v>
      </c>
      <c r="AL18" s="237">
        <v>0</v>
      </c>
      <c r="AM18">
        <v>0</v>
      </c>
      <c r="AN18" s="237">
        <v>0</v>
      </c>
      <c r="AO18">
        <v>0</v>
      </c>
      <c r="AP18" s="237">
        <v>0</v>
      </c>
      <c r="AQ18" s="763">
        <v>0</v>
      </c>
      <c r="AR18" s="237">
        <v>0</v>
      </c>
      <c r="AS18" s="237">
        <v>0</v>
      </c>
      <c r="AT18">
        <v>0</v>
      </c>
      <c r="AU18" s="237">
        <v>0</v>
      </c>
      <c r="AV18">
        <v>0</v>
      </c>
      <c r="AW18" s="237">
        <v>0</v>
      </c>
      <c r="AX18" s="763">
        <v>0</v>
      </c>
      <c r="AY18" s="237">
        <v>0</v>
      </c>
      <c r="AZ18" s="237">
        <v>0</v>
      </c>
      <c r="BA18">
        <v>0</v>
      </c>
      <c r="BB18" s="237">
        <v>0</v>
      </c>
      <c r="BC18">
        <v>0</v>
      </c>
      <c r="BD18" s="237">
        <v>0</v>
      </c>
      <c r="BE18" s="763">
        <v>0</v>
      </c>
      <c r="BF18" s="237">
        <v>0</v>
      </c>
      <c r="BG18" s="237">
        <v>0</v>
      </c>
      <c r="BH18">
        <v>0</v>
      </c>
      <c r="BI18" s="237">
        <v>0</v>
      </c>
      <c r="BJ18">
        <v>0</v>
      </c>
      <c r="BK18" s="237">
        <v>0</v>
      </c>
      <c r="BL18" s="763">
        <v>0</v>
      </c>
      <c r="BM18" s="237">
        <v>0</v>
      </c>
      <c r="BN18" s="237">
        <v>0</v>
      </c>
      <c r="BO18">
        <v>0</v>
      </c>
      <c r="BP18" s="237">
        <v>0</v>
      </c>
      <c r="BQ18">
        <v>0</v>
      </c>
      <c r="BR18" s="237">
        <v>0</v>
      </c>
      <c r="BS18" s="763">
        <v>0</v>
      </c>
    </row>
    <row r="19" spans="1:71">
      <c r="A19">
        <v>17</v>
      </c>
      <c r="B19" s="237">
        <v>0</v>
      </c>
      <c r="C19" s="237">
        <v>0</v>
      </c>
      <c r="D19">
        <v>0</v>
      </c>
      <c r="E19" s="237">
        <v>0</v>
      </c>
      <c r="F19">
        <v>0</v>
      </c>
      <c r="G19" s="237">
        <v>0</v>
      </c>
      <c r="H19" s="763">
        <v>0</v>
      </c>
      <c r="I19" s="237">
        <v>0</v>
      </c>
      <c r="J19" s="237">
        <v>0</v>
      </c>
      <c r="K19">
        <v>0</v>
      </c>
      <c r="L19" s="237">
        <v>0</v>
      </c>
      <c r="M19">
        <v>0</v>
      </c>
      <c r="N19" s="237">
        <v>0</v>
      </c>
      <c r="O19" s="763">
        <v>0</v>
      </c>
      <c r="P19" s="237">
        <v>0</v>
      </c>
      <c r="Q19" s="237">
        <v>0</v>
      </c>
      <c r="R19">
        <v>0</v>
      </c>
      <c r="S19" s="237">
        <v>0</v>
      </c>
      <c r="T19">
        <v>0</v>
      </c>
      <c r="U19" s="237">
        <v>0</v>
      </c>
      <c r="V19" s="763">
        <v>0</v>
      </c>
      <c r="W19" s="237">
        <v>0</v>
      </c>
      <c r="X19" s="237">
        <v>0</v>
      </c>
      <c r="Y19">
        <v>0</v>
      </c>
      <c r="Z19" s="237">
        <v>0</v>
      </c>
      <c r="AA19">
        <v>0</v>
      </c>
      <c r="AB19" s="237">
        <v>0</v>
      </c>
      <c r="AC19" s="763">
        <v>0</v>
      </c>
      <c r="AD19" s="237">
        <v>0</v>
      </c>
      <c r="AE19" s="237">
        <v>0</v>
      </c>
      <c r="AF19">
        <v>0</v>
      </c>
      <c r="AG19" s="237">
        <v>0</v>
      </c>
      <c r="AH19">
        <v>0</v>
      </c>
      <c r="AI19" s="237">
        <v>0</v>
      </c>
      <c r="AJ19" s="763">
        <v>0</v>
      </c>
      <c r="AK19" s="237">
        <v>0</v>
      </c>
      <c r="AL19" s="237">
        <v>0</v>
      </c>
      <c r="AM19">
        <v>0</v>
      </c>
      <c r="AN19" s="237">
        <v>0</v>
      </c>
      <c r="AO19">
        <v>0</v>
      </c>
      <c r="AP19" s="237">
        <v>0</v>
      </c>
      <c r="AQ19" s="763">
        <v>0</v>
      </c>
      <c r="AR19" s="237">
        <v>0</v>
      </c>
      <c r="AS19" s="237">
        <v>0</v>
      </c>
      <c r="AT19">
        <v>0</v>
      </c>
      <c r="AU19" s="237">
        <v>0</v>
      </c>
      <c r="AV19">
        <v>0</v>
      </c>
      <c r="AW19" s="237">
        <v>0</v>
      </c>
      <c r="AX19" s="763">
        <v>0</v>
      </c>
      <c r="AY19" s="237">
        <v>0</v>
      </c>
      <c r="AZ19" s="237">
        <v>0</v>
      </c>
      <c r="BA19">
        <v>0</v>
      </c>
      <c r="BB19" s="237">
        <v>0</v>
      </c>
      <c r="BC19">
        <v>0</v>
      </c>
      <c r="BD19" s="237">
        <v>0</v>
      </c>
      <c r="BE19" s="763">
        <v>0</v>
      </c>
      <c r="BF19" s="237">
        <v>0</v>
      </c>
      <c r="BG19" s="237">
        <v>0</v>
      </c>
      <c r="BH19">
        <v>0</v>
      </c>
      <c r="BI19" s="237">
        <v>0</v>
      </c>
      <c r="BJ19">
        <v>0</v>
      </c>
      <c r="BK19" s="237">
        <v>0</v>
      </c>
      <c r="BL19" s="763">
        <v>0</v>
      </c>
      <c r="BM19" s="237">
        <v>0</v>
      </c>
      <c r="BN19" s="237">
        <v>0</v>
      </c>
      <c r="BO19">
        <v>0</v>
      </c>
      <c r="BP19" s="237">
        <v>0</v>
      </c>
      <c r="BQ19">
        <v>0</v>
      </c>
      <c r="BR19" s="237">
        <v>0</v>
      </c>
      <c r="BS19" s="763">
        <v>0</v>
      </c>
    </row>
    <row r="20" spans="1:71">
      <c r="A20">
        <v>18</v>
      </c>
      <c r="B20" s="237">
        <v>0</v>
      </c>
      <c r="C20" s="237">
        <v>0</v>
      </c>
      <c r="D20">
        <v>0</v>
      </c>
      <c r="E20" s="237">
        <v>0</v>
      </c>
      <c r="F20">
        <v>0</v>
      </c>
      <c r="G20" s="237">
        <v>0</v>
      </c>
      <c r="H20" s="763">
        <v>0</v>
      </c>
      <c r="I20" s="237">
        <v>0</v>
      </c>
      <c r="J20" s="237">
        <v>0</v>
      </c>
      <c r="K20">
        <v>0</v>
      </c>
      <c r="L20" s="237">
        <v>0</v>
      </c>
      <c r="M20">
        <v>0</v>
      </c>
      <c r="N20" s="237">
        <v>0</v>
      </c>
      <c r="O20" s="763">
        <v>0</v>
      </c>
      <c r="P20" s="237">
        <v>0</v>
      </c>
      <c r="Q20" s="237">
        <v>0</v>
      </c>
      <c r="R20">
        <v>0</v>
      </c>
      <c r="S20" s="237">
        <v>0</v>
      </c>
      <c r="T20">
        <v>0</v>
      </c>
      <c r="U20" s="237">
        <v>0</v>
      </c>
      <c r="V20" s="763">
        <v>0</v>
      </c>
      <c r="W20" s="237">
        <v>0</v>
      </c>
      <c r="X20" s="237">
        <v>0</v>
      </c>
      <c r="Y20">
        <v>0</v>
      </c>
      <c r="Z20" s="237">
        <v>0</v>
      </c>
      <c r="AA20">
        <v>0</v>
      </c>
      <c r="AB20" s="237">
        <v>0</v>
      </c>
      <c r="AC20" s="763">
        <v>0</v>
      </c>
      <c r="AD20" s="237">
        <v>0</v>
      </c>
      <c r="AE20" s="237">
        <v>0</v>
      </c>
      <c r="AF20">
        <v>0</v>
      </c>
      <c r="AG20" s="237">
        <v>0</v>
      </c>
      <c r="AH20">
        <v>0</v>
      </c>
      <c r="AI20" s="237">
        <v>0</v>
      </c>
      <c r="AJ20" s="763">
        <v>0</v>
      </c>
      <c r="AK20" s="237">
        <v>0</v>
      </c>
      <c r="AL20" s="237">
        <v>0</v>
      </c>
      <c r="AM20">
        <v>0</v>
      </c>
      <c r="AN20" s="237">
        <v>0</v>
      </c>
      <c r="AO20">
        <v>0</v>
      </c>
      <c r="AP20" s="237">
        <v>0</v>
      </c>
      <c r="AQ20" s="763">
        <v>0</v>
      </c>
      <c r="AR20" s="237">
        <v>0</v>
      </c>
      <c r="AS20" s="237">
        <v>0</v>
      </c>
      <c r="AT20">
        <v>0</v>
      </c>
      <c r="AU20" s="237">
        <v>0</v>
      </c>
      <c r="AV20">
        <v>0</v>
      </c>
      <c r="AW20" s="237">
        <v>0</v>
      </c>
      <c r="AX20" s="763">
        <v>0</v>
      </c>
      <c r="AY20" s="237">
        <v>0</v>
      </c>
      <c r="AZ20" s="237">
        <v>0</v>
      </c>
      <c r="BA20">
        <v>0</v>
      </c>
      <c r="BB20" s="237">
        <v>0</v>
      </c>
      <c r="BC20">
        <v>0</v>
      </c>
      <c r="BD20" s="237">
        <v>0</v>
      </c>
      <c r="BE20" s="763">
        <v>0</v>
      </c>
      <c r="BF20" s="237">
        <v>0</v>
      </c>
      <c r="BG20" s="237">
        <v>0</v>
      </c>
      <c r="BH20">
        <v>0</v>
      </c>
      <c r="BI20" s="237">
        <v>0</v>
      </c>
      <c r="BJ20">
        <v>0</v>
      </c>
      <c r="BK20" s="237">
        <v>0</v>
      </c>
      <c r="BL20" s="763">
        <v>0</v>
      </c>
      <c r="BM20" s="237">
        <v>0</v>
      </c>
      <c r="BN20" s="237">
        <v>0</v>
      </c>
      <c r="BO20">
        <v>0</v>
      </c>
      <c r="BP20" s="237">
        <v>0</v>
      </c>
      <c r="BQ20">
        <v>0</v>
      </c>
      <c r="BR20" s="237">
        <v>0</v>
      </c>
      <c r="BS20" s="763">
        <v>0</v>
      </c>
    </row>
    <row r="21" spans="1:71">
      <c r="A21">
        <v>19</v>
      </c>
      <c r="B21" s="237">
        <v>0</v>
      </c>
      <c r="C21" s="237">
        <v>0</v>
      </c>
      <c r="D21">
        <v>0</v>
      </c>
      <c r="E21" s="237">
        <v>0</v>
      </c>
      <c r="F21">
        <v>0</v>
      </c>
      <c r="G21" s="237">
        <v>0</v>
      </c>
      <c r="H21" s="763">
        <v>0</v>
      </c>
      <c r="I21" s="237">
        <v>0</v>
      </c>
      <c r="J21" s="237">
        <v>0</v>
      </c>
      <c r="K21">
        <v>0</v>
      </c>
      <c r="L21" s="237">
        <v>0</v>
      </c>
      <c r="M21">
        <v>0</v>
      </c>
      <c r="N21" s="237">
        <v>0</v>
      </c>
      <c r="O21" s="763">
        <v>0</v>
      </c>
      <c r="P21" s="237">
        <v>0</v>
      </c>
      <c r="Q21" s="237">
        <v>0</v>
      </c>
      <c r="R21">
        <v>0</v>
      </c>
      <c r="S21" s="237">
        <v>0</v>
      </c>
      <c r="T21">
        <v>0</v>
      </c>
      <c r="U21" s="237">
        <v>0</v>
      </c>
      <c r="V21" s="763">
        <v>0</v>
      </c>
      <c r="W21" s="237">
        <v>0</v>
      </c>
      <c r="X21" s="237">
        <v>0</v>
      </c>
      <c r="Y21">
        <v>0</v>
      </c>
      <c r="Z21" s="237">
        <v>0</v>
      </c>
      <c r="AA21">
        <v>0</v>
      </c>
      <c r="AB21" s="237">
        <v>0</v>
      </c>
      <c r="AC21" s="763">
        <v>0</v>
      </c>
      <c r="AD21" s="237">
        <v>0</v>
      </c>
      <c r="AE21" s="237">
        <v>0</v>
      </c>
      <c r="AF21">
        <v>0</v>
      </c>
      <c r="AG21" s="237">
        <v>0</v>
      </c>
      <c r="AH21">
        <v>0</v>
      </c>
      <c r="AI21" s="237">
        <v>0</v>
      </c>
      <c r="AJ21" s="763">
        <v>0</v>
      </c>
      <c r="AK21" s="237">
        <v>0</v>
      </c>
      <c r="AL21" s="237">
        <v>0</v>
      </c>
      <c r="AM21">
        <v>0</v>
      </c>
      <c r="AN21" s="237">
        <v>0</v>
      </c>
      <c r="AO21">
        <v>0</v>
      </c>
      <c r="AP21" s="237">
        <v>0</v>
      </c>
      <c r="AQ21" s="763">
        <v>0</v>
      </c>
      <c r="AR21" s="237">
        <v>0</v>
      </c>
      <c r="AS21" s="237">
        <v>0</v>
      </c>
      <c r="AT21">
        <v>0</v>
      </c>
      <c r="AU21" s="237">
        <v>0</v>
      </c>
      <c r="AV21">
        <v>0</v>
      </c>
      <c r="AW21" s="237">
        <v>0</v>
      </c>
      <c r="AX21" s="763">
        <v>0</v>
      </c>
      <c r="AY21" s="237">
        <v>0</v>
      </c>
      <c r="AZ21" s="237">
        <v>0</v>
      </c>
      <c r="BA21">
        <v>0</v>
      </c>
      <c r="BB21" s="237">
        <v>0</v>
      </c>
      <c r="BC21">
        <v>0</v>
      </c>
      <c r="BD21" s="237">
        <v>0</v>
      </c>
      <c r="BE21" s="763">
        <v>0</v>
      </c>
      <c r="BF21" s="237">
        <v>0</v>
      </c>
      <c r="BG21" s="237">
        <v>0</v>
      </c>
      <c r="BH21">
        <v>0</v>
      </c>
      <c r="BI21" s="237">
        <v>0</v>
      </c>
      <c r="BJ21">
        <v>0</v>
      </c>
      <c r="BK21" s="237">
        <v>0</v>
      </c>
      <c r="BL21" s="763">
        <v>0</v>
      </c>
      <c r="BM21" s="237">
        <v>0</v>
      </c>
      <c r="BN21" s="237">
        <v>0</v>
      </c>
      <c r="BO21">
        <v>0</v>
      </c>
      <c r="BP21" s="237">
        <v>0</v>
      </c>
      <c r="BQ21">
        <v>0</v>
      </c>
      <c r="BR21" s="237">
        <v>0</v>
      </c>
      <c r="BS21" s="763">
        <v>0</v>
      </c>
    </row>
    <row r="22" spans="1:71">
      <c r="A22">
        <v>20</v>
      </c>
      <c r="B22" s="237">
        <v>0</v>
      </c>
      <c r="C22" s="237">
        <v>0</v>
      </c>
      <c r="D22">
        <v>0</v>
      </c>
      <c r="E22" s="237">
        <v>0</v>
      </c>
      <c r="F22">
        <v>0</v>
      </c>
      <c r="G22" s="237">
        <v>0</v>
      </c>
      <c r="H22" s="763">
        <v>0</v>
      </c>
      <c r="I22" s="237">
        <v>0</v>
      </c>
      <c r="J22" s="237">
        <v>0</v>
      </c>
      <c r="K22">
        <v>0</v>
      </c>
      <c r="L22" s="237">
        <v>0</v>
      </c>
      <c r="M22">
        <v>0</v>
      </c>
      <c r="N22" s="237">
        <v>0</v>
      </c>
      <c r="O22" s="763">
        <v>0</v>
      </c>
      <c r="P22" s="237">
        <v>0</v>
      </c>
      <c r="Q22" s="237">
        <v>0</v>
      </c>
      <c r="R22">
        <v>0</v>
      </c>
      <c r="S22" s="237">
        <v>0</v>
      </c>
      <c r="T22">
        <v>0</v>
      </c>
      <c r="U22" s="237">
        <v>0</v>
      </c>
      <c r="V22" s="763">
        <v>0</v>
      </c>
      <c r="W22" s="237">
        <v>0</v>
      </c>
      <c r="X22" s="237">
        <v>0</v>
      </c>
      <c r="Y22">
        <v>0</v>
      </c>
      <c r="Z22" s="237">
        <v>0</v>
      </c>
      <c r="AA22">
        <v>0</v>
      </c>
      <c r="AB22" s="237">
        <v>0</v>
      </c>
      <c r="AC22" s="763">
        <v>0</v>
      </c>
      <c r="AD22" s="237">
        <v>0</v>
      </c>
      <c r="AE22" s="237">
        <v>0</v>
      </c>
      <c r="AF22">
        <v>0</v>
      </c>
      <c r="AG22" s="237">
        <v>0</v>
      </c>
      <c r="AH22">
        <v>0</v>
      </c>
      <c r="AI22" s="237">
        <v>0</v>
      </c>
      <c r="AJ22" s="763">
        <v>0</v>
      </c>
      <c r="AK22" s="237">
        <v>0</v>
      </c>
      <c r="AL22" s="237">
        <v>0</v>
      </c>
      <c r="AM22">
        <v>0</v>
      </c>
      <c r="AN22" s="237">
        <v>0</v>
      </c>
      <c r="AO22">
        <v>0</v>
      </c>
      <c r="AP22" s="237">
        <v>0</v>
      </c>
      <c r="AQ22" s="763">
        <v>0</v>
      </c>
      <c r="AR22" s="237">
        <v>0</v>
      </c>
      <c r="AS22" s="237">
        <v>0</v>
      </c>
      <c r="AT22">
        <v>0</v>
      </c>
      <c r="AU22" s="237">
        <v>0</v>
      </c>
      <c r="AV22">
        <v>0</v>
      </c>
      <c r="AW22" s="237">
        <v>0</v>
      </c>
      <c r="AX22" s="763">
        <v>0</v>
      </c>
      <c r="AY22" s="237">
        <v>0</v>
      </c>
      <c r="AZ22" s="237">
        <v>0</v>
      </c>
      <c r="BA22">
        <v>0</v>
      </c>
      <c r="BB22" s="237">
        <v>0</v>
      </c>
      <c r="BC22">
        <v>0</v>
      </c>
      <c r="BD22" s="237">
        <v>0</v>
      </c>
      <c r="BE22" s="763">
        <v>0</v>
      </c>
      <c r="BF22" s="237">
        <v>0</v>
      </c>
      <c r="BG22" s="237">
        <v>0</v>
      </c>
      <c r="BH22">
        <v>0</v>
      </c>
      <c r="BI22" s="237">
        <v>0</v>
      </c>
      <c r="BJ22">
        <v>0</v>
      </c>
      <c r="BK22" s="237">
        <v>0</v>
      </c>
      <c r="BL22" s="763">
        <v>0</v>
      </c>
      <c r="BM22" s="237">
        <v>0</v>
      </c>
      <c r="BN22" s="237">
        <v>0</v>
      </c>
      <c r="BO22">
        <v>0</v>
      </c>
      <c r="BP22" s="237">
        <v>0</v>
      </c>
      <c r="BQ22">
        <v>0</v>
      </c>
      <c r="BR22" s="237">
        <v>0</v>
      </c>
      <c r="BS22" s="763">
        <v>0</v>
      </c>
    </row>
    <row r="23" spans="1:71">
      <c r="A23">
        <v>21</v>
      </c>
      <c r="B23" s="237">
        <v>0</v>
      </c>
      <c r="C23" s="237">
        <v>0</v>
      </c>
      <c r="D23">
        <v>0</v>
      </c>
      <c r="E23" s="237">
        <v>0</v>
      </c>
      <c r="F23">
        <v>0</v>
      </c>
      <c r="G23" s="237">
        <v>0</v>
      </c>
      <c r="H23" s="763">
        <v>0</v>
      </c>
      <c r="I23" s="237">
        <v>0</v>
      </c>
      <c r="J23" s="237">
        <v>0</v>
      </c>
      <c r="K23">
        <v>0</v>
      </c>
      <c r="L23" s="237">
        <v>0</v>
      </c>
      <c r="M23">
        <v>0</v>
      </c>
      <c r="N23" s="237">
        <v>0</v>
      </c>
      <c r="O23" s="763">
        <v>0</v>
      </c>
      <c r="P23" s="237">
        <v>0</v>
      </c>
      <c r="Q23" s="237">
        <v>0</v>
      </c>
      <c r="R23">
        <v>0</v>
      </c>
      <c r="S23" s="237">
        <v>0</v>
      </c>
      <c r="T23">
        <v>0</v>
      </c>
      <c r="U23" s="237">
        <v>0</v>
      </c>
      <c r="V23" s="763">
        <v>0</v>
      </c>
      <c r="W23" s="237">
        <v>0</v>
      </c>
      <c r="X23" s="237">
        <v>0</v>
      </c>
      <c r="Y23">
        <v>0</v>
      </c>
      <c r="Z23" s="237">
        <v>0</v>
      </c>
      <c r="AA23">
        <v>0</v>
      </c>
      <c r="AB23" s="237">
        <v>0</v>
      </c>
      <c r="AC23" s="763">
        <v>0</v>
      </c>
      <c r="AD23" s="237">
        <v>0</v>
      </c>
      <c r="AE23" s="237">
        <v>0</v>
      </c>
      <c r="AF23">
        <v>0</v>
      </c>
      <c r="AG23" s="237">
        <v>0</v>
      </c>
      <c r="AH23">
        <v>0</v>
      </c>
      <c r="AI23" s="237">
        <v>0</v>
      </c>
      <c r="AJ23" s="763">
        <v>0</v>
      </c>
      <c r="AK23" s="237">
        <v>0</v>
      </c>
      <c r="AL23" s="237">
        <v>0</v>
      </c>
      <c r="AM23">
        <v>0</v>
      </c>
      <c r="AN23" s="237">
        <v>0</v>
      </c>
      <c r="AO23">
        <v>0</v>
      </c>
      <c r="AP23" s="237">
        <v>0</v>
      </c>
      <c r="AQ23" s="763">
        <v>0</v>
      </c>
      <c r="AR23" s="237">
        <v>0</v>
      </c>
      <c r="AS23" s="237">
        <v>0</v>
      </c>
      <c r="AT23">
        <v>0</v>
      </c>
      <c r="AU23" s="237">
        <v>0</v>
      </c>
      <c r="AV23">
        <v>0</v>
      </c>
      <c r="AW23" s="237">
        <v>0</v>
      </c>
      <c r="AX23" s="763">
        <v>0</v>
      </c>
      <c r="AY23" s="237">
        <v>0</v>
      </c>
      <c r="AZ23" s="237">
        <v>0</v>
      </c>
      <c r="BA23">
        <v>0</v>
      </c>
      <c r="BB23" s="237">
        <v>0</v>
      </c>
      <c r="BC23">
        <v>0</v>
      </c>
      <c r="BD23" s="237">
        <v>0</v>
      </c>
      <c r="BE23" s="763">
        <v>0</v>
      </c>
      <c r="BF23" s="237">
        <v>0</v>
      </c>
      <c r="BG23" s="237">
        <v>0</v>
      </c>
      <c r="BH23">
        <v>0</v>
      </c>
      <c r="BI23" s="237">
        <v>0</v>
      </c>
      <c r="BJ23">
        <v>0</v>
      </c>
      <c r="BK23" s="237">
        <v>0</v>
      </c>
      <c r="BL23" s="763">
        <v>0</v>
      </c>
      <c r="BM23" s="237">
        <v>0</v>
      </c>
      <c r="BN23" s="237">
        <v>0</v>
      </c>
      <c r="BO23">
        <v>0</v>
      </c>
      <c r="BP23" s="237">
        <v>0</v>
      </c>
      <c r="BQ23">
        <v>0</v>
      </c>
      <c r="BR23" s="237">
        <v>0</v>
      </c>
      <c r="BS23" s="763">
        <v>0</v>
      </c>
    </row>
    <row r="24" spans="1:71">
      <c r="A24">
        <v>22</v>
      </c>
      <c r="B24" s="237">
        <v>0</v>
      </c>
      <c r="C24" s="237">
        <v>0</v>
      </c>
      <c r="D24">
        <v>0</v>
      </c>
      <c r="E24" s="237">
        <v>0</v>
      </c>
      <c r="F24">
        <v>0</v>
      </c>
      <c r="G24" s="237">
        <v>0</v>
      </c>
      <c r="H24" s="763">
        <v>0</v>
      </c>
      <c r="I24" s="237">
        <v>0</v>
      </c>
      <c r="J24" s="237">
        <v>0</v>
      </c>
      <c r="K24">
        <v>0</v>
      </c>
      <c r="L24" s="237">
        <v>0</v>
      </c>
      <c r="M24">
        <v>0</v>
      </c>
      <c r="N24" s="237">
        <v>0</v>
      </c>
      <c r="O24" s="763">
        <v>0</v>
      </c>
      <c r="P24" s="237">
        <v>0</v>
      </c>
      <c r="Q24" s="237">
        <v>0</v>
      </c>
      <c r="R24">
        <v>0</v>
      </c>
      <c r="S24" s="237">
        <v>0</v>
      </c>
      <c r="T24">
        <v>0</v>
      </c>
      <c r="U24" s="237">
        <v>0</v>
      </c>
      <c r="V24" s="763">
        <v>0</v>
      </c>
      <c r="W24" s="237">
        <v>0</v>
      </c>
      <c r="X24" s="237">
        <v>0</v>
      </c>
      <c r="Y24">
        <v>0</v>
      </c>
      <c r="Z24" s="237">
        <v>0</v>
      </c>
      <c r="AA24">
        <v>0</v>
      </c>
      <c r="AB24" s="237">
        <v>0</v>
      </c>
      <c r="AC24" s="763">
        <v>0</v>
      </c>
      <c r="AD24" s="237">
        <v>0</v>
      </c>
      <c r="AE24" s="237">
        <v>0</v>
      </c>
      <c r="AF24">
        <v>0</v>
      </c>
      <c r="AG24" s="237">
        <v>0</v>
      </c>
      <c r="AH24">
        <v>0</v>
      </c>
      <c r="AI24" s="237">
        <v>0</v>
      </c>
      <c r="AJ24" s="763">
        <v>0</v>
      </c>
      <c r="AK24" s="237">
        <v>0</v>
      </c>
      <c r="AL24" s="237">
        <v>0</v>
      </c>
      <c r="AM24">
        <v>0</v>
      </c>
      <c r="AN24" s="237">
        <v>0</v>
      </c>
      <c r="AO24">
        <v>0</v>
      </c>
      <c r="AP24" s="237">
        <v>0</v>
      </c>
      <c r="AQ24" s="763">
        <v>0</v>
      </c>
      <c r="AR24" s="237">
        <v>0</v>
      </c>
      <c r="AS24" s="237">
        <v>0</v>
      </c>
      <c r="AT24">
        <v>0</v>
      </c>
      <c r="AU24" s="237">
        <v>0</v>
      </c>
      <c r="AV24">
        <v>0</v>
      </c>
      <c r="AW24" s="237">
        <v>0</v>
      </c>
      <c r="AX24" s="763">
        <v>0</v>
      </c>
      <c r="AY24" s="237">
        <v>0</v>
      </c>
      <c r="AZ24" s="237">
        <v>0</v>
      </c>
      <c r="BA24">
        <v>0</v>
      </c>
      <c r="BB24" s="237">
        <v>0</v>
      </c>
      <c r="BC24">
        <v>0</v>
      </c>
      <c r="BD24" s="237">
        <v>0</v>
      </c>
      <c r="BE24" s="763">
        <v>0</v>
      </c>
      <c r="BF24" s="237">
        <v>0</v>
      </c>
      <c r="BG24" s="237">
        <v>0</v>
      </c>
      <c r="BH24">
        <v>0</v>
      </c>
      <c r="BI24" s="237">
        <v>0</v>
      </c>
      <c r="BJ24">
        <v>0</v>
      </c>
      <c r="BK24" s="237">
        <v>0</v>
      </c>
      <c r="BL24" s="763">
        <v>0</v>
      </c>
      <c r="BM24" s="237">
        <v>0</v>
      </c>
      <c r="BN24" s="237">
        <v>0</v>
      </c>
      <c r="BO24">
        <v>0</v>
      </c>
      <c r="BP24" s="237">
        <v>0</v>
      </c>
      <c r="BQ24">
        <v>0</v>
      </c>
      <c r="BR24" s="237">
        <v>0</v>
      </c>
      <c r="BS24" s="763">
        <v>0</v>
      </c>
    </row>
    <row r="25" spans="1:71">
      <c r="A25">
        <v>23</v>
      </c>
      <c r="B25" s="237">
        <v>0</v>
      </c>
      <c r="C25" s="237">
        <v>0</v>
      </c>
      <c r="D25">
        <v>0</v>
      </c>
      <c r="E25" s="237">
        <v>0</v>
      </c>
      <c r="F25">
        <v>0</v>
      </c>
      <c r="G25" s="237">
        <v>0</v>
      </c>
      <c r="H25" s="763">
        <v>0</v>
      </c>
      <c r="I25" s="237">
        <v>0</v>
      </c>
      <c r="J25" s="237">
        <v>0</v>
      </c>
      <c r="K25">
        <v>0</v>
      </c>
      <c r="L25" s="237">
        <v>0</v>
      </c>
      <c r="M25">
        <v>0</v>
      </c>
      <c r="N25" s="237">
        <v>0</v>
      </c>
      <c r="O25" s="763">
        <v>0</v>
      </c>
      <c r="P25" s="237">
        <v>0</v>
      </c>
      <c r="Q25" s="237">
        <v>0</v>
      </c>
      <c r="R25">
        <v>0</v>
      </c>
      <c r="S25" s="237">
        <v>0</v>
      </c>
      <c r="T25">
        <v>0</v>
      </c>
      <c r="U25" s="237">
        <v>0</v>
      </c>
      <c r="V25" s="763">
        <v>0</v>
      </c>
      <c r="W25" s="237">
        <v>0</v>
      </c>
      <c r="X25" s="237">
        <v>0</v>
      </c>
      <c r="Y25">
        <v>0</v>
      </c>
      <c r="Z25" s="237">
        <v>0</v>
      </c>
      <c r="AA25">
        <v>0</v>
      </c>
      <c r="AB25" s="237">
        <v>0</v>
      </c>
      <c r="AC25" s="763">
        <v>0</v>
      </c>
      <c r="AD25" s="237">
        <v>0</v>
      </c>
      <c r="AE25" s="237">
        <v>0</v>
      </c>
      <c r="AF25">
        <v>0</v>
      </c>
      <c r="AG25" s="237">
        <v>0</v>
      </c>
      <c r="AH25">
        <v>0</v>
      </c>
      <c r="AI25" s="237">
        <v>0</v>
      </c>
      <c r="AJ25" s="763">
        <v>0</v>
      </c>
      <c r="AK25" s="237">
        <v>0</v>
      </c>
      <c r="AL25" s="237">
        <v>0</v>
      </c>
      <c r="AM25">
        <v>0</v>
      </c>
      <c r="AN25" s="237">
        <v>0</v>
      </c>
      <c r="AO25">
        <v>0</v>
      </c>
      <c r="AP25" s="237">
        <v>0</v>
      </c>
      <c r="AQ25" s="763">
        <v>0</v>
      </c>
      <c r="AR25" s="237">
        <v>0</v>
      </c>
      <c r="AS25" s="237">
        <v>0</v>
      </c>
      <c r="AT25">
        <v>0</v>
      </c>
      <c r="AU25" s="237">
        <v>0</v>
      </c>
      <c r="AV25">
        <v>0</v>
      </c>
      <c r="AW25" s="237">
        <v>0</v>
      </c>
      <c r="AX25" s="763">
        <v>0</v>
      </c>
      <c r="AY25" s="237">
        <v>0</v>
      </c>
      <c r="AZ25" s="237">
        <v>0</v>
      </c>
      <c r="BA25">
        <v>0</v>
      </c>
      <c r="BB25" s="237">
        <v>0</v>
      </c>
      <c r="BC25">
        <v>0</v>
      </c>
      <c r="BD25" s="237">
        <v>0</v>
      </c>
      <c r="BE25" s="763">
        <v>0</v>
      </c>
      <c r="BF25" s="237">
        <v>0</v>
      </c>
      <c r="BG25" s="237">
        <v>0</v>
      </c>
      <c r="BH25">
        <v>0</v>
      </c>
      <c r="BI25" s="237">
        <v>0</v>
      </c>
      <c r="BJ25">
        <v>0</v>
      </c>
      <c r="BK25" s="237">
        <v>0</v>
      </c>
      <c r="BL25" s="763">
        <v>0</v>
      </c>
      <c r="BM25" s="237">
        <v>0</v>
      </c>
      <c r="BN25" s="237">
        <v>0</v>
      </c>
      <c r="BO25">
        <v>0</v>
      </c>
      <c r="BP25" s="237">
        <v>0</v>
      </c>
      <c r="BQ25">
        <v>0</v>
      </c>
      <c r="BR25" s="237">
        <v>0</v>
      </c>
      <c r="BS25" s="763">
        <v>0</v>
      </c>
    </row>
    <row r="26" spans="1:71">
      <c r="A26">
        <v>24</v>
      </c>
      <c r="B26" s="237">
        <v>0</v>
      </c>
      <c r="C26" s="237">
        <v>0</v>
      </c>
      <c r="D26">
        <v>0</v>
      </c>
      <c r="E26" s="237">
        <v>0</v>
      </c>
      <c r="F26">
        <v>0</v>
      </c>
      <c r="G26" s="237">
        <v>0</v>
      </c>
      <c r="H26" s="763">
        <v>0</v>
      </c>
      <c r="I26" s="237">
        <v>0</v>
      </c>
      <c r="J26" s="237">
        <v>0</v>
      </c>
      <c r="K26">
        <v>0</v>
      </c>
      <c r="L26" s="237">
        <v>0</v>
      </c>
      <c r="M26">
        <v>0</v>
      </c>
      <c r="N26" s="237">
        <v>0</v>
      </c>
      <c r="O26" s="763">
        <v>0</v>
      </c>
      <c r="P26" s="237">
        <v>0</v>
      </c>
      <c r="Q26" s="237">
        <v>0</v>
      </c>
      <c r="R26">
        <v>0</v>
      </c>
      <c r="S26" s="237">
        <v>0</v>
      </c>
      <c r="T26">
        <v>0</v>
      </c>
      <c r="U26" s="237">
        <v>0</v>
      </c>
      <c r="V26" s="763">
        <v>0</v>
      </c>
      <c r="W26" s="237">
        <v>0</v>
      </c>
      <c r="X26" s="237">
        <v>0</v>
      </c>
      <c r="Y26">
        <v>0</v>
      </c>
      <c r="Z26" s="237">
        <v>0</v>
      </c>
      <c r="AA26">
        <v>0</v>
      </c>
      <c r="AB26" s="237">
        <v>0</v>
      </c>
      <c r="AC26" s="763">
        <v>0</v>
      </c>
      <c r="AD26" s="237">
        <v>0</v>
      </c>
      <c r="AE26" s="237">
        <v>0</v>
      </c>
      <c r="AF26">
        <v>0</v>
      </c>
      <c r="AG26" s="237">
        <v>0</v>
      </c>
      <c r="AH26">
        <v>0</v>
      </c>
      <c r="AI26" s="237">
        <v>0</v>
      </c>
      <c r="AJ26" s="763">
        <v>0</v>
      </c>
      <c r="AK26" s="237">
        <v>0</v>
      </c>
      <c r="AL26" s="237">
        <v>0</v>
      </c>
      <c r="AM26">
        <v>0</v>
      </c>
      <c r="AN26" s="237">
        <v>0</v>
      </c>
      <c r="AO26">
        <v>0</v>
      </c>
      <c r="AP26" s="237">
        <v>0</v>
      </c>
      <c r="AQ26" s="763">
        <v>0</v>
      </c>
      <c r="AR26" s="237">
        <v>0</v>
      </c>
      <c r="AS26" s="237">
        <v>0</v>
      </c>
      <c r="AT26">
        <v>0</v>
      </c>
      <c r="AU26" s="237">
        <v>0</v>
      </c>
      <c r="AV26">
        <v>0</v>
      </c>
      <c r="AW26" s="237">
        <v>0</v>
      </c>
      <c r="AX26" s="763">
        <v>0</v>
      </c>
      <c r="AY26" s="237">
        <v>0</v>
      </c>
      <c r="AZ26" s="237">
        <v>0</v>
      </c>
      <c r="BA26">
        <v>0</v>
      </c>
      <c r="BB26" s="237">
        <v>0</v>
      </c>
      <c r="BC26">
        <v>0</v>
      </c>
      <c r="BD26" s="237">
        <v>0</v>
      </c>
      <c r="BE26" s="763">
        <v>0</v>
      </c>
      <c r="BF26" s="237">
        <v>0</v>
      </c>
      <c r="BG26" s="237">
        <v>0</v>
      </c>
      <c r="BH26">
        <v>0</v>
      </c>
      <c r="BI26" s="237">
        <v>0</v>
      </c>
      <c r="BJ26">
        <v>0</v>
      </c>
      <c r="BK26" s="237">
        <v>0</v>
      </c>
      <c r="BL26" s="763">
        <v>0</v>
      </c>
      <c r="BM26" s="237">
        <v>0</v>
      </c>
      <c r="BN26" s="237">
        <v>0</v>
      </c>
      <c r="BO26">
        <v>0</v>
      </c>
      <c r="BP26" s="237">
        <v>0</v>
      </c>
      <c r="BQ26">
        <v>0</v>
      </c>
      <c r="BR26" s="237">
        <v>0</v>
      </c>
      <c r="BS26" s="763">
        <v>0</v>
      </c>
    </row>
    <row r="27" spans="1:71">
      <c r="A27">
        <v>25</v>
      </c>
      <c r="B27" s="237">
        <v>0</v>
      </c>
      <c r="C27" s="237">
        <v>0</v>
      </c>
      <c r="D27">
        <v>0</v>
      </c>
      <c r="E27" s="237">
        <v>0</v>
      </c>
      <c r="F27">
        <v>0</v>
      </c>
      <c r="G27" s="237">
        <v>0</v>
      </c>
      <c r="H27" s="763">
        <v>0</v>
      </c>
      <c r="I27" s="237">
        <v>0</v>
      </c>
      <c r="J27" s="237">
        <v>0</v>
      </c>
      <c r="K27">
        <v>0</v>
      </c>
      <c r="L27" s="237">
        <v>0</v>
      </c>
      <c r="M27">
        <v>0</v>
      </c>
      <c r="N27" s="237">
        <v>0</v>
      </c>
      <c r="O27" s="763">
        <v>0</v>
      </c>
      <c r="P27" s="237">
        <v>0</v>
      </c>
      <c r="Q27" s="237">
        <v>0</v>
      </c>
      <c r="R27">
        <v>0</v>
      </c>
      <c r="S27" s="237">
        <v>0</v>
      </c>
      <c r="T27">
        <v>0</v>
      </c>
      <c r="U27" s="237">
        <v>0</v>
      </c>
      <c r="V27" s="763">
        <v>0</v>
      </c>
      <c r="W27" s="237">
        <v>0</v>
      </c>
      <c r="X27" s="237">
        <v>0</v>
      </c>
      <c r="Y27">
        <v>0</v>
      </c>
      <c r="Z27" s="237">
        <v>0</v>
      </c>
      <c r="AA27">
        <v>0</v>
      </c>
      <c r="AB27" s="237">
        <v>0</v>
      </c>
      <c r="AC27" s="763">
        <v>0</v>
      </c>
      <c r="AD27" s="237">
        <v>0</v>
      </c>
      <c r="AE27" s="237">
        <v>0</v>
      </c>
      <c r="AF27">
        <v>0</v>
      </c>
      <c r="AG27" s="237">
        <v>0</v>
      </c>
      <c r="AH27">
        <v>0</v>
      </c>
      <c r="AI27" s="237">
        <v>0</v>
      </c>
      <c r="AJ27" s="763">
        <v>0</v>
      </c>
      <c r="AK27" s="237">
        <v>0</v>
      </c>
      <c r="AL27" s="237">
        <v>0</v>
      </c>
      <c r="AM27">
        <v>0</v>
      </c>
      <c r="AN27" s="237">
        <v>0</v>
      </c>
      <c r="AO27">
        <v>0</v>
      </c>
      <c r="AP27" s="237">
        <v>0</v>
      </c>
      <c r="AQ27" s="763">
        <v>0</v>
      </c>
      <c r="AR27" s="237">
        <v>0</v>
      </c>
      <c r="AS27" s="237">
        <v>0</v>
      </c>
      <c r="AT27">
        <v>0</v>
      </c>
      <c r="AU27" s="237">
        <v>0</v>
      </c>
      <c r="AV27">
        <v>0</v>
      </c>
      <c r="AW27" s="237">
        <v>0</v>
      </c>
      <c r="AX27" s="763">
        <v>0</v>
      </c>
      <c r="AY27" s="237">
        <v>0</v>
      </c>
      <c r="AZ27" s="237">
        <v>0</v>
      </c>
      <c r="BA27">
        <v>0</v>
      </c>
      <c r="BB27" s="237">
        <v>0</v>
      </c>
      <c r="BC27">
        <v>0</v>
      </c>
      <c r="BD27" s="237">
        <v>0</v>
      </c>
      <c r="BE27" s="763">
        <v>0</v>
      </c>
      <c r="BF27" s="237">
        <v>0</v>
      </c>
      <c r="BG27" s="237">
        <v>0</v>
      </c>
      <c r="BH27">
        <v>0</v>
      </c>
      <c r="BI27" s="237">
        <v>0</v>
      </c>
      <c r="BJ27">
        <v>0</v>
      </c>
      <c r="BK27" s="237">
        <v>0</v>
      </c>
      <c r="BL27" s="763">
        <v>0</v>
      </c>
      <c r="BM27" s="237">
        <v>0</v>
      </c>
      <c r="BN27" s="237">
        <v>0</v>
      </c>
      <c r="BO27">
        <v>0</v>
      </c>
      <c r="BP27" s="237">
        <v>0</v>
      </c>
      <c r="BQ27">
        <v>0</v>
      </c>
      <c r="BR27" s="237">
        <v>0</v>
      </c>
      <c r="BS27" s="763">
        <v>0</v>
      </c>
    </row>
    <row r="28" spans="1:71">
      <c r="A28">
        <v>26</v>
      </c>
      <c r="B28" s="237">
        <v>0</v>
      </c>
      <c r="C28" s="237">
        <v>0</v>
      </c>
      <c r="D28">
        <v>0</v>
      </c>
      <c r="E28" s="237">
        <v>0</v>
      </c>
      <c r="F28">
        <v>0</v>
      </c>
      <c r="G28" s="237">
        <v>0</v>
      </c>
      <c r="H28" s="763">
        <v>0</v>
      </c>
      <c r="I28" s="237">
        <v>0</v>
      </c>
      <c r="J28" s="237">
        <v>0</v>
      </c>
      <c r="K28">
        <v>0</v>
      </c>
      <c r="L28" s="237">
        <v>0</v>
      </c>
      <c r="M28">
        <v>0</v>
      </c>
      <c r="N28" s="237">
        <v>0</v>
      </c>
      <c r="O28" s="763">
        <v>0</v>
      </c>
      <c r="P28" s="237">
        <v>0</v>
      </c>
      <c r="Q28" s="237">
        <v>0</v>
      </c>
      <c r="R28">
        <v>0</v>
      </c>
      <c r="S28" s="237">
        <v>0</v>
      </c>
      <c r="T28">
        <v>0</v>
      </c>
      <c r="U28" s="237">
        <v>0</v>
      </c>
      <c r="V28" s="763">
        <v>0</v>
      </c>
      <c r="W28" s="237">
        <v>0</v>
      </c>
      <c r="X28" s="237">
        <v>0</v>
      </c>
      <c r="Y28">
        <v>0</v>
      </c>
      <c r="Z28" s="237">
        <v>0</v>
      </c>
      <c r="AA28">
        <v>0</v>
      </c>
      <c r="AB28" s="237">
        <v>0</v>
      </c>
      <c r="AC28" s="763">
        <v>0</v>
      </c>
      <c r="AD28" s="237">
        <v>0</v>
      </c>
      <c r="AE28" s="237">
        <v>0</v>
      </c>
      <c r="AF28">
        <v>0</v>
      </c>
      <c r="AG28" s="237">
        <v>0</v>
      </c>
      <c r="AH28">
        <v>0</v>
      </c>
      <c r="AI28" s="237">
        <v>0</v>
      </c>
      <c r="AJ28" s="763">
        <v>0</v>
      </c>
      <c r="AK28" s="237">
        <v>0</v>
      </c>
      <c r="AL28" s="237">
        <v>0</v>
      </c>
      <c r="AM28">
        <v>0</v>
      </c>
      <c r="AN28" s="237">
        <v>0</v>
      </c>
      <c r="AO28">
        <v>0</v>
      </c>
      <c r="AP28" s="237">
        <v>0</v>
      </c>
      <c r="AQ28" s="763">
        <v>0</v>
      </c>
      <c r="AR28" s="237">
        <v>0</v>
      </c>
      <c r="AS28" s="237">
        <v>0</v>
      </c>
      <c r="AT28">
        <v>0</v>
      </c>
      <c r="AU28" s="237">
        <v>0</v>
      </c>
      <c r="AV28">
        <v>0</v>
      </c>
      <c r="AW28" s="237">
        <v>0</v>
      </c>
      <c r="AX28" s="763">
        <v>0</v>
      </c>
      <c r="AY28" s="237">
        <v>0</v>
      </c>
      <c r="AZ28" s="237">
        <v>0</v>
      </c>
      <c r="BA28">
        <v>0</v>
      </c>
      <c r="BB28" s="237">
        <v>0</v>
      </c>
      <c r="BC28">
        <v>0</v>
      </c>
      <c r="BD28" s="237">
        <v>0</v>
      </c>
      <c r="BE28" s="763">
        <v>0</v>
      </c>
      <c r="BF28" s="237">
        <v>0</v>
      </c>
      <c r="BG28" s="237">
        <v>0</v>
      </c>
      <c r="BH28">
        <v>0</v>
      </c>
      <c r="BI28" s="237">
        <v>0</v>
      </c>
      <c r="BJ28">
        <v>0</v>
      </c>
      <c r="BK28" s="237">
        <v>0</v>
      </c>
      <c r="BL28" s="763">
        <v>0</v>
      </c>
      <c r="BM28" s="237">
        <v>0</v>
      </c>
      <c r="BN28" s="237">
        <v>0</v>
      </c>
      <c r="BO28">
        <v>0</v>
      </c>
      <c r="BP28" s="237">
        <v>0</v>
      </c>
      <c r="BQ28">
        <v>0</v>
      </c>
      <c r="BR28" s="237">
        <v>0</v>
      </c>
      <c r="BS28" s="763">
        <v>0</v>
      </c>
    </row>
    <row r="29" spans="1:71">
      <c r="A29">
        <v>27</v>
      </c>
      <c r="B29" s="237">
        <v>0</v>
      </c>
      <c r="C29" s="237">
        <v>0</v>
      </c>
      <c r="D29">
        <v>0</v>
      </c>
      <c r="E29" s="237">
        <v>0</v>
      </c>
      <c r="F29">
        <v>0</v>
      </c>
      <c r="G29" s="237">
        <v>0</v>
      </c>
      <c r="H29" s="763">
        <v>0</v>
      </c>
      <c r="I29" s="237">
        <v>0</v>
      </c>
      <c r="J29" s="237">
        <v>0</v>
      </c>
      <c r="K29">
        <v>0</v>
      </c>
      <c r="L29" s="237">
        <v>0</v>
      </c>
      <c r="M29">
        <v>0</v>
      </c>
      <c r="N29" s="237">
        <v>0</v>
      </c>
      <c r="O29" s="763">
        <v>0</v>
      </c>
      <c r="P29" s="237">
        <v>0</v>
      </c>
      <c r="Q29" s="237">
        <v>0</v>
      </c>
      <c r="R29">
        <v>0</v>
      </c>
      <c r="S29" s="237">
        <v>0</v>
      </c>
      <c r="T29">
        <v>0</v>
      </c>
      <c r="U29" s="237">
        <v>0</v>
      </c>
      <c r="V29" s="763">
        <v>0</v>
      </c>
      <c r="W29" s="237">
        <v>0</v>
      </c>
      <c r="X29" s="237">
        <v>0</v>
      </c>
      <c r="Y29">
        <v>0</v>
      </c>
      <c r="Z29" s="237">
        <v>0</v>
      </c>
      <c r="AA29">
        <v>0</v>
      </c>
      <c r="AB29" s="237">
        <v>0</v>
      </c>
      <c r="AC29" s="763">
        <v>0</v>
      </c>
      <c r="AD29" s="237">
        <v>0</v>
      </c>
      <c r="AE29" s="237">
        <v>0</v>
      </c>
      <c r="AF29">
        <v>0</v>
      </c>
      <c r="AG29" s="237">
        <v>0</v>
      </c>
      <c r="AH29">
        <v>0</v>
      </c>
      <c r="AI29" s="237">
        <v>0</v>
      </c>
      <c r="AJ29" s="763">
        <v>0</v>
      </c>
      <c r="AK29" s="237">
        <v>0</v>
      </c>
      <c r="AL29" s="237">
        <v>0</v>
      </c>
      <c r="AM29">
        <v>0</v>
      </c>
      <c r="AN29" s="237">
        <v>0</v>
      </c>
      <c r="AO29">
        <v>0</v>
      </c>
      <c r="AP29" s="237">
        <v>0</v>
      </c>
      <c r="AQ29" s="763">
        <v>0</v>
      </c>
      <c r="AR29" s="237">
        <v>0</v>
      </c>
      <c r="AS29" s="237">
        <v>0</v>
      </c>
      <c r="AT29">
        <v>0</v>
      </c>
      <c r="AU29" s="237">
        <v>0</v>
      </c>
      <c r="AV29">
        <v>0</v>
      </c>
      <c r="AW29" s="237">
        <v>0</v>
      </c>
      <c r="AX29" s="763">
        <v>0</v>
      </c>
      <c r="AY29" s="237">
        <v>0</v>
      </c>
      <c r="AZ29" s="237">
        <v>0</v>
      </c>
      <c r="BA29">
        <v>0</v>
      </c>
      <c r="BB29" s="237">
        <v>0</v>
      </c>
      <c r="BC29">
        <v>0</v>
      </c>
      <c r="BD29" s="237">
        <v>0</v>
      </c>
      <c r="BE29" s="763">
        <v>0</v>
      </c>
      <c r="BF29" s="237">
        <v>0</v>
      </c>
      <c r="BG29" s="237">
        <v>0</v>
      </c>
      <c r="BH29">
        <v>0</v>
      </c>
      <c r="BI29" s="237">
        <v>0</v>
      </c>
      <c r="BJ29">
        <v>0</v>
      </c>
      <c r="BK29" s="237">
        <v>0</v>
      </c>
      <c r="BL29" s="763">
        <v>0</v>
      </c>
      <c r="BM29" s="237">
        <v>0</v>
      </c>
      <c r="BN29" s="237">
        <v>0</v>
      </c>
      <c r="BO29">
        <v>0</v>
      </c>
      <c r="BP29" s="237">
        <v>0</v>
      </c>
      <c r="BQ29">
        <v>0</v>
      </c>
      <c r="BR29" s="237">
        <v>0</v>
      </c>
      <c r="BS29" s="763">
        <v>0</v>
      </c>
    </row>
    <row r="30" spans="1:71">
      <c r="A30">
        <v>28</v>
      </c>
      <c r="B30" s="237">
        <v>0</v>
      </c>
      <c r="C30" s="237">
        <v>0</v>
      </c>
      <c r="D30">
        <v>0</v>
      </c>
      <c r="E30" s="237">
        <v>0</v>
      </c>
      <c r="F30">
        <v>0</v>
      </c>
      <c r="G30" s="237">
        <v>0</v>
      </c>
      <c r="H30" s="763">
        <v>0</v>
      </c>
      <c r="I30" s="237">
        <v>0</v>
      </c>
      <c r="J30" s="237">
        <v>0</v>
      </c>
      <c r="K30">
        <v>0</v>
      </c>
      <c r="L30" s="237">
        <v>0</v>
      </c>
      <c r="M30">
        <v>0</v>
      </c>
      <c r="N30" s="237">
        <v>0</v>
      </c>
      <c r="O30" s="763">
        <v>0</v>
      </c>
      <c r="P30" s="237">
        <v>0</v>
      </c>
      <c r="Q30" s="237">
        <v>0</v>
      </c>
      <c r="R30">
        <v>0</v>
      </c>
      <c r="S30" s="237">
        <v>0</v>
      </c>
      <c r="T30">
        <v>0</v>
      </c>
      <c r="U30" s="237">
        <v>0</v>
      </c>
      <c r="V30" s="763">
        <v>0</v>
      </c>
      <c r="W30" s="237">
        <v>0</v>
      </c>
      <c r="X30" s="237">
        <v>0</v>
      </c>
      <c r="Y30">
        <v>0</v>
      </c>
      <c r="Z30" s="237">
        <v>0</v>
      </c>
      <c r="AA30">
        <v>0</v>
      </c>
      <c r="AB30" s="237">
        <v>0</v>
      </c>
      <c r="AC30" s="763">
        <v>0</v>
      </c>
      <c r="AD30" s="237">
        <v>0</v>
      </c>
      <c r="AE30" s="237">
        <v>0</v>
      </c>
      <c r="AF30">
        <v>0</v>
      </c>
      <c r="AG30" s="237">
        <v>0</v>
      </c>
      <c r="AH30">
        <v>0</v>
      </c>
      <c r="AI30" s="237">
        <v>0</v>
      </c>
      <c r="AJ30" s="763">
        <v>0</v>
      </c>
      <c r="AK30" s="237">
        <v>0</v>
      </c>
      <c r="AL30" s="237">
        <v>0</v>
      </c>
      <c r="AM30">
        <v>0</v>
      </c>
      <c r="AN30" s="237">
        <v>0</v>
      </c>
      <c r="AO30">
        <v>0</v>
      </c>
      <c r="AP30" s="237">
        <v>0</v>
      </c>
      <c r="AQ30" s="763">
        <v>0</v>
      </c>
      <c r="AR30" s="237">
        <v>0</v>
      </c>
      <c r="AS30" s="237">
        <v>0</v>
      </c>
      <c r="AT30">
        <v>0</v>
      </c>
      <c r="AU30" s="237">
        <v>0</v>
      </c>
      <c r="AV30">
        <v>0</v>
      </c>
      <c r="AW30" s="237">
        <v>0</v>
      </c>
      <c r="AX30" s="763">
        <v>0</v>
      </c>
      <c r="AY30" s="237">
        <v>0</v>
      </c>
      <c r="AZ30" s="237">
        <v>0</v>
      </c>
      <c r="BA30">
        <v>0</v>
      </c>
      <c r="BB30" s="237">
        <v>0</v>
      </c>
      <c r="BC30">
        <v>0</v>
      </c>
      <c r="BD30" s="237">
        <v>0</v>
      </c>
      <c r="BE30" s="763">
        <v>0</v>
      </c>
      <c r="BF30" s="237">
        <v>0</v>
      </c>
      <c r="BG30" s="237">
        <v>0</v>
      </c>
      <c r="BH30">
        <v>0</v>
      </c>
      <c r="BI30" s="237">
        <v>0</v>
      </c>
      <c r="BJ30">
        <v>0</v>
      </c>
      <c r="BK30" s="237">
        <v>0</v>
      </c>
      <c r="BL30" s="763">
        <v>0</v>
      </c>
      <c r="BM30" s="237">
        <v>0</v>
      </c>
      <c r="BN30" s="237">
        <v>0</v>
      </c>
      <c r="BO30">
        <v>0</v>
      </c>
      <c r="BP30" s="237">
        <v>0</v>
      </c>
      <c r="BQ30">
        <v>0</v>
      </c>
      <c r="BR30" s="237">
        <v>0</v>
      </c>
      <c r="BS30" s="763">
        <v>0</v>
      </c>
    </row>
    <row r="31" spans="1:71">
      <c r="A31">
        <v>29</v>
      </c>
      <c r="B31" s="237">
        <v>0</v>
      </c>
      <c r="C31" s="237">
        <v>0</v>
      </c>
      <c r="D31">
        <v>0</v>
      </c>
      <c r="E31" s="237">
        <v>0</v>
      </c>
      <c r="F31">
        <v>0</v>
      </c>
      <c r="G31" s="237">
        <v>0</v>
      </c>
      <c r="H31" s="763">
        <v>0</v>
      </c>
      <c r="I31" s="237">
        <v>0</v>
      </c>
      <c r="J31" s="237">
        <v>0</v>
      </c>
      <c r="K31">
        <v>0</v>
      </c>
      <c r="L31" s="237">
        <v>0</v>
      </c>
      <c r="M31">
        <v>0</v>
      </c>
      <c r="N31" s="237">
        <v>0</v>
      </c>
      <c r="O31" s="763">
        <v>0</v>
      </c>
      <c r="P31" s="237">
        <v>0</v>
      </c>
      <c r="Q31" s="237">
        <v>0</v>
      </c>
      <c r="R31">
        <v>0</v>
      </c>
      <c r="S31" s="237">
        <v>0</v>
      </c>
      <c r="T31">
        <v>0</v>
      </c>
      <c r="U31" s="237">
        <v>0</v>
      </c>
      <c r="V31" s="763">
        <v>0</v>
      </c>
      <c r="W31" s="237">
        <v>0</v>
      </c>
      <c r="X31" s="237">
        <v>0</v>
      </c>
      <c r="Y31">
        <v>0</v>
      </c>
      <c r="Z31" s="237">
        <v>0</v>
      </c>
      <c r="AA31">
        <v>0</v>
      </c>
      <c r="AB31" s="237">
        <v>0</v>
      </c>
      <c r="AC31" s="763">
        <v>0</v>
      </c>
      <c r="AD31" s="237">
        <v>0</v>
      </c>
      <c r="AE31" s="237">
        <v>0</v>
      </c>
      <c r="AF31">
        <v>0</v>
      </c>
      <c r="AG31" s="237">
        <v>0</v>
      </c>
      <c r="AH31">
        <v>0</v>
      </c>
      <c r="AI31" s="237">
        <v>0</v>
      </c>
      <c r="AJ31" s="763">
        <v>0</v>
      </c>
      <c r="AK31" s="237">
        <v>0</v>
      </c>
      <c r="AL31" s="237">
        <v>0</v>
      </c>
      <c r="AM31">
        <v>0</v>
      </c>
      <c r="AN31" s="237">
        <v>0</v>
      </c>
      <c r="AO31">
        <v>0</v>
      </c>
      <c r="AP31" s="237">
        <v>0</v>
      </c>
      <c r="AQ31" s="763">
        <v>0</v>
      </c>
      <c r="AR31" s="237">
        <v>0</v>
      </c>
      <c r="AS31" s="237">
        <v>0</v>
      </c>
      <c r="AT31">
        <v>0</v>
      </c>
      <c r="AU31" s="237">
        <v>0</v>
      </c>
      <c r="AV31">
        <v>0</v>
      </c>
      <c r="AW31" s="237">
        <v>0</v>
      </c>
      <c r="AX31" s="763">
        <v>0</v>
      </c>
      <c r="AY31" s="237">
        <v>0</v>
      </c>
      <c r="AZ31" s="237">
        <v>0</v>
      </c>
      <c r="BA31">
        <v>0</v>
      </c>
      <c r="BB31" s="237">
        <v>0</v>
      </c>
      <c r="BC31">
        <v>0</v>
      </c>
      <c r="BD31" s="237">
        <v>0</v>
      </c>
      <c r="BE31" s="763">
        <v>0</v>
      </c>
      <c r="BF31" s="237">
        <v>0</v>
      </c>
      <c r="BG31" s="237">
        <v>0</v>
      </c>
      <c r="BH31">
        <v>0</v>
      </c>
      <c r="BI31" s="237">
        <v>0</v>
      </c>
      <c r="BJ31">
        <v>0</v>
      </c>
      <c r="BK31" s="237">
        <v>0</v>
      </c>
      <c r="BL31" s="763">
        <v>0</v>
      </c>
      <c r="BM31" s="237">
        <v>0</v>
      </c>
      <c r="BN31" s="237">
        <v>0</v>
      </c>
      <c r="BO31">
        <v>0</v>
      </c>
      <c r="BP31" s="237">
        <v>0</v>
      </c>
      <c r="BQ31">
        <v>0</v>
      </c>
      <c r="BR31" s="237">
        <v>0</v>
      </c>
      <c r="BS31" s="763">
        <v>0</v>
      </c>
    </row>
    <row r="32" spans="1:71">
      <c r="A32">
        <v>30</v>
      </c>
      <c r="B32" s="237">
        <v>0</v>
      </c>
      <c r="C32" s="237">
        <v>0</v>
      </c>
      <c r="D32">
        <v>0</v>
      </c>
      <c r="E32" s="237">
        <v>0</v>
      </c>
      <c r="F32">
        <v>0</v>
      </c>
      <c r="G32" s="237">
        <v>0</v>
      </c>
      <c r="H32" s="763">
        <v>0</v>
      </c>
      <c r="I32" s="237">
        <v>0</v>
      </c>
      <c r="J32" s="237">
        <v>0</v>
      </c>
      <c r="K32">
        <v>0</v>
      </c>
      <c r="L32" s="237">
        <v>0</v>
      </c>
      <c r="M32">
        <v>0</v>
      </c>
      <c r="N32" s="237">
        <v>0</v>
      </c>
      <c r="O32" s="763">
        <v>0</v>
      </c>
      <c r="P32" s="237">
        <v>0</v>
      </c>
      <c r="Q32" s="237">
        <v>0</v>
      </c>
      <c r="R32">
        <v>0</v>
      </c>
      <c r="S32" s="237">
        <v>0</v>
      </c>
      <c r="T32">
        <v>0</v>
      </c>
      <c r="U32" s="237">
        <v>0</v>
      </c>
      <c r="V32" s="763">
        <v>0</v>
      </c>
      <c r="W32" s="237">
        <v>0</v>
      </c>
      <c r="X32" s="237">
        <v>0</v>
      </c>
      <c r="Y32">
        <v>0</v>
      </c>
      <c r="Z32" s="237">
        <v>0</v>
      </c>
      <c r="AA32">
        <v>0</v>
      </c>
      <c r="AB32" s="237">
        <v>0</v>
      </c>
      <c r="AC32" s="763">
        <v>0</v>
      </c>
      <c r="AD32" s="237">
        <v>0</v>
      </c>
      <c r="AE32" s="237">
        <v>0</v>
      </c>
      <c r="AF32">
        <v>0</v>
      </c>
      <c r="AG32" s="237">
        <v>0</v>
      </c>
      <c r="AH32">
        <v>0</v>
      </c>
      <c r="AI32" s="237">
        <v>0</v>
      </c>
      <c r="AJ32" s="763">
        <v>0</v>
      </c>
      <c r="AK32" s="237">
        <v>0</v>
      </c>
      <c r="AL32" s="237">
        <v>0</v>
      </c>
      <c r="AM32">
        <v>0</v>
      </c>
      <c r="AN32" s="237">
        <v>0</v>
      </c>
      <c r="AO32">
        <v>0</v>
      </c>
      <c r="AP32" s="237">
        <v>0</v>
      </c>
      <c r="AQ32" s="763">
        <v>0</v>
      </c>
      <c r="AR32" s="237">
        <v>0</v>
      </c>
      <c r="AS32" s="237">
        <v>0</v>
      </c>
      <c r="AT32">
        <v>0</v>
      </c>
      <c r="AU32" s="237">
        <v>0</v>
      </c>
      <c r="AV32">
        <v>0</v>
      </c>
      <c r="AW32" s="237">
        <v>0</v>
      </c>
      <c r="AX32" s="763">
        <v>0</v>
      </c>
      <c r="AY32" s="237">
        <v>0</v>
      </c>
      <c r="AZ32" s="237">
        <v>0</v>
      </c>
      <c r="BA32">
        <v>0</v>
      </c>
      <c r="BB32" s="237">
        <v>0</v>
      </c>
      <c r="BC32">
        <v>0</v>
      </c>
      <c r="BD32" s="237">
        <v>0</v>
      </c>
      <c r="BE32" s="763">
        <v>0</v>
      </c>
      <c r="BF32" s="237">
        <v>0</v>
      </c>
      <c r="BG32" s="237">
        <v>0</v>
      </c>
      <c r="BH32">
        <v>0</v>
      </c>
      <c r="BI32" s="237">
        <v>0</v>
      </c>
      <c r="BJ32">
        <v>0</v>
      </c>
      <c r="BK32" s="237">
        <v>0</v>
      </c>
      <c r="BL32" s="763">
        <v>0</v>
      </c>
      <c r="BM32" s="237">
        <v>0</v>
      </c>
      <c r="BN32" s="237">
        <v>0</v>
      </c>
      <c r="BO32">
        <v>0</v>
      </c>
      <c r="BP32" s="237">
        <v>0</v>
      </c>
      <c r="BQ32">
        <v>0</v>
      </c>
      <c r="BR32" s="237">
        <v>0</v>
      </c>
      <c r="BS32" s="763">
        <v>0</v>
      </c>
    </row>
    <row r="33" spans="1:71">
      <c r="A33">
        <v>31</v>
      </c>
      <c r="B33" s="237">
        <v>0</v>
      </c>
      <c r="C33" s="237">
        <v>0</v>
      </c>
      <c r="D33">
        <v>0</v>
      </c>
      <c r="E33" s="237">
        <v>0</v>
      </c>
      <c r="F33">
        <v>0</v>
      </c>
      <c r="G33" s="237">
        <v>0</v>
      </c>
      <c r="H33" s="763">
        <v>0</v>
      </c>
      <c r="I33" s="237">
        <v>0</v>
      </c>
      <c r="J33" s="237">
        <v>0</v>
      </c>
      <c r="K33">
        <v>0</v>
      </c>
      <c r="L33" s="237">
        <v>0</v>
      </c>
      <c r="M33">
        <v>0</v>
      </c>
      <c r="N33" s="237">
        <v>0</v>
      </c>
      <c r="O33" s="763">
        <v>0</v>
      </c>
      <c r="P33" s="237">
        <v>0</v>
      </c>
      <c r="Q33" s="237">
        <v>0</v>
      </c>
      <c r="R33">
        <v>0</v>
      </c>
      <c r="S33" s="237">
        <v>0</v>
      </c>
      <c r="T33">
        <v>0</v>
      </c>
      <c r="U33" s="237">
        <v>0</v>
      </c>
      <c r="V33" s="763">
        <v>0</v>
      </c>
      <c r="W33" s="237">
        <v>0</v>
      </c>
      <c r="X33" s="237">
        <v>0</v>
      </c>
      <c r="Y33">
        <v>0</v>
      </c>
      <c r="Z33" s="237">
        <v>0</v>
      </c>
      <c r="AA33">
        <v>0</v>
      </c>
      <c r="AB33" s="237">
        <v>0</v>
      </c>
      <c r="AC33" s="763">
        <v>0</v>
      </c>
      <c r="AD33" s="237">
        <v>0</v>
      </c>
      <c r="AE33" s="237">
        <v>0</v>
      </c>
      <c r="AF33">
        <v>0</v>
      </c>
      <c r="AG33" s="237">
        <v>0</v>
      </c>
      <c r="AH33">
        <v>0</v>
      </c>
      <c r="AI33" s="237">
        <v>0</v>
      </c>
      <c r="AJ33" s="763">
        <v>0</v>
      </c>
      <c r="AK33" s="237">
        <v>0</v>
      </c>
      <c r="AL33" s="237">
        <v>0</v>
      </c>
      <c r="AM33">
        <v>0</v>
      </c>
      <c r="AN33" s="237">
        <v>0</v>
      </c>
      <c r="AO33">
        <v>0</v>
      </c>
      <c r="AP33" s="237">
        <v>0</v>
      </c>
      <c r="AQ33" s="763">
        <v>0</v>
      </c>
      <c r="AR33" s="237">
        <v>0</v>
      </c>
      <c r="AS33" s="237">
        <v>0</v>
      </c>
      <c r="AT33">
        <v>0</v>
      </c>
      <c r="AU33" s="237">
        <v>0</v>
      </c>
      <c r="AV33">
        <v>0</v>
      </c>
      <c r="AW33" s="237">
        <v>0</v>
      </c>
      <c r="AX33" s="763">
        <v>0</v>
      </c>
      <c r="AY33" s="237">
        <v>0</v>
      </c>
      <c r="AZ33" s="237">
        <v>0</v>
      </c>
      <c r="BA33">
        <v>0</v>
      </c>
      <c r="BB33" s="237">
        <v>0</v>
      </c>
      <c r="BC33">
        <v>0</v>
      </c>
      <c r="BD33" s="237">
        <v>0</v>
      </c>
      <c r="BE33" s="763">
        <v>0</v>
      </c>
      <c r="BF33" s="237">
        <v>0</v>
      </c>
      <c r="BG33" s="237">
        <v>0</v>
      </c>
      <c r="BH33">
        <v>0</v>
      </c>
      <c r="BI33" s="237">
        <v>0</v>
      </c>
      <c r="BJ33">
        <v>0</v>
      </c>
      <c r="BK33" s="237">
        <v>0</v>
      </c>
      <c r="BL33" s="763">
        <v>0</v>
      </c>
      <c r="BM33" s="237">
        <v>0</v>
      </c>
      <c r="BN33" s="237">
        <v>0</v>
      </c>
      <c r="BO33">
        <v>0</v>
      </c>
      <c r="BP33" s="237">
        <v>0</v>
      </c>
      <c r="BQ33">
        <v>0</v>
      </c>
      <c r="BR33" s="237">
        <v>0</v>
      </c>
      <c r="BS33" s="763">
        <v>0</v>
      </c>
    </row>
    <row r="34" spans="1:71">
      <c r="A34" t="s">
        <v>81</v>
      </c>
      <c r="B34">
        <f>SUM(B3:B33)</f>
        <v>0</v>
      </c>
      <c r="C34">
        <f t="shared" ref="C34:BN34" si="0">SUM(C3:C33)</f>
        <v>0</v>
      </c>
      <c r="D34">
        <f t="shared" si="0"/>
        <v>0</v>
      </c>
      <c r="E34">
        <f t="shared" si="0"/>
        <v>0</v>
      </c>
      <c r="F34">
        <f t="shared" si="0"/>
        <v>0</v>
      </c>
      <c r="G34">
        <f t="shared" si="0"/>
        <v>0</v>
      </c>
      <c r="H34" s="446">
        <f t="shared" si="0"/>
        <v>0</v>
      </c>
      <c r="I34">
        <f t="shared" si="0"/>
        <v>0</v>
      </c>
      <c r="J34">
        <f t="shared" si="0"/>
        <v>0</v>
      </c>
      <c r="K34">
        <f t="shared" si="0"/>
        <v>0</v>
      </c>
      <c r="L34">
        <f t="shared" si="0"/>
        <v>0</v>
      </c>
      <c r="M34">
        <f t="shared" si="0"/>
        <v>0</v>
      </c>
      <c r="N34">
        <f t="shared" si="0"/>
        <v>0</v>
      </c>
      <c r="O34" s="446">
        <f t="shared" si="0"/>
        <v>0</v>
      </c>
      <c r="P34">
        <f t="shared" si="0"/>
        <v>1179.5708022117615</v>
      </c>
      <c r="Q34">
        <f t="shared" si="0"/>
        <v>81.588975839349956</v>
      </c>
      <c r="R34">
        <f t="shared" si="0"/>
        <v>0</v>
      </c>
      <c r="S34">
        <f t="shared" si="0"/>
        <v>339.77320315510974</v>
      </c>
      <c r="T34">
        <f t="shared" si="0"/>
        <v>0</v>
      </c>
      <c r="U34">
        <f t="shared" si="0"/>
        <v>0</v>
      </c>
      <c r="V34" s="446">
        <f t="shared" si="0"/>
        <v>1571.0824153152319</v>
      </c>
      <c r="W34">
        <f t="shared" si="0"/>
        <v>2100.0389141209921</v>
      </c>
      <c r="X34">
        <f t="shared" si="0"/>
        <v>167.84038056850434</v>
      </c>
      <c r="Y34">
        <f t="shared" si="0"/>
        <v>0</v>
      </c>
      <c r="Z34">
        <f t="shared" si="0"/>
        <v>0</v>
      </c>
      <c r="AA34">
        <f t="shared" si="0"/>
        <v>0</v>
      </c>
      <c r="AB34">
        <f t="shared" si="0"/>
        <v>0</v>
      </c>
      <c r="AC34" s="446">
        <f t="shared" si="0"/>
        <v>2243.2040501379788</v>
      </c>
      <c r="AD34">
        <f t="shared" si="0"/>
        <v>0</v>
      </c>
      <c r="AE34">
        <f t="shared" si="0"/>
        <v>0</v>
      </c>
      <c r="AF34">
        <f t="shared" si="0"/>
        <v>0</v>
      </c>
      <c r="AG34">
        <f t="shared" si="0"/>
        <v>0</v>
      </c>
      <c r="AH34">
        <f t="shared" si="0"/>
        <v>0</v>
      </c>
      <c r="AI34">
        <f t="shared" si="0"/>
        <v>0</v>
      </c>
      <c r="AJ34" s="446">
        <f t="shared" si="0"/>
        <v>0</v>
      </c>
      <c r="AK34">
        <f t="shared" si="0"/>
        <v>0</v>
      </c>
      <c r="AL34">
        <f t="shared" si="0"/>
        <v>0</v>
      </c>
      <c r="AM34">
        <f t="shared" si="0"/>
        <v>0</v>
      </c>
      <c r="AN34">
        <f t="shared" si="0"/>
        <v>0</v>
      </c>
      <c r="AO34">
        <f t="shared" si="0"/>
        <v>0</v>
      </c>
      <c r="AP34">
        <f t="shared" si="0"/>
        <v>0</v>
      </c>
      <c r="AQ34" s="446">
        <f t="shared" si="0"/>
        <v>0</v>
      </c>
      <c r="AR34">
        <f t="shared" si="0"/>
        <v>1191.5938101832071</v>
      </c>
      <c r="AS34">
        <f t="shared" si="0"/>
        <v>95.204670399294955</v>
      </c>
      <c r="AT34">
        <f t="shared" si="0"/>
        <v>0</v>
      </c>
      <c r="AU34">
        <f t="shared" si="0"/>
        <v>0</v>
      </c>
      <c r="AV34">
        <f t="shared" si="0"/>
        <v>0</v>
      </c>
      <c r="AW34">
        <f t="shared" si="0"/>
        <v>0</v>
      </c>
      <c r="AX34" s="446">
        <f t="shared" si="0"/>
        <v>1272.7977058184986</v>
      </c>
      <c r="AY34">
        <f t="shared" si="0"/>
        <v>0</v>
      </c>
      <c r="AZ34">
        <f t="shared" si="0"/>
        <v>0</v>
      </c>
      <c r="BA34">
        <f t="shared" si="0"/>
        <v>0</v>
      </c>
      <c r="BB34">
        <f t="shared" si="0"/>
        <v>2243</v>
      </c>
      <c r="BC34">
        <f t="shared" si="0"/>
        <v>0</v>
      </c>
      <c r="BD34">
        <f t="shared" si="0"/>
        <v>0</v>
      </c>
      <c r="BE34" s="446">
        <f t="shared" si="0"/>
        <v>2130.1044634377968</v>
      </c>
      <c r="BF34">
        <f t="shared" si="0"/>
        <v>4372.7439015221598</v>
      </c>
      <c r="BG34">
        <f t="shared" si="0"/>
        <v>358.68803281161519</v>
      </c>
      <c r="BH34">
        <f t="shared" si="0"/>
        <v>0</v>
      </c>
      <c r="BI34">
        <f t="shared" si="0"/>
        <v>0</v>
      </c>
      <c r="BJ34">
        <f t="shared" si="0"/>
        <v>0</v>
      </c>
      <c r="BK34">
        <f t="shared" si="0"/>
        <v>0</v>
      </c>
      <c r="BL34" s="446">
        <f t="shared" si="0"/>
        <v>4679.9524573034378</v>
      </c>
      <c r="BM34">
        <f t="shared" si="0"/>
        <v>6930.7548984654741</v>
      </c>
      <c r="BN34">
        <f t="shared" si="0"/>
        <v>584.24453303787436</v>
      </c>
      <c r="BO34">
        <f>SUM(BO3:BO33)</f>
        <v>0</v>
      </c>
      <c r="BP34">
        <f>SUM(BP3:BP33)</f>
        <v>0</v>
      </c>
      <c r="BQ34">
        <f>SUM(BQ3:BQ33)</f>
        <v>0</v>
      </c>
      <c r="BR34">
        <f>SUM(BR3:BR33)</f>
        <v>0</v>
      </c>
      <c r="BS34" s="446">
        <f>SUM(BS3:BS33)</f>
        <v>7433.2338590537584</v>
      </c>
    </row>
    <row r="36" spans="1:71" ht="24" thickBot="1">
      <c r="B36" s="476" t="s">
        <v>145</v>
      </c>
    </row>
    <row r="37" spans="1:71">
      <c r="A37" s="462"/>
      <c r="B37" s="463"/>
      <c r="C37" s="463" t="s">
        <v>99</v>
      </c>
      <c r="D37" s="463"/>
      <c r="E37" s="463"/>
      <c r="F37" s="463"/>
      <c r="G37" s="463"/>
      <c r="H37" s="463" t="s">
        <v>42</v>
      </c>
      <c r="I37" s="463"/>
      <c r="J37" s="463"/>
      <c r="K37" s="463"/>
      <c r="L37" s="463"/>
      <c r="M37" s="463" t="s">
        <v>98</v>
      </c>
      <c r="N37" s="463"/>
      <c r="O37" s="463"/>
      <c r="P37" s="463"/>
      <c r="Q37" s="463"/>
      <c r="R37" s="463" t="s">
        <v>129</v>
      </c>
      <c r="S37" s="463"/>
      <c r="T37" s="463"/>
      <c r="U37" s="463"/>
      <c r="V37" s="463" t="s">
        <v>59</v>
      </c>
      <c r="W37" s="463"/>
      <c r="X37" s="463"/>
      <c r="Y37" s="463"/>
      <c r="Z37" s="463"/>
      <c r="AA37" s="463"/>
      <c r="AB37" s="463"/>
      <c r="AC37" s="463"/>
      <c r="AD37" s="463"/>
      <c r="AE37" s="463"/>
      <c r="AF37" s="463"/>
      <c r="AG37" s="463"/>
      <c r="AH37" s="463"/>
      <c r="AI37" s="463"/>
      <c r="AJ37" s="463"/>
      <c r="AK37" s="463"/>
      <c r="AL37" s="463"/>
      <c r="AM37" s="464"/>
    </row>
    <row r="38" spans="1:71">
      <c r="A38" s="465" t="s">
        <v>130</v>
      </c>
      <c r="B38" s="466" t="s">
        <v>131</v>
      </c>
      <c r="C38" s="466" t="s">
        <v>132</v>
      </c>
      <c r="D38" s="466" t="s">
        <v>133</v>
      </c>
      <c r="E38" s="466"/>
      <c r="F38" s="466" t="s">
        <v>130</v>
      </c>
      <c r="G38" s="466" t="s">
        <v>131</v>
      </c>
      <c r="H38" s="466" t="s">
        <v>132</v>
      </c>
      <c r="I38" s="466" t="s">
        <v>133</v>
      </c>
      <c r="J38" s="466"/>
      <c r="K38" s="466" t="s">
        <v>130</v>
      </c>
      <c r="L38" s="466" t="s">
        <v>131</v>
      </c>
      <c r="M38" s="466" t="s">
        <v>132</v>
      </c>
      <c r="N38" s="466" t="s">
        <v>133</v>
      </c>
      <c r="O38" s="466"/>
      <c r="P38" s="466" t="s">
        <v>130</v>
      </c>
      <c r="Q38" s="466" t="s">
        <v>131</v>
      </c>
      <c r="R38" s="466" t="s">
        <v>132</v>
      </c>
      <c r="S38" s="466" t="s">
        <v>133</v>
      </c>
      <c r="T38" s="466" t="s">
        <v>130</v>
      </c>
      <c r="U38" s="466" t="s">
        <v>131</v>
      </c>
      <c r="V38" s="466" t="s">
        <v>132</v>
      </c>
      <c r="W38" s="466" t="s">
        <v>133</v>
      </c>
      <c r="X38" s="466"/>
      <c r="Y38" s="466"/>
      <c r="Z38" s="466"/>
      <c r="AA38" s="466"/>
      <c r="AB38" s="466"/>
      <c r="AC38" s="466"/>
      <c r="AD38" s="466"/>
      <c r="AE38" s="466"/>
      <c r="AF38" s="466"/>
      <c r="AG38" s="466"/>
      <c r="AH38" s="466"/>
      <c r="AI38" s="466"/>
      <c r="AJ38" s="466"/>
      <c r="AK38" s="466"/>
      <c r="AL38" s="466"/>
      <c r="AM38" s="467"/>
    </row>
    <row r="39" spans="1:71">
      <c r="A39" s="465">
        <v>1</v>
      </c>
      <c r="B39" s="468" t="s">
        <v>85</v>
      </c>
      <c r="C39" s="469">
        <f>C53</f>
        <v>0.71633525321383362</v>
      </c>
      <c r="D39" s="469">
        <f>IFERROR(B34/$H$34,0)</f>
        <v>0</v>
      </c>
      <c r="E39" s="466"/>
      <c r="F39" s="466">
        <v>1</v>
      </c>
      <c r="G39" s="468" t="s">
        <v>85</v>
      </c>
      <c r="H39" s="469">
        <f>D53</f>
        <v>6.229433156421426E-2</v>
      </c>
      <c r="I39" s="568">
        <f>IFERROR(C34/H34,0)</f>
        <v>0</v>
      </c>
      <c r="J39" s="466"/>
      <c r="K39" s="466">
        <v>1</v>
      </c>
      <c r="L39" s="468" t="s">
        <v>85</v>
      </c>
      <c r="M39" s="469">
        <f>F53</f>
        <v>0.242121</v>
      </c>
      <c r="N39" s="469">
        <f>IFERROR(E34/H34,0)</f>
        <v>0</v>
      </c>
      <c r="O39" s="466"/>
      <c r="P39" s="466">
        <v>1</v>
      </c>
      <c r="Q39" s="468" t="s">
        <v>85</v>
      </c>
      <c r="R39" s="469"/>
      <c r="S39" s="469">
        <f>IFERROR(F34/H34,0)</f>
        <v>0</v>
      </c>
      <c r="T39" s="466">
        <v>1</v>
      </c>
      <c r="U39" s="468" t="s">
        <v>85</v>
      </c>
      <c r="V39" s="469">
        <f>E53</f>
        <v>0</v>
      </c>
      <c r="W39" s="469">
        <f>IFERROR(G34/H34,0)</f>
        <v>0</v>
      </c>
      <c r="X39" s="466"/>
      <c r="Y39" s="466"/>
      <c r="Z39" s="466"/>
      <c r="AA39" s="466"/>
      <c r="AB39" s="466"/>
      <c r="AC39" s="466"/>
      <c r="AD39" s="466"/>
      <c r="AE39" s="466"/>
      <c r="AF39" s="466"/>
      <c r="AG39" s="466"/>
      <c r="AH39" s="466"/>
      <c r="AI39" s="466"/>
      <c r="AJ39" s="466"/>
      <c r="AK39" s="466"/>
      <c r="AL39" s="466"/>
      <c r="AM39" s="467"/>
    </row>
    <row r="40" spans="1:71">
      <c r="A40" s="465">
        <v>2</v>
      </c>
      <c r="B40" s="468" t="s">
        <v>85</v>
      </c>
      <c r="C40" s="469">
        <f t="shared" ref="C40:C47" si="1">C54</f>
        <v>0.71633525321383362</v>
      </c>
      <c r="D40" s="469" t="e">
        <f>I34/O34</f>
        <v>#DIV/0!</v>
      </c>
      <c r="E40" s="466"/>
      <c r="F40" s="466">
        <v>2</v>
      </c>
      <c r="G40" s="468" t="s">
        <v>85</v>
      </c>
      <c r="H40" s="469">
        <f t="shared" ref="H40:H48" si="2">D54</f>
        <v>6.229433156421426E-2</v>
      </c>
      <c r="I40" s="568" t="e">
        <f>J34/O34</f>
        <v>#DIV/0!</v>
      </c>
      <c r="J40" s="466"/>
      <c r="K40" s="466">
        <v>2</v>
      </c>
      <c r="L40" s="468" t="s">
        <v>85</v>
      </c>
      <c r="M40" s="469">
        <f t="shared" ref="M40:M48" si="3">F54</f>
        <v>0.242121</v>
      </c>
      <c r="N40" s="469" t="e">
        <f>L34/O34</f>
        <v>#DIV/0!</v>
      </c>
      <c r="O40" s="466"/>
      <c r="P40" s="466">
        <v>2</v>
      </c>
      <c r="Q40" s="468" t="s">
        <v>85</v>
      </c>
      <c r="R40" s="469"/>
      <c r="S40" s="469" t="e">
        <f>M34/O34</f>
        <v>#DIV/0!</v>
      </c>
      <c r="T40" s="466">
        <v>2</v>
      </c>
      <c r="U40" s="468" t="s">
        <v>85</v>
      </c>
      <c r="V40" s="469">
        <f t="shared" ref="V40:V48" si="4">E54</f>
        <v>0</v>
      </c>
      <c r="W40" s="469" t="e">
        <f>N34/O34</f>
        <v>#DIV/0!</v>
      </c>
      <c r="X40" s="466"/>
      <c r="Y40" s="466"/>
      <c r="Z40" s="466"/>
      <c r="AA40" s="466"/>
      <c r="AB40" s="466"/>
      <c r="AC40" s="466"/>
      <c r="AD40" s="466" t="e">
        <f>U21/V21</f>
        <v>#DIV/0!</v>
      </c>
      <c r="AE40" s="466"/>
      <c r="AF40" s="466"/>
      <c r="AG40" s="466"/>
      <c r="AH40" s="466"/>
      <c r="AI40" s="466"/>
      <c r="AJ40" s="466"/>
      <c r="AK40" s="466"/>
      <c r="AL40" s="466"/>
      <c r="AM40" s="467"/>
    </row>
    <row r="41" spans="1:71">
      <c r="A41" s="465">
        <v>3</v>
      </c>
      <c r="B41" s="468" t="s">
        <v>134</v>
      </c>
      <c r="C41" s="469">
        <f t="shared" si="1"/>
        <v>0.75712759112548067</v>
      </c>
      <c r="D41" s="469">
        <f>P34/V34</f>
        <v>0.75080135243897117</v>
      </c>
      <c r="E41" s="466"/>
      <c r="F41" s="466">
        <v>3</v>
      </c>
      <c r="G41" s="468" t="s">
        <v>134</v>
      </c>
      <c r="H41" s="469">
        <f t="shared" si="2"/>
        <v>6.1896050315885812E-2</v>
      </c>
      <c r="I41" s="568">
        <f>Q34/V34</f>
        <v>5.1931696926911013E-2</v>
      </c>
      <c r="J41" s="466"/>
      <c r="K41" s="466">
        <v>3</v>
      </c>
      <c r="L41" s="468" t="s">
        <v>134</v>
      </c>
      <c r="M41" s="469">
        <f>F55</f>
        <v>0.200013</v>
      </c>
      <c r="N41" s="469">
        <f>S34/V34</f>
        <v>0.21626695063411777</v>
      </c>
      <c r="O41" s="466"/>
      <c r="P41" s="466">
        <v>3</v>
      </c>
      <c r="Q41" s="468" t="s">
        <v>134</v>
      </c>
      <c r="R41" s="469"/>
      <c r="S41" s="469">
        <f>+T34/V34</f>
        <v>0</v>
      </c>
      <c r="T41" s="466">
        <v>3</v>
      </c>
      <c r="U41" s="468" t="s">
        <v>134</v>
      </c>
      <c r="V41" s="469">
        <f t="shared" si="4"/>
        <v>0</v>
      </c>
      <c r="W41" s="469">
        <f>U34/V34</f>
        <v>0</v>
      </c>
      <c r="X41" s="466"/>
      <c r="Y41" s="466"/>
      <c r="Z41" s="466"/>
      <c r="AA41" s="466"/>
      <c r="AB41" s="466"/>
      <c r="AC41" s="466"/>
      <c r="AD41" s="466"/>
      <c r="AE41" s="466"/>
      <c r="AF41" s="466"/>
      <c r="AG41" s="466"/>
      <c r="AH41" s="466"/>
      <c r="AI41" s="466"/>
      <c r="AJ41" s="466"/>
      <c r="AK41" s="466"/>
      <c r="AL41" s="466"/>
      <c r="AM41" s="467"/>
    </row>
    <row r="42" spans="1:71">
      <c r="A42" s="465">
        <v>4</v>
      </c>
      <c r="B42" s="468" t="s">
        <v>135</v>
      </c>
      <c r="C42" s="469">
        <f t="shared" si="1"/>
        <v>0</v>
      </c>
      <c r="D42" s="469">
        <f>W34/AC34</f>
        <v>0.93617828212811016</v>
      </c>
      <c r="E42" s="466"/>
      <c r="F42" s="466">
        <v>4</v>
      </c>
      <c r="G42" s="468" t="s">
        <v>135</v>
      </c>
      <c r="H42" s="469">
        <f t="shared" si="2"/>
        <v>0</v>
      </c>
      <c r="I42" s="568">
        <f>X34/AC34</f>
        <v>7.4821717871889779E-2</v>
      </c>
      <c r="J42" s="466"/>
      <c r="K42" s="466">
        <v>4</v>
      </c>
      <c r="L42" s="468" t="s">
        <v>135</v>
      </c>
      <c r="M42" s="469">
        <f t="shared" si="3"/>
        <v>0</v>
      </c>
      <c r="N42" s="469">
        <f>Z34/AC34</f>
        <v>0</v>
      </c>
      <c r="O42" s="466"/>
      <c r="P42" s="466">
        <v>4</v>
      </c>
      <c r="Q42" s="468" t="s">
        <v>135</v>
      </c>
      <c r="R42" s="469"/>
      <c r="S42" s="469">
        <f>AA34/AC34</f>
        <v>0</v>
      </c>
      <c r="T42" s="466">
        <v>4</v>
      </c>
      <c r="U42" s="468" t="s">
        <v>135</v>
      </c>
      <c r="V42" s="469">
        <f t="shared" si="4"/>
        <v>0</v>
      </c>
      <c r="W42" s="469">
        <f>AB34/AC34</f>
        <v>0</v>
      </c>
      <c r="X42" s="466"/>
      <c r="Y42" s="466"/>
      <c r="Z42" s="466"/>
      <c r="AA42" s="466"/>
      <c r="AB42" s="466"/>
      <c r="AC42" s="466"/>
      <c r="AD42" s="466"/>
      <c r="AE42" s="466"/>
      <c r="AF42" s="466"/>
      <c r="AG42" s="466"/>
      <c r="AH42" s="466"/>
      <c r="AI42" s="466"/>
      <c r="AJ42" s="466"/>
      <c r="AK42" s="466"/>
      <c r="AL42" s="466"/>
      <c r="AM42" s="467"/>
    </row>
    <row r="43" spans="1:71">
      <c r="A43" s="465">
        <v>5</v>
      </c>
      <c r="B43" s="468" t="s">
        <v>190</v>
      </c>
      <c r="C43" s="469">
        <f t="shared" si="1"/>
        <v>0.95218178144148524</v>
      </c>
      <c r="D43" s="469" t="e">
        <f>AD34/AJ34</f>
        <v>#DIV/0!</v>
      </c>
      <c r="E43" s="466"/>
      <c r="F43" s="466">
        <v>5</v>
      </c>
      <c r="G43" s="468" t="s">
        <v>190</v>
      </c>
      <c r="H43" s="469">
        <f t="shared" si="2"/>
        <v>5.8694078701034727E-2</v>
      </c>
      <c r="I43" s="568" t="e">
        <f>AE34/AJ34</f>
        <v>#DIV/0!</v>
      </c>
      <c r="J43" s="466"/>
      <c r="K43" s="466">
        <v>5</v>
      </c>
      <c r="L43" s="468" t="s">
        <v>190</v>
      </c>
      <c r="M43" s="469">
        <f t="shared" si="3"/>
        <v>0</v>
      </c>
      <c r="N43" s="469" t="e">
        <f>AG34/AJ34</f>
        <v>#DIV/0!</v>
      </c>
      <c r="O43" s="466"/>
      <c r="P43" s="466">
        <v>5</v>
      </c>
      <c r="Q43" s="468" t="s">
        <v>190</v>
      </c>
      <c r="R43" s="469"/>
      <c r="S43" s="469" t="e">
        <f>AH34/AJ34</f>
        <v>#DIV/0!</v>
      </c>
      <c r="T43" s="466">
        <v>5</v>
      </c>
      <c r="U43" s="468" t="s">
        <v>190</v>
      </c>
      <c r="V43" s="469">
        <f t="shared" si="4"/>
        <v>0</v>
      </c>
      <c r="W43" s="469" t="e">
        <f>AI34/AJ34</f>
        <v>#DIV/0!</v>
      </c>
      <c r="X43" s="466"/>
      <c r="Y43" s="466"/>
      <c r="Z43" s="466"/>
      <c r="AA43" s="466"/>
      <c r="AB43" s="466"/>
      <c r="AC43" s="466"/>
      <c r="AD43" s="466"/>
      <c r="AE43" s="466"/>
      <c r="AF43" s="466"/>
      <c r="AG43" s="466"/>
      <c r="AH43" s="466"/>
      <c r="AI43" s="466"/>
      <c r="AJ43" s="466"/>
      <c r="AK43" s="466"/>
      <c r="AL43" s="466"/>
      <c r="AM43" s="467"/>
    </row>
    <row r="44" spans="1:71">
      <c r="A44" s="465">
        <v>6</v>
      </c>
      <c r="B44" s="468" t="s">
        <v>136</v>
      </c>
      <c r="C44" s="469">
        <f t="shared" si="1"/>
        <v>0</v>
      </c>
      <c r="D44" s="469">
        <f>IFERROR($AK$34/$AQ$34,0)</f>
        <v>0</v>
      </c>
      <c r="E44" s="466"/>
      <c r="F44" s="466">
        <v>6</v>
      </c>
      <c r="G44" s="468" t="s">
        <v>136</v>
      </c>
      <c r="H44" s="469">
        <f t="shared" si="2"/>
        <v>0</v>
      </c>
      <c r="I44" s="568">
        <f>IFERROR($AL$34/$AQ$34,0)</f>
        <v>0</v>
      </c>
      <c r="J44" s="466"/>
      <c r="K44" s="466">
        <v>6</v>
      </c>
      <c r="L44" s="468" t="s">
        <v>136</v>
      </c>
      <c r="M44" s="469">
        <f t="shared" si="3"/>
        <v>0</v>
      </c>
      <c r="N44" s="469">
        <f>IFERROR($AS$34/$AQ$34,0)</f>
        <v>0</v>
      </c>
      <c r="O44" s="466"/>
      <c r="P44" s="466">
        <v>6</v>
      </c>
      <c r="Q44" s="468" t="s">
        <v>136</v>
      </c>
      <c r="R44" s="469"/>
      <c r="S44" s="469">
        <f>IFERROR($AK$34/$AQ$34,0)</f>
        <v>0</v>
      </c>
      <c r="T44" s="466">
        <v>6</v>
      </c>
      <c r="U44" s="468" t="s">
        <v>136</v>
      </c>
      <c r="V44" s="469">
        <f t="shared" si="4"/>
        <v>0</v>
      </c>
      <c r="W44" s="469">
        <f>IFERROR($AL$34/$AQ$34,0)</f>
        <v>0</v>
      </c>
      <c r="X44" s="466"/>
      <c r="Y44" s="466"/>
      <c r="Z44" s="466"/>
      <c r="AA44" s="466"/>
      <c r="AB44" s="466"/>
      <c r="AC44" s="466"/>
      <c r="AD44" s="466"/>
      <c r="AE44" s="466"/>
      <c r="AF44" s="466"/>
      <c r="AG44" s="466"/>
      <c r="AH44" s="466"/>
      <c r="AI44" s="466"/>
      <c r="AJ44" s="466"/>
      <c r="AK44" s="466"/>
      <c r="AL44" s="466"/>
      <c r="AM44" s="467"/>
    </row>
    <row r="45" spans="1:71">
      <c r="A45" s="465">
        <v>7</v>
      </c>
      <c r="B45" s="468" t="s">
        <v>135</v>
      </c>
      <c r="C45" s="469">
        <f t="shared" si="1"/>
        <v>0</v>
      </c>
      <c r="D45" s="469">
        <f>AR34/AX34</f>
        <v>0.93620046982794358</v>
      </c>
      <c r="E45" s="466"/>
      <c r="F45" s="466">
        <v>7</v>
      </c>
      <c r="G45" s="468" t="s">
        <v>135</v>
      </c>
      <c r="H45" s="469">
        <f t="shared" si="2"/>
        <v>0</v>
      </c>
      <c r="I45" s="568">
        <f>AS34/AX34</f>
        <v>7.47995301720564E-2</v>
      </c>
      <c r="J45" s="466"/>
      <c r="K45" s="466">
        <v>7</v>
      </c>
      <c r="L45" s="468" t="s">
        <v>135</v>
      </c>
      <c r="M45" s="469">
        <f t="shared" si="3"/>
        <v>0</v>
      </c>
      <c r="N45" s="469">
        <f>AU34/AX34</f>
        <v>0</v>
      </c>
      <c r="O45" s="466"/>
      <c r="P45" s="466">
        <v>7</v>
      </c>
      <c r="Q45" s="468" t="s">
        <v>135</v>
      </c>
      <c r="R45" s="469"/>
      <c r="S45" s="469">
        <f>AV34/AX34</f>
        <v>0</v>
      </c>
      <c r="T45" s="466">
        <v>7</v>
      </c>
      <c r="U45" s="468" t="s">
        <v>135</v>
      </c>
      <c r="V45" s="469">
        <f t="shared" si="4"/>
        <v>0</v>
      </c>
      <c r="W45" s="469">
        <f>AW34/AX34</f>
        <v>0</v>
      </c>
      <c r="X45" s="466"/>
      <c r="Y45" s="466"/>
      <c r="Z45" s="466"/>
      <c r="AA45" s="466"/>
      <c r="AB45" s="466"/>
      <c r="AC45" s="466"/>
      <c r="AD45" s="466"/>
      <c r="AE45" s="466"/>
      <c r="AF45" s="466"/>
      <c r="AG45" s="466"/>
      <c r="AH45" s="466"/>
      <c r="AI45" s="466"/>
      <c r="AJ45" s="466"/>
      <c r="AK45" s="466"/>
      <c r="AL45" s="466"/>
      <c r="AM45" s="467"/>
    </row>
    <row r="46" spans="1:71">
      <c r="A46" s="465">
        <v>8</v>
      </c>
      <c r="B46" s="468" t="s">
        <v>192</v>
      </c>
      <c r="C46" s="469">
        <f t="shared" si="1"/>
        <v>0</v>
      </c>
      <c r="D46" s="469">
        <f>AY34/BE34</f>
        <v>0</v>
      </c>
      <c r="E46" s="466"/>
      <c r="F46" s="466">
        <v>8</v>
      </c>
      <c r="G46" s="468" t="s">
        <v>192</v>
      </c>
      <c r="H46" s="469">
        <f t="shared" si="2"/>
        <v>0</v>
      </c>
      <c r="I46" s="568">
        <f>AZ34/BE34</f>
        <v>0</v>
      </c>
      <c r="J46" s="466"/>
      <c r="K46" s="466">
        <v>8</v>
      </c>
      <c r="L46" s="468" t="s">
        <v>192</v>
      </c>
      <c r="M46" s="469">
        <f t="shared" si="3"/>
        <v>0</v>
      </c>
      <c r="N46" s="469">
        <f>BB34/BE34</f>
        <v>1.0529999999999999</v>
      </c>
      <c r="O46" s="466"/>
      <c r="P46" s="466">
        <v>8</v>
      </c>
      <c r="Q46" s="468" t="s">
        <v>192</v>
      </c>
      <c r="R46" s="469"/>
      <c r="S46" s="469">
        <f>BC34/BE34</f>
        <v>0</v>
      </c>
      <c r="T46" s="466">
        <v>8</v>
      </c>
      <c r="U46" s="468" t="s">
        <v>192</v>
      </c>
      <c r="V46" s="469">
        <f t="shared" si="4"/>
        <v>0</v>
      </c>
      <c r="W46" s="469">
        <f>BD34/BE34</f>
        <v>0</v>
      </c>
      <c r="X46" s="466"/>
      <c r="Y46" s="466"/>
      <c r="Z46" s="466"/>
      <c r="AA46" s="466"/>
      <c r="AB46" s="466"/>
      <c r="AC46" s="466"/>
      <c r="AD46" s="466"/>
      <c r="AE46" s="466"/>
      <c r="AF46" s="466"/>
      <c r="AG46" s="466"/>
      <c r="AH46" s="466"/>
      <c r="AI46" s="466"/>
      <c r="AJ46" s="466"/>
      <c r="AK46" s="466"/>
      <c r="AL46" s="466"/>
      <c r="AM46" s="467"/>
    </row>
    <row r="47" spans="1:71">
      <c r="A47" s="465">
        <v>9</v>
      </c>
      <c r="B47" s="468" t="s">
        <v>143</v>
      </c>
      <c r="C47" s="469">
        <f t="shared" si="1"/>
        <v>0.75712759112548067</v>
      </c>
      <c r="D47" s="469">
        <f>BF34/BL34</f>
        <v>0.93435647934802102</v>
      </c>
      <c r="E47" s="466"/>
      <c r="F47" s="466">
        <v>9</v>
      </c>
      <c r="G47" s="468" t="s">
        <v>143</v>
      </c>
      <c r="H47" s="469">
        <f t="shared" si="2"/>
        <v>6.1896050315885812E-2</v>
      </c>
      <c r="I47" s="469">
        <f>BG34/BL34</f>
        <v>7.6643520651978853E-2</v>
      </c>
      <c r="J47" s="466"/>
      <c r="K47" s="466">
        <v>9</v>
      </c>
      <c r="L47" s="468" t="s">
        <v>143</v>
      </c>
      <c r="M47" s="469">
        <f t="shared" si="3"/>
        <v>0.200013</v>
      </c>
      <c r="N47" s="469">
        <f>BI34/BL34</f>
        <v>0</v>
      </c>
      <c r="O47" s="466"/>
      <c r="P47" s="466">
        <v>9</v>
      </c>
      <c r="Q47" s="468" t="s">
        <v>143</v>
      </c>
      <c r="R47" s="469"/>
      <c r="S47" s="469">
        <f>BJ34/BL34</f>
        <v>0</v>
      </c>
      <c r="T47" s="466">
        <v>9</v>
      </c>
      <c r="U47" s="468" t="s">
        <v>143</v>
      </c>
      <c r="V47" s="469">
        <f t="shared" si="4"/>
        <v>0</v>
      </c>
      <c r="W47" s="469">
        <f>BK34/BL34</f>
        <v>0</v>
      </c>
      <c r="X47" s="466"/>
      <c r="Y47" s="466"/>
      <c r="Z47" s="466"/>
      <c r="AA47" s="466"/>
      <c r="AB47" s="466"/>
      <c r="AC47" s="466"/>
      <c r="AD47" s="466"/>
      <c r="AE47" s="466"/>
      <c r="AF47" s="466"/>
      <c r="AG47" s="466"/>
      <c r="AH47" s="466"/>
      <c r="AI47" s="466"/>
      <c r="AJ47" s="466"/>
      <c r="AK47" s="466"/>
      <c r="AL47" s="466"/>
      <c r="AM47" s="467"/>
    </row>
    <row r="48" spans="1:71">
      <c r="A48" s="465">
        <v>10</v>
      </c>
      <c r="B48" s="468" t="s">
        <v>190</v>
      </c>
      <c r="C48" s="469">
        <f>C62</f>
        <v>0.95218178144148524</v>
      </c>
      <c r="D48" s="469">
        <f>BM34/BS34</f>
        <v>0.93240102893086574</v>
      </c>
      <c r="E48" s="466"/>
      <c r="F48" s="466">
        <v>10</v>
      </c>
      <c r="G48" s="468" t="s">
        <v>190</v>
      </c>
      <c r="H48" s="469">
        <f t="shared" si="2"/>
        <v>5.8694078701034727E-2</v>
      </c>
      <c r="I48" s="469">
        <f>BN34/BS34</f>
        <v>7.8598971069134105E-2</v>
      </c>
      <c r="J48" s="466"/>
      <c r="K48" s="466">
        <v>10</v>
      </c>
      <c r="L48" s="468" t="s">
        <v>190</v>
      </c>
      <c r="M48" s="469">
        <f t="shared" si="3"/>
        <v>0</v>
      </c>
      <c r="N48" s="469">
        <f>BP34/BS34</f>
        <v>0</v>
      </c>
      <c r="O48" s="466"/>
      <c r="P48" s="466">
        <v>10</v>
      </c>
      <c r="Q48" s="468" t="s">
        <v>190</v>
      </c>
      <c r="R48" s="469"/>
      <c r="S48" s="469">
        <f>BQ34/BS34</f>
        <v>0</v>
      </c>
      <c r="T48" s="466">
        <v>10</v>
      </c>
      <c r="U48" s="468" t="s">
        <v>190</v>
      </c>
      <c r="V48" s="469">
        <f t="shared" si="4"/>
        <v>0</v>
      </c>
      <c r="W48" s="469">
        <f>BR34/BS34</f>
        <v>0</v>
      </c>
      <c r="X48" s="466"/>
      <c r="Y48" s="466"/>
      <c r="Z48" s="466"/>
      <c r="AA48" s="466"/>
      <c r="AB48" s="466"/>
      <c r="AC48" s="466"/>
      <c r="AD48" s="466"/>
      <c r="AE48" s="466"/>
      <c r="AF48" s="466"/>
      <c r="AG48" s="466"/>
      <c r="AH48" s="466"/>
      <c r="AI48" s="466"/>
      <c r="AJ48" s="466"/>
      <c r="AK48" s="466"/>
      <c r="AL48" s="466"/>
      <c r="AM48" s="467"/>
    </row>
    <row r="49" spans="1:39">
      <c r="A49" s="465"/>
      <c r="B49" s="466"/>
      <c r="C49" s="466"/>
      <c r="D49" s="466"/>
      <c r="E49" s="466"/>
      <c r="F49" s="466"/>
      <c r="G49" s="466"/>
      <c r="H49" s="466"/>
      <c r="I49" s="466"/>
      <c r="J49" s="466"/>
      <c r="K49" s="466"/>
      <c r="L49" s="466"/>
      <c r="M49" s="466"/>
      <c r="N49" s="466"/>
      <c r="O49" s="466"/>
      <c r="P49" s="466"/>
      <c r="Q49" s="466"/>
      <c r="R49" s="466"/>
      <c r="S49" s="466"/>
      <c r="T49" s="466"/>
      <c r="U49" s="466"/>
      <c r="V49" s="466"/>
      <c r="W49" s="466"/>
      <c r="X49" s="466"/>
      <c r="Y49" s="466"/>
      <c r="Z49" s="466"/>
      <c r="AA49" s="466"/>
      <c r="AB49" s="466"/>
      <c r="AC49" s="466"/>
      <c r="AD49" s="466"/>
      <c r="AE49" s="466"/>
      <c r="AF49" s="466"/>
      <c r="AG49" s="466"/>
      <c r="AH49" s="466"/>
      <c r="AI49" s="466"/>
      <c r="AJ49" s="466"/>
      <c r="AK49" s="466"/>
      <c r="AL49" s="466"/>
      <c r="AM49" s="467"/>
    </row>
    <row r="50" spans="1:39">
      <c r="A50" s="465"/>
      <c r="B50" s="466"/>
      <c r="C50" s="466"/>
      <c r="D50" s="466"/>
      <c r="E50" s="466"/>
      <c r="F50" s="466"/>
      <c r="G50" s="466"/>
      <c r="H50" s="466"/>
      <c r="I50" s="466"/>
      <c r="J50" s="466"/>
      <c r="K50" s="466"/>
      <c r="L50" s="466"/>
      <c r="M50" s="466"/>
      <c r="N50" s="466"/>
      <c r="O50" s="466"/>
      <c r="P50" s="466"/>
      <c r="Q50" s="466"/>
      <c r="R50" s="466"/>
      <c r="S50" s="466"/>
      <c r="T50" s="466"/>
      <c r="U50" s="466"/>
      <c r="V50" s="466"/>
      <c r="W50" s="466"/>
      <c r="X50" s="466"/>
      <c r="Y50" s="466"/>
      <c r="Z50" s="466"/>
      <c r="AA50" s="466"/>
      <c r="AB50" s="466"/>
      <c r="AC50" s="466"/>
      <c r="AD50" s="466"/>
      <c r="AE50" s="466"/>
      <c r="AF50" s="466"/>
      <c r="AG50" s="466"/>
      <c r="AH50" s="466"/>
      <c r="AI50" s="466"/>
      <c r="AJ50" s="466"/>
      <c r="AK50" s="466"/>
      <c r="AL50" s="466"/>
      <c r="AM50" s="467"/>
    </row>
    <row r="51" spans="1:39">
      <c r="A51" s="465"/>
      <c r="B51" s="466"/>
      <c r="C51" s="466"/>
      <c r="D51" s="466"/>
      <c r="E51" s="466"/>
      <c r="F51" s="466"/>
      <c r="G51" s="466"/>
      <c r="H51" s="466"/>
      <c r="I51" s="466"/>
      <c r="J51" s="466"/>
      <c r="K51" s="466"/>
      <c r="L51" s="466"/>
      <c r="M51" s="466"/>
      <c r="N51" s="466"/>
      <c r="O51" s="466"/>
      <c r="P51" s="466"/>
      <c r="Q51" s="466"/>
      <c r="R51" s="466"/>
      <c r="S51" s="466"/>
      <c r="T51" s="466"/>
      <c r="U51" s="466"/>
      <c r="V51" s="466"/>
      <c r="W51" s="466"/>
      <c r="X51" s="466"/>
      <c r="Y51" s="466"/>
      <c r="Z51" s="466"/>
      <c r="AA51" s="466"/>
      <c r="AB51" s="466"/>
      <c r="AC51" s="466"/>
      <c r="AD51" s="466"/>
      <c r="AE51" s="466"/>
      <c r="AF51" s="466"/>
      <c r="AG51" s="466"/>
      <c r="AH51" s="466"/>
      <c r="AI51" s="466"/>
      <c r="AJ51" s="466"/>
      <c r="AK51" s="466"/>
      <c r="AL51" s="466"/>
      <c r="AM51" s="467"/>
    </row>
    <row r="52" spans="1:39" ht="42.75">
      <c r="A52" s="470" t="s">
        <v>130</v>
      </c>
      <c r="B52" s="447" t="s">
        <v>137</v>
      </c>
      <c r="C52" s="447" t="s">
        <v>99</v>
      </c>
      <c r="D52" s="447" t="s">
        <v>138</v>
      </c>
      <c r="E52" s="447" t="s">
        <v>139</v>
      </c>
      <c r="F52" s="447" t="s">
        <v>140</v>
      </c>
      <c r="G52" s="447" t="s">
        <v>52</v>
      </c>
      <c r="H52" s="448" t="s">
        <v>141</v>
      </c>
      <c r="I52" s="466"/>
      <c r="J52" s="466"/>
      <c r="K52" s="466"/>
      <c r="L52" s="466"/>
      <c r="M52" s="466"/>
      <c r="N52" s="466"/>
      <c r="O52" s="466"/>
      <c r="P52" s="466"/>
      <c r="Q52" s="466"/>
      <c r="R52" s="466"/>
      <c r="S52" s="466"/>
      <c r="T52" s="466"/>
      <c r="U52" s="466"/>
      <c r="V52" s="466"/>
      <c r="W52" s="466"/>
      <c r="X52" s="466"/>
      <c r="Y52" s="466"/>
      <c r="Z52" s="466"/>
      <c r="AA52" s="466"/>
      <c r="AB52" s="466"/>
      <c r="AC52" s="466"/>
      <c r="AD52" s="466"/>
      <c r="AE52" s="466"/>
      <c r="AF52" s="466"/>
      <c r="AG52" s="466"/>
      <c r="AH52" s="466"/>
      <c r="AI52" s="466"/>
      <c r="AJ52" s="466"/>
      <c r="AK52" s="466"/>
      <c r="AL52" s="466"/>
      <c r="AM52" s="467"/>
    </row>
    <row r="53" spans="1:39" ht="38.25">
      <c r="A53" s="471">
        <v>1</v>
      </c>
      <c r="B53" s="449" t="s">
        <v>142</v>
      </c>
      <c r="C53" s="450">
        <v>0.71633525321383362</v>
      </c>
      <c r="D53" s="450">
        <v>6.229433156421426E-2</v>
      </c>
      <c r="E53" s="450">
        <v>0</v>
      </c>
      <c r="F53" s="450">
        <v>0.242121</v>
      </c>
      <c r="G53" s="450">
        <v>0</v>
      </c>
      <c r="H53" s="450">
        <f>SUM(C53:G53)</f>
        <v>1.0207505847780478</v>
      </c>
      <c r="I53" s="466"/>
      <c r="J53" s="466"/>
      <c r="K53" s="466"/>
      <c r="L53" s="466"/>
      <c r="M53" s="466"/>
      <c r="N53" s="466"/>
      <c r="O53" s="466"/>
      <c r="P53" s="466"/>
      <c r="Q53" s="466"/>
      <c r="R53" s="466"/>
      <c r="S53" s="466"/>
      <c r="T53" s="466"/>
      <c r="U53" s="466"/>
      <c r="V53" s="466"/>
      <c r="W53" s="466"/>
      <c r="X53" s="466"/>
      <c r="Y53" s="466"/>
      <c r="Z53" s="466"/>
      <c r="AA53" s="466"/>
      <c r="AB53" s="466"/>
      <c r="AC53" s="466"/>
      <c r="AD53" s="466"/>
      <c r="AE53" s="466"/>
      <c r="AF53" s="466"/>
      <c r="AG53" s="466"/>
      <c r="AH53" s="466"/>
      <c r="AI53" s="466"/>
      <c r="AJ53" s="466"/>
      <c r="AK53" s="466"/>
      <c r="AL53" s="466"/>
      <c r="AM53" s="467"/>
    </row>
    <row r="54" spans="1:39" ht="38.25">
      <c r="A54" s="472">
        <v>2</v>
      </c>
      <c r="B54" s="449" t="s">
        <v>142</v>
      </c>
      <c r="C54" s="452">
        <v>0.71633525321383362</v>
      </c>
      <c r="D54" s="452">
        <v>6.229433156421426E-2</v>
      </c>
      <c r="E54" s="452">
        <v>0</v>
      </c>
      <c r="F54" s="452">
        <v>0.242121</v>
      </c>
      <c r="G54" s="452">
        <v>0</v>
      </c>
      <c r="H54" s="450">
        <f t="shared" ref="H54:H62" si="5">SUM(C54:G54)</f>
        <v>1.0207505847780478</v>
      </c>
      <c r="I54" s="466"/>
      <c r="J54" s="466"/>
      <c r="K54" s="466"/>
      <c r="L54" s="466"/>
      <c r="M54" s="466"/>
      <c r="N54" s="466"/>
      <c r="O54" s="466"/>
      <c r="P54" s="466"/>
      <c r="Q54" s="466"/>
      <c r="R54" s="466"/>
      <c r="S54" s="466"/>
      <c r="T54" s="466"/>
      <c r="U54" s="466"/>
      <c r="V54" s="466"/>
      <c r="W54" s="466"/>
      <c r="X54" s="466"/>
      <c r="Y54" s="466"/>
      <c r="Z54" s="466"/>
      <c r="AA54" s="466"/>
      <c r="AB54" s="466"/>
      <c r="AC54" s="466"/>
      <c r="AD54" s="466"/>
      <c r="AE54" s="466"/>
      <c r="AF54" s="466"/>
      <c r="AG54" s="466"/>
      <c r="AH54" s="466"/>
      <c r="AI54" s="466"/>
      <c r="AJ54" s="466"/>
      <c r="AK54" s="466"/>
      <c r="AL54" s="466"/>
      <c r="AM54" s="467"/>
    </row>
    <row r="55" spans="1:39" ht="38.25">
      <c r="A55" s="472">
        <v>3</v>
      </c>
      <c r="B55" s="451" t="s">
        <v>143</v>
      </c>
      <c r="C55" s="452">
        <v>0.75712759112548067</v>
      </c>
      <c r="D55" s="452">
        <v>6.1896050315885812E-2</v>
      </c>
      <c r="E55" s="452">
        <v>0</v>
      </c>
      <c r="F55" s="452">
        <v>0.200013</v>
      </c>
      <c r="G55" s="452">
        <v>0</v>
      </c>
      <c r="H55" s="450">
        <f t="shared" si="5"/>
        <v>1.0190366414413665</v>
      </c>
      <c r="I55" s="466"/>
      <c r="J55" s="466"/>
      <c r="K55" s="466"/>
      <c r="L55" s="466"/>
      <c r="M55" s="466"/>
      <c r="N55" s="466"/>
      <c r="O55" s="466"/>
      <c r="P55" s="466"/>
      <c r="Q55" s="466"/>
      <c r="R55" s="466"/>
      <c r="S55" s="466"/>
      <c r="T55" s="466"/>
      <c r="U55" s="466"/>
      <c r="V55" s="466"/>
      <c r="W55" s="466"/>
      <c r="X55" s="466"/>
      <c r="Y55" s="466"/>
      <c r="Z55" s="466"/>
      <c r="AA55" s="466"/>
      <c r="AB55" s="466"/>
      <c r="AC55" s="466"/>
      <c r="AD55" s="466"/>
      <c r="AE55" s="466"/>
      <c r="AF55" s="466"/>
      <c r="AG55" s="466"/>
      <c r="AH55" s="466"/>
      <c r="AI55" s="466"/>
      <c r="AJ55" s="466"/>
      <c r="AK55" s="466"/>
      <c r="AL55" s="466"/>
      <c r="AM55" s="467"/>
    </row>
    <row r="56" spans="1:39" ht="25.5">
      <c r="A56" s="472">
        <v>4</v>
      </c>
      <c r="B56" s="451" t="s">
        <v>135</v>
      </c>
      <c r="C56" s="452">
        <v>0</v>
      </c>
      <c r="D56" s="452">
        <v>0</v>
      </c>
      <c r="E56" s="452">
        <v>0</v>
      </c>
      <c r="F56" s="452">
        <v>0</v>
      </c>
      <c r="G56" s="452">
        <v>0</v>
      </c>
      <c r="H56" s="450">
        <f t="shared" si="5"/>
        <v>0</v>
      </c>
      <c r="I56" s="466"/>
      <c r="J56" s="466"/>
      <c r="K56" s="466"/>
      <c r="L56" s="466"/>
      <c r="M56" s="466"/>
      <c r="N56" s="466"/>
      <c r="O56" s="466"/>
      <c r="P56" s="466"/>
      <c r="Q56" s="466"/>
      <c r="R56" s="466"/>
      <c r="S56" s="466"/>
      <c r="T56" s="466"/>
      <c r="U56" s="466"/>
      <c r="V56" s="466"/>
      <c r="W56" s="466"/>
      <c r="X56" s="466"/>
      <c r="Y56" s="466"/>
      <c r="Z56" s="466"/>
      <c r="AA56" s="466"/>
      <c r="AB56" s="466"/>
      <c r="AC56" s="466"/>
      <c r="AD56" s="466"/>
      <c r="AE56" s="466"/>
      <c r="AF56" s="466"/>
      <c r="AG56" s="466"/>
      <c r="AH56" s="466"/>
      <c r="AI56" s="466"/>
      <c r="AJ56" s="466"/>
      <c r="AK56" s="466"/>
      <c r="AL56" s="466"/>
      <c r="AM56" s="467"/>
    </row>
    <row r="57" spans="1:39" ht="25.5">
      <c r="A57" s="472">
        <v>5</v>
      </c>
      <c r="B57" s="451" t="s">
        <v>190</v>
      </c>
      <c r="C57" s="452">
        <v>0.95218178144148524</v>
      </c>
      <c r="D57" s="452">
        <v>5.8694078701034727E-2</v>
      </c>
      <c r="E57" s="452">
        <v>0</v>
      </c>
      <c r="F57" s="452">
        <v>0</v>
      </c>
      <c r="G57" s="452">
        <v>0</v>
      </c>
      <c r="H57" s="450">
        <f t="shared" si="5"/>
        <v>1.0108758601425201</v>
      </c>
      <c r="I57" s="466"/>
      <c r="J57" s="466"/>
      <c r="K57" s="466"/>
      <c r="L57" s="466"/>
      <c r="M57" s="466"/>
      <c r="N57" s="466"/>
      <c r="O57" s="466"/>
      <c r="P57" s="466"/>
      <c r="Q57" s="466"/>
      <c r="R57" s="466"/>
      <c r="S57" s="466"/>
      <c r="T57" s="466"/>
      <c r="U57" s="466"/>
      <c r="V57" s="466"/>
      <c r="W57" s="466"/>
      <c r="X57" s="466"/>
      <c r="Y57" s="466"/>
      <c r="Z57" s="466"/>
      <c r="AA57" s="466"/>
      <c r="AB57" s="466"/>
      <c r="AC57" s="466"/>
      <c r="AD57" s="466"/>
      <c r="AE57" s="466"/>
      <c r="AF57" s="466"/>
      <c r="AG57" s="466"/>
      <c r="AH57" s="466"/>
      <c r="AI57" s="466"/>
      <c r="AJ57" s="466"/>
      <c r="AK57" s="466"/>
      <c r="AL57" s="466"/>
      <c r="AM57" s="467"/>
    </row>
    <row r="58" spans="1:39">
      <c r="A58" s="472">
        <v>6</v>
      </c>
      <c r="B58" s="451"/>
      <c r="C58" s="452"/>
      <c r="D58" s="452"/>
      <c r="E58" s="452"/>
      <c r="F58" s="452"/>
      <c r="G58" s="452"/>
      <c r="H58" s="450">
        <f t="shared" si="5"/>
        <v>0</v>
      </c>
      <c r="I58" s="466"/>
      <c r="J58" s="466"/>
      <c r="K58" s="466"/>
      <c r="L58" s="466"/>
      <c r="M58" s="466"/>
      <c r="N58" s="466"/>
      <c r="O58" s="466"/>
      <c r="P58" s="466"/>
      <c r="Q58" s="466"/>
      <c r="R58" s="466"/>
      <c r="S58" s="466"/>
      <c r="T58" s="466"/>
      <c r="U58" s="466"/>
      <c r="V58" s="466"/>
      <c r="W58" s="466"/>
      <c r="X58" s="466"/>
      <c r="Y58" s="466"/>
      <c r="Z58" s="466"/>
      <c r="AA58" s="466"/>
      <c r="AB58" s="466"/>
      <c r="AC58" s="466"/>
      <c r="AD58" s="466"/>
      <c r="AE58" s="466"/>
      <c r="AF58" s="466"/>
      <c r="AG58" s="466"/>
      <c r="AH58" s="466"/>
      <c r="AI58" s="466"/>
      <c r="AJ58" s="466"/>
      <c r="AK58" s="466"/>
      <c r="AL58" s="466"/>
      <c r="AM58" s="467"/>
    </row>
    <row r="59" spans="1:39" ht="25.5">
      <c r="A59" s="472">
        <v>7</v>
      </c>
      <c r="B59" s="451" t="s">
        <v>135</v>
      </c>
      <c r="C59" s="452">
        <v>0</v>
      </c>
      <c r="D59" s="452">
        <v>0</v>
      </c>
      <c r="E59" s="452">
        <v>0</v>
      </c>
      <c r="F59" s="452">
        <v>0</v>
      </c>
      <c r="G59" s="452">
        <v>0</v>
      </c>
      <c r="H59" s="450">
        <f t="shared" si="5"/>
        <v>0</v>
      </c>
      <c r="I59" s="466"/>
      <c r="J59" s="466"/>
      <c r="K59" s="466"/>
      <c r="L59" s="466"/>
      <c r="M59" s="466"/>
      <c r="N59" s="466"/>
      <c r="O59" s="466"/>
      <c r="P59" s="466"/>
      <c r="Q59" s="466"/>
      <c r="R59" s="466"/>
      <c r="S59" s="466"/>
      <c r="T59" s="466"/>
      <c r="U59" s="466"/>
      <c r="V59" s="466"/>
      <c r="W59" s="466"/>
      <c r="X59" s="466"/>
      <c r="Y59" s="466"/>
      <c r="Z59" s="466"/>
      <c r="AA59" s="466"/>
      <c r="AB59" s="466"/>
      <c r="AC59" s="466"/>
      <c r="AD59" s="466"/>
      <c r="AE59" s="466"/>
      <c r="AF59" s="466"/>
      <c r="AG59" s="466"/>
      <c r="AH59" s="466"/>
      <c r="AI59" s="466"/>
      <c r="AJ59" s="466"/>
      <c r="AK59" s="466"/>
      <c r="AL59" s="466"/>
      <c r="AM59" s="467"/>
    </row>
    <row r="60" spans="1:39">
      <c r="A60" s="472">
        <v>8</v>
      </c>
      <c r="B60" s="449" t="s">
        <v>192</v>
      </c>
      <c r="C60" s="452">
        <v>0</v>
      </c>
      <c r="D60" s="452">
        <v>0</v>
      </c>
      <c r="E60" s="452">
        <v>0</v>
      </c>
      <c r="F60" s="452">
        <v>0</v>
      </c>
      <c r="G60" s="452">
        <v>0</v>
      </c>
      <c r="H60" s="450">
        <f t="shared" si="5"/>
        <v>0</v>
      </c>
      <c r="I60" s="466"/>
      <c r="J60" s="466"/>
      <c r="K60" s="466"/>
      <c r="L60" s="466"/>
      <c r="M60" s="466"/>
      <c r="N60" s="466"/>
      <c r="O60" s="466"/>
      <c r="P60" s="466"/>
      <c r="Q60" s="466"/>
      <c r="R60" s="466"/>
      <c r="S60" s="466"/>
      <c r="T60" s="466"/>
      <c r="U60" s="466"/>
      <c r="V60" s="466"/>
      <c r="W60" s="466"/>
      <c r="X60" s="466"/>
      <c r="Y60" s="466"/>
      <c r="Z60" s="466"/>
      <c r="AA60" s="466"/>
      <c r="AB60" s="466"/>
      <c r="AC60" s="466"/>
      <c r="AD60" s="466"/>
      <c r="AE60" s="466"/>
      <c r="AF60" s="466"/>
      <c r="AG60" s="466"/>
      <c r="AH60" s="466"/>
      <c r="AI60" s="466"/>
      <c r="AJ60" s="466"/>
      <c r="AK60" s="466"/>
      <c r="AL60" s="466"/>
      <c r="AM60" s="467"/>
    </row>
    <row r="61" spans="1:39" ht="38.25">
      <c r="A61" s="472">
        <v>9</v>
      </c>
      <c r="B61" s="451" t="s">
        <v>143</v>
      </c>
      <c r="C61" s="452">
        <v>0.75712759112548067</v>
      </c>
      <c r="D61" s="452">
        <v>6.1896050315885812E-2</v>
      </c>
      <c r="E61" s="452">
        <v>0</v>
      </c>
      <c r="F61" s="452">
        <v>0.200013</v>
      </c>
      <c r="G61" s="452">
        <v>0</v>
      </c>
      <c r="H61" s="450">
        <f t="shared" si="5"/>
        <v>1.0190366414413665</v>
      </c>
      <c r="I61" s="466"/>
      <c r="J61" s="466"/>
      <c r="K61" s="466"/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/>
      <c r="W61" s="466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  <c r="AI61" s="466"/>
      <c r="AJ61" s="466"/>
      <c r="AK61" s="466"/>
      <c r="AL61" s="466"/>
      <c r="AM61" s="467"/>
    </row>
    <row r="62" spans="1:39" ht="25.5">
      <c r="A62" s="477">
        <v>10</v>
      </c>
      <c r="B62" s="454" t="s">
        <v>190</v>
      </c>
      <c r="C62" s="455">
        <v>0.95218178144148524</v>
      </c>
      <c r="D62" s="455">
        <v>5.8694078701034727E-2</v>
      </c>
      <c r="E62" s="455">
        <v>0</v>
      </c>
      <c r="F62" s="455">
        <v>0</v>
      </c>
      <c r="G62" s="455">
        <v>0</v>
      </c>
      <c r="H62" s="455">
        <f t="shared" si="5"/>
        <v>1.0108758601425201</v>
      </c>
      <c r="I62" s="466"/>
      <c r="J62" s="466"/>
      <c r="K62" s="466"/>
      <c r="L62" s="466"/>
      <c r="M62" s="466"/>
      <c r="N62" s="466"/>
      <c r="O62" s="466"/>
      <c r="P62" s="466"/>
      <c r="Q62" s="466"/>
      <c r="R62" s="466"/>
      <c r="S62" s="466"/>
      <c r="T62" s="466"/>
      <c r="U62" s="466"/>
      <c r="V62" s="466"/>
      <c r="W62" s="466"/>
      <c r="X62" s="466"/>
      <c r="Y62" s="466"/>
      <c r="Z62" s="466"/>
      <c r="AA62" s="466"/>
      <c r="AB62" s="466"/>
      <c r="AC62" s="466"/>
      <c r="AD62" s="466"/>
      <c r="AE62" s="466"/>
      <c r="AF62" s="466"/>
      <c r="AG62" s="466"/>
      <c r="AH62" s="466"/>
      <c r="AI62" s="466"/>
      <c r="AJ62" s="466"/>
      <c r="AK62" s="466"/>
      <c r="AL62" s="466"/>
      <c r="AM62" s="467"/>
    </row>
    <row r="63" spans="1:39">
      <c r="A63" s="465"/>
      <c r="B63" s="466"/>
      <c r="C63" s="466"/>
      <c r="D63" s="466"/>
      <c r="E63" s="466"/>
      <c r="F63" s="466"/>
      <c r="G63" s="466"/>
      <c r="H63" s="466"/>
      <c r="I63" s="466"/>
      <c r="J63" s="466"/>
      <c r="K63" s="466"/>
      <c r="L63" s="466"/>
      <c r="M63" s="466"/>
      <c r="N63" s="466"/>
      <c r="O63" s="466"/>
      <c r="P63" s="466"/>
      <c r="Q63" s="466"/>
      <c r="R63" s="466"/>
      <c r="S63" s="466"/>
      <c r="T63" s="466"/>
      <c r="U63" s="466"/>
      <c r="V63" s="466"/>
      <c r="W63" s="466"/>
      <c r="X63" s="466"/>
      <c r="Y63" s="466"/>
      <c r="Z63" s="466"/>
      <c r="AA63" s="466"/>
      <c r="AB63" s="466"/>
      <c r="AC63" s="466"/>
      <c r="AD63" s="466"/>
      <c r="AE63" s="466"/>
      <c r="AF63" s="466"/>
      <c r="AG63" s="466"/>
      <c r="AH63" s="466"/>
      <c r="AI63" s="466"/>
      <c r="AJ63" s="466"/>
      <c r="AK63" s="466"/>
      <c r="AL63" s="466"/>
      <c r="AM63" s="467"/>
    </row>
    <row r="64" spans="1:39">
      <c r="A64" s="465"/>
      <c r="B64" s="466"/>
      <c r="C64" s="466"/>
      <c r="D64" s="466"/>
      <c r="E64" s="466"/>
      <c r="F64" s="466"/>
      <c r="G64" s="466"/>
      <c r="H64" s="466"/>
      <c r="I64" s="466"/>
      <c r="J64" s="466"/>
      <c r="K64" s="466"/>
      <c r="L64" s="466"/>
      <c r="M64" s="466"/>
      <c r="N64" s="466"/>
      <c r="O64" s="466"/>
      <c r="P64" s="466"/>
      <c r="Q64" s="466"/>
      <c r="R64" s="466"/>
      <c r="S64" s="466"/>
      <c r="T64" s="466"/>
      <c r="U64" s="466"/>
      <c r="V64" s="466"/>
      <c r="W64" s="466"/>
      <c r="X64" s="466"/>
      <c r="Y64" s="466"/>
      <c r="Z64" s="466"/>
      <c r="AA64" s="466"/>
      <c r="AB64" s="466"/>
      <c r="AC64" s="466"/>
      <c r="AD64" s="466"/>
      <c r="AE64" s="466"/>
      <c r="AF64" s="466"/>
      <c r="AG64" s="466"/>
      <c r="AH64" s="466"/>
      <c r="AI64" s="466"/>
      <c r="AJ64" s="466"/>
      <c r="AK64" s="466"/>
      <c r="AL64" s="466"/>
      <c r="AM64" s="467"/>
    </row>
    <row r="65" spans="1:39">
      <c r="A65" s="465"/>
      <c r="B65" s="466"/>
      <c r="C65" s="466"/>
      <c r="D65" s="466"/>
      <c r="E65" s="466"/>
      <c r="F65" s="466"/>
      <c r="G65" s="466"/>
      <c r="H65" s="466"/>
      <c r="I65" s="466"/>
      <c r="J65" s="466"/>
      <c r="K65" s="466"/>
      <c r="L65" s="466"/>
      <c r="M65" s="466"/>
      <c r="N65" s="466"/>
      <c r="O65" s="466"/>
      <c r="P65" s="466"/>
      <c r="Q65" s="466"/>
      <c r="R65" s="466"/>
      <c r="S65" s="466"/>
      <c r="T65" s="466"/>
      <c r="U65" s="466"/>
      <c r="V65" s="466"/>
      <c r="W65" s="466"/>
      <c r="X65" s="466"/>
      <c r="Y65" s="466"/>
      <c r="Z65" s="466"/>
      <c r="AA65" s="466"/>
      <c r="AB65" s="466"/>
      <c r="AC65" s="466"/>
      <c r="AD65" s="466"/>
      <c r="AE65" s="466"/>
      <c r="AF65" s="466"/>
      <c r="AG65" s="466"/>
      <c r="AH65" s="466"/>
      <c r="AI65" s="466"/>
      <c r="AJ65" s="466"/>
      <c r="AK65" s="466"/>
      <c r="AL65" s="466"/>
      <c r="AM65" s="467"/>
    </row>
    <row r="66" spans="1:39">
      <c r="A66" s="465"/>
      <c r="B66" s="466"/>
      <c r="C66" s="466"/>
      <c r="D66" s="466"/>
      <c r="E66" s="466"/>
      <c r="F66" s="466"/>
      <c r="G66" s="466"/>
      <c r="H66" s="466"/>
      <c r="I66" s="466"/>
      <c r="J66" s="466"/>
      <c r="K66" s="466"/>
      <c r="L66" s="466"/>
      <c r="M66" s="466"/>
      <c r="N66" s="466"/>
      <c r="O66" s="466"/>
      <c r="P66" s="466"/>
      <c r="Q66" s="466"/>
      <c r="R66" s="466"/>
      <c r="S66" s="466"/>
      <c r="T66" s="466"/>
      <c r="U66" s="466"/>
      <c r="V66" s="466"/>
      <c r="W66" s="466"/>
      <c r="X66" s="466"/>
      <c r="Y66" s="466"/>
      <c r="Z66" s="466"/>
      <c r="AA66" s="466"/>
      <c r="AB66" s="466"/>
      <c r="AC66" s="466"/>
      <c r="AD66" s="466"/>
      <c r="AE66" s="466"/>
      <c r="AF66" s="466"/>
      <c r="AG66" s="466"/>
      <c r="AH66" s="466"/>
      <c r="AI66" s="466"/>
      <c r="AJ66" s="466"/>
      <c r="AK66" s="466"/>
      <c r="AL66" s="466"/>
      <c r="AM66" s="467"/>
    </row>
    <row r="67" spans="1:39">
      <c r="A67" s="465"/>
      <c r="B67" s="466"/>
      <c r="C67" s="466"/>
      <c r="D67" s="466"/>
      <c r="E67" s="466"/>
      <c r="F67" s="466"/>
      <c r="G67" s="466"/>
      <c r="H67" s="466"/>
      <c r="I67" s="466"/>
      <c r="J67" s="466"/>
      <c r="K67" s="466"/>
      <c r="L67" s="466"/>
      <c r="M67" s="466"/>
      <c r="N67" s="466"/>
      <c r="O67" s="466"/>
      <c r="P67" s="466"/>
      <c r="Q67" s="466"/>
      <c r="R67" s="466"/>
      <c r="S67" s="466"/>
      <c r="T67" s="466"/>
      <c r="U67" s="466"/>
      <c r="V67" s="466"/>
      <c r="W67" s="466"/>
      <c r="X67" s="466"/>
      <c r="Y67" s="466"/>
      <c r="Z67" s="466"/>
      <c r="AA67" s="466"/>
      <c r="AB67" s="466"/>
      <c r="AC67" s="466"/>
      <c r="AD67" s="466"/>
      <c r="AE67" s="466"/>
      <c r="AF67" s="466"/>
      <c r="AG67" s="466"/>
      <c r="AH67" s="466"/>
      <c r="AI67" s="466"/>
      <c r="AJ67" s="466"/>
      <c r="AK67" s="466"/>
      <c r="AL67" s="466"/>
      <c r="AM67" s="467"/>
    </row>
    <row r="68" spans="1:39">
      <c r="A68" s="465"/>
      <c r="B68" s="466"/>
      <c r="C68" s="466"/>
      <c r="D68" s="466"/>
      <c r="E68" s="466"/>
      <c r="F68" s="466"/>
      <c r="G68" s="466"/>
      <c r="H68" s="466"/>
      <c r="I68" s="466"/>
      <c r="J68" s="466"/>
      <c r="K68" s="466"/>
      <c r="L68" s="466"/>
      <c r="M68" s="466"/>
      <c r="N68" s="466"/>
      <c r="O68" s="466"/>
      <c r="P68" s="466"/>
      <c r="Q68" s="466"/>
      <c r="R68" s="466"/>
      <c r="S68" s="466"/>
      <c r="T68" s="466"/>
      <c r="U68" s="466"/>
      <c r="V68" s="466"/>
      <c r="W68" s="466"/>
      <c r="X68" s="466"/>
      <c r="Y68" s="466"/>
      <c r="Z68" s="466"/>
      <c r="AA68" s="466"/>
      <c r="AB68" s="466"/>
      <c r="AC68" s="466"/>
      <c r="AD68" s="466"/>
      <c r="AE68" s="466"/>
      <c r="AF68" s="466"/>
      <c r="AG68" s="466"/>
      <c r="AH68" s="466"/>
      <c r="AI68" s="466"/>
      <c r="AJ68" s="466"/>
      <c r="AK68" s="466"/>
      <c r="AL68" s="466"/>
      <c r="AM68" s="467"/>
    </row>
    <row r="69" spans="1:39">
      <c r="A69" s="465"/>
      <c r="B69" s="466"/>
      <c r="C69" s="466"/>
      <c r="D69" s="466"/>
      <c r="E69" s="466"/>
      <c r="F69" s="466"/>
      <c r="G69" s="466"/>
      <c r="H69" s="466"/>
      <c r="I69" s="466"/>
      <c r="J69" s="466"/>
      <c r="K69" s="466"/>
      <c r="L69" s="466"/>
      <c r="M69" s="466"/>
      <c r="N69" s="466"/>
      <c r="O69" s="466"/>
      <c r="P69" s="466"/>
      <c r="Q69" s="466"/>
      <c r="R69" s="466"/>
      <c r="S69" s="466"/>
      <c r="T69" s="466"/>
      <c r="U69" s="466"/>
      <c r="V69" s="466"/>
      <c r="W69" s="466"/>
      <c r="X69" s="466"/>
      <c r="Y69" s="466"/>
      <c r="Z69" s="466"/>
      <c r="AA69" s="466"/>
      <c r="AB69" s="466"/>
      <c r="AC69" s="466"/>
      <c r="AD69" s="466"/>
      <c r="AE69" s="466"/>
      <c r="AF69" s="466"/>
      <c r="AG69" s="466"/>
      <c r="AH69" s="466"/>
      <c r="AI69" s="466"/>
      <c r="AJ69" s="466"/>
      <c r="AK69" s="466"/>
      <c r="AL69" s="466"/>
      <c r="AM69" s="467"/>
    </row>
    <row r="70" spans="1:39">
      <c r="A70" s="465"/>
      <c r="B70" s="466"/>
      <c r="C70" s="466"/>
      <c r="D70" s="466"/>
      <c r="E70" s="466"/>
      <c r="F70" s="466"/>
      <c r="G70" s="466"/>
      <c r="H70" s="466"/>
      <c r="I70" s="466"/>
      <c r="J70" s="466"/>
      <c r="K70" s="466"/>
      <c r="L70" s="466"/>
      <c r="M70" s="466"/>
      <c r="N70" s="466"/>
      <c r="O70" s="466"/>
      <c r="P70" s="466"/>
      <c r="Q70" s="466"/>
      <c r="R70" s="466"/>
      <c r="S70" s="466"/>
      <c r="T70" s="466"/>
      <c r="U70" s="466"/>
      <c r="V70" s="466"/>
      <c r="W70" s="466"/>
      <c r="X70" s="466"/>
      <c r="Y70" s="466"/>
      <c r="Z70" s="466"/>
      <c r="AA70" s="466"/>
      <c r="AB70" s="466"/>
      <c r="AC70" s="466"/>
      <c r="AD70" s="466"/>
      <c r="AE70" s="466"/>
      <c r="AF70" s="466"/>
      <c r="AG70" s="466"/>
      <c r="AH70" s="466"/>
      <c r="AI70" s="466"/>
      <c r="AJ70" s="466"/>
      <c r="AK70" s="466"/>
      <c r="AL70" s="466"/>
      <c r="AM70" s="467"/>
    </row>
    <row r="71" spans="1:39">
      <c r="A71" s="465"/>
      <c r="B71" s="466"/>
      <c r="C71" s="466"/>
      <c r="D71" s="466"/>
      <c r="E71" s="466"/>
      <c r="F71" s="466"/>
      <c r="G71" s="466"/>
      <c r="H71" s="466"/>
      <c r="I71" s="466"/>
      <c r="J71" s="466"/>
      <c r="K71" s="466"/>
      <c r="L71" s="466"/>
      <c r="M71" s="466"/>
      <c r="N71" s="466"/>
      <c r="O71" s="466"/>
      <c r="P71" s="466"/>
      <c r="Q71" s="466"/>
      <c r="R71" s="466"/>
      <c r="S71" s="466"/>
      <c r="T71" s="466"/>
      <c r="U71" s="466"/>
      <c r="V71" s="466"/>
      <c r="W71" s="466"/>
      <c r="X71" s="466"/>
      <c r="Y71" s="466"/>
      <c r="Z71" s="466"/>
      <c r="AA71" s="466"/>
      <c r="AB71" s="466"/>
      <c r="AC71" s="466"/>
      <c r="AD71" s="466"/>
      <c r="AE71" s="466"/>
      <c r="AF71" s="466"/>
      <c r="AG71" s="466"/>
      <c r="AH71" s="466"/>
      <c r="AI71" s="466"/>
      <c r="AJ71" s="466"/>
      <c r="AK71" s="466"/>
      <c r="AL71" s="466"/>
      <c r="AM71" s="467"/>
    </row>
    <row r="72" spans="1:39">
      <c r="A72" s="465"/>
      <c r="B72" s="466"/>
      <c r="C72" s="466"/>
      <c r="D72" s="466"/>
      <c r="E72" s="466"/>
      <c r="F72" s="466"/>
      <c r="G72" s="466"/>
      <c r="H72" s="466"/>
      <c r="I72" s="466"/>
      <c r="J72" s="466"/>
      <c r="K72" s="466"/>
      <c r="L72" s="466"/>
      <c r="M72" s="466"/>
      <c r="N72" s="466"/>
      <c r="O72" s="466"/>
      <c r="P72" s="466"/>
      <c r="Q72" s="466"/>
      <c r="R72" s="466"/>
      <c r="S72" s="466"/>
      <c r="T72" s="466"/>
      <c r="U72" s="466"/>
      <c r="V72" s="466"/>
      <c r="W72" s="466"/>
      <c r="X72" s="466"/>
      <c r="Y72" s="466"/>
      <c r="Z72" s="466"/>
      <c r="AA72" s="466"/>
      <c r="AB72" s="466"/>
      <c r="AC72" s="466"/>
      <c r="AD72" s="466"/>
      <c r="AE72" s="466"/>
      <c r="AF72" s="466"/>
      <c r="AG72" s="466"/>
      <c r="AH72" s="466"/>
      <c r="AI72" s="466"/>
      <c r="AJ72" s="466"/>
      <c r="AK72" s="466"/>
      <c r="AL72" s="466"/>
      <c r="AM72" s="467"/>
    </row>
    <row r="73" spans="1:39" ht="24" thickBot="1">
      <c r="A73" s="473"/>
      <c r="B73" s="478" t="s">
        <v>144</v>
      </c>
      <c r="C73" s="474"/>
      <c r="D73" s="474"/>
      <c r="E73" s="474"/>
      <c r="F73" s="474"/>
      <c r="G73" s="474"/>
      <c r="H73" s="474"/>
      <c r="I73" s="474"/>
      <c r="J73" s="474"/>
      <c r="K73" s="474"/>
      <c r="L73" s="474"/>
      <c r="M73" s="474"/>
      <c r="N73" s="474"/>
      <c r="O73" s="474"/>
      <c r="P73" s="474"/>
      <c r="Q73" s="474"/>
      <c r="R73" s="474"/>
      <c r="S73" s="474"/>
      <c r="T73" s="474"/>
      <c r="U73" s="474"/>
      <c r="V73" s="474"/>
      <c r="W73" s="474"/>
      <c r="X73" s="474"/>
      <c r="Y73" s="474"/>
      <c r="Z73" s="474"/>
      <c r="AA73" s="474"/>
      <c r="AB73" s="474"/>
      <c r="AC73" s="474"/>
      <c r="AD73" s="474"/>
      <c r="AE73" s="474"/>
      <c r="AF73" s="474"/>
      <c r="AG73" s="474"/>
      <c r="AH73" s="474"/>
      <c r="AI73" s="474"/>
      <c r="AJ73" s="474"/>
      <c r="AK73" s="474"/>
      <c r="AL73" s="474"/>
      <c r="AM73" s="475"/>
    </row>
    <row r="74" spans="1:39">
      <c r="A74" s="462"/>
      <c r="B74" s="463"/>
      <c r="C74" s="463" t="s">
        <v>99</v>
      </c>
      <c r="D74" s="463"/>
      <c r="E74" s="463"/>
      <c r="F74" s="463"/>
      <c r="G74" s="463"/>
      <c r="H74" s="463" t="s">
        <v>42</v>
      </c>
      <c r="I74" s="463"/>
      <c r="J74" s="463"/>
      <c r="K74" s="463"/>
      <c r="L74" s="463"/>
      <c r="M74" s="463" t="s">
        <v>98</v>
      </c>
      <c r="N74" s="463"/>
      <c r="O74" s="463"/>
      <c r="P74" s="463"/>
      <c r="Q74" s="463"/>
      <c r="R74" s="463" t="s">
        <v>59</v>
      </c>
      <c r="S74" s="463"/>
      <c r="T74" s="463"/>
      <c r="U74" s="463"/>
      <c r="V74" s="463"/>
      <c r="W74" s="463"/>
      <c r="X74" s="463"/>
      <c r="Y74" s="463"/>
      <c r="Z74" s="463"/>
      <c r="AA74" s="463"/>
      <c r="AB74" s="463"/>
      <c r="AC74" s="463"/>
      <c r="AD74" s="463"/>
      <c r="AE74" s="463"/>
      <c r="AF74" s="463"/>
      <c r="AG74" s="463"/>
      <c r="AH74" s="463"/>
      <c r="AI74" s="463"/>
      <c r="AJ74" s="463"/>
      <c r="AK74" s="463"/>
      <c r="AL74" s="463"/>
      <c r="AM74" s="464"/>
    </row>
    <row r="75" spans="1:39">
      <c r="A75" s="465"/>
      <c r="B75" s="466" t="s">
        <v>131</v>
      </c>
      <c r="C75" s="466" t="s">
        <v>132</v>
      </c>
      <c r="D75" s="466" t="s">
        <v>133</v>
      </c>
      <c r="E75" s="466"/>
      <c r="F75" s="466"/>
      <c r="G75" s="466" t="s">
        <v>131</v>
      </c>
      <c r="H75" s="466" t="s">
        <v>132</v>
      </c>
      <c r="I75" s="466" t="s">
        <v>133</v>
      </c>
      <c r="J75" s="466"/>
      <c r="K75" s="466"/>
      <c r="L75" s="466" t="s">
        <v>131</v>
      </c>
      <c r="M75" s="466" t="s">
        <v>132</v>
      </c>
      <c r="N75" s="466" t="s">
        <v>133</v>
      </c>
      <c r="O75" s="466"/>
      <c r="P75" s="466"/>
      <c r="Q75" s="466" t="s">
        <v>131</v>
      </c>
      <c r="R75" s="466" t="s">
        <v>132</v>
      </c>
      <c r="S75" s="466" t="s">
        <v>133</v>
      </c>
      <c r="T75" s="466"/>
      <c r="U75" s="466"/>
      <c r="V75" s="466"/>
      <c r="W75" s="466"/>
      <c r="X75" s="466"/>
      <c r="Y75" s="466"/>
      <c r="Z75" s="466"/>
      <c r="AA75" s="466"/>
      <c r="AB75" s="466"/>
      <c r="AC75" s="466"/>
      <c r="AD75" s="466"/>
      <c r="AE75" s="466"/>
      <c r="AF75" s="466"/>
      <c r="AG75" s="466"/>
      <c r="AH75" s="466"/>
      <c r="AI75" s="466"/>
      <c r="AJ75" s="466"/>
      <c r="AK75" s="466"/>
      <c r="AL75" s="466"/>
      <c r="AM75" s="467"/>
    </row>
    <row r="76" spans="1:39">
      <c r="A76" s="465"/>
      <c r="B76" s="468" t="s">
        <v>85</v>
      </c>
      <c r="C76" s="469">
        <f>C82</f>
        <v>0.64500000000000002</v>
      </c>
      <c r="D76" s="469">
        <f>(B34+BM34+AY34)/(H34+BE34+BS34)</f>
        <v>0.72472129132620611</v>
      </c>
      <c r="E76" s="466"/>
      <c r="F76" s="466"/>
      <c r="G76" s="468" t="s">
        <v>85</v>
      </c>
      <c r="H76" s="469">
        <f>D82</f>
        <v>6.4000000000000001E-2</v>
      </c>
      <c r="I76" s="568">
        <f>(C34+AZ34+BN34)/(H34+BE34+BS34)</f>
        <v>6.1092111701602954E-2</v>
      </c>
      <c r="J76" s="466"/>
      <c r="K76" s="466"/>
      <c r="L76" s="468" t="s">
        <v>85</v>
      </c>
      <c r="M76" s="469">
        <f>F82</f>
        <v>0.126</v>
      </c>
      <c r="N76" s="469">
        <f>(E34+BB34+BP34)/(H34+BE34+BS34)</f>
        <v>0.23454152978409182</v>
      </c>
      <c r="O76" s="466"/>
      <c r="P76" s="466"/>
      <c r="Q76" s="468" t="s">
        <v>85</v>
      </c>
      <c r="R76" s="469">
        <f>E82</f>
        <v>0.21299999999999999</v>
      </c>
      <c r="S76" s="469">
        <f>(G34+BD34+BR34)/(H34+BE34+BS34)</f>
        <v>0</v>
      </c>
      <c r="T76" s="466"/>
      <c r="U76" s="466"/>
      <c r="V76" s="466"/>
      <c r="W76" s="466"/>
      <c r="X76" s="466"/>
      <c r="Y76" s="466"/>
      <c r="Z76" s="466"/>
      <c r="AA76" s="466"/>
      <c r="AB76" s="466"/>
      <c r="AC76" s="466"/>
      <c r="AD76" s="466"/>
      <c r="AE76" s="466"/>
      <c r="AF76" s="466"/>
      <c r="AG76" s="466"/>
      <c r="AH76" s="466"/>
      <c r="AI76" s="466"/>
      <c r="AJ76" s="466"/>
      <c r="AK76" s="466"/>
      <c r="AL76" s="466"/>
      <c r="AM76" s="467"/>
    </row>
    <row r="77" spans="1:39">
      <c r="A77" s="465"/>
      <c r="B77" s="468" t="s">
        <v>134</v>
      </c>
      <c r="C77" s="469">
        <f>C83</f>
        <v>0.79700000000000004</v>
      </c>
      <c r="D77" s="469" t="e">
        <f>I34/O34</f>
        <v>#DIV/0!</v>
      </c>
      <c r="E77" s="466"/>
      <c r="F77" s="466"/>
      <c r="G77" s="468" t="s">
        <v>134</v>
      </c>
      <c r="H77" s="469">
        <f>D83</f>
        <v>6.3E-2</v>
      </c>
      <c r="I77" s="568" t="e">
        <f>J34/O34</f>
        <v>#DIV/0!</v>
      </c>
      <c r="J77" s="466"/>
      <c r="K77" s="466"/>
      <c r="L77" s="468" t="s">
        <v>134</v>
      </c>
      <c r="M77" s="469">
        <f>F83</f>
        <v>5.2999999999999999E-2</v>
      </c>
      <c r="N77" s="469" t="e">
        <f>L34/O34</f>
        <v>#DIV/0!</v>
      </c>
      <c r="O77" s="466"/>
      <c r="P77" s="466"/>
      <c r="Q77" s="468" t="s">
        <v>134</v>
      </c>
      <c r="R77" s="469">
        <f>E83</f>
        <v>0.11799999999999999</v>
      </c>
      <c r="S77" s="469" t="e">
        <f>N34/O34</f>
        <v>#DIV/0!</v>
      </c>
      <c r="T77" s="466"/>
      <c r="U77" s="466"/>
      <c r="V77" s="466"/>
      <c r="W77" s="466"/>
      <c r="X77" s="466"/>
      <c r="Y77" s="466"/>
      <c r="Z77" s="466"/>
      <c r="AA77" s="466"/>
      <c r="AB77" s="466"/>
      <c r="AC77" s="466"/>
      <c r="AD77" s="466"/>
      <c r="AE77" s="466"/>
      <c r="AF77" s="466"/>
      <c r="AG77" s="466"/>
      <c r="AH77" s="466"/>
      <c r="AI77" s="466"/>
      <c r="AJ77" s="466"/>
      <c r="AK77" s="466"/>
      <c r="AL77" s="466"/>
      <c r="AM77" s="467"/>
    </row>
    <row r="78" spans="1:39">
      <c r="A78" s="465"/>
      <c r="B78" s="468" t="s">
        <v>135</v>
      </c>
      <c r="C78" s="469">
        <f>C84</f>
        <v>0.90600000000000003</v>
      </c>
      <c r="D78" s="469">
        <f>(P34+W34+AD34+AR34)/(V34+AC34+AJ34+AX34)</f>
        <v>0.87893248391017176</v>
      </c>
      <c r="E78" s="466"/>
      <c r="F78" s="466"/>
      <c r="G78" s="468" t="s">
        <v>135</v>
      </c>
      <c r="H78" s="469">
        <f>D84</f>
        <v>6.5000000000000002E-2</v>
      </c>
      <c r="I78" s="568">
        <f>(Q34+X34+AE34+AS34)/(V34+AC34+AJ34+AX34)</f>
        <v>6.7746869366424295E-2</v>
      </c>
      <c r="J78" s="466"/>
      <c r="K78" s="466"/>
      <c r="L78" s="468" t="s">
        <v>135</v>
      </c>
      <c r="M78" s="469">
        <f>F84</f>
        <v>0</v>
      </c>
      <c r="N78" s="469">
        <v>0</v>
      </c>
      <c r="O78" s="466"/>
      <c r="P78" s="466"/>
      <c r="Q78" s="468" t="s">
        <v>135</v>
      </c>
      <c r="R78" s="469">
        <f>E84</f>
        <v>4.7E-2</v>
      </c>
      <c r="S78" s="469">
        <f>(U34+AB34+AI34+AW34)/(V34+AC34+AJ34+AX34)</f>
        <v>0</v>
      </c>
      <c r="T78" s="466"/>
      <c r="U78" s="466"/>
      <c r="V78" s="466"/>
      <c r="W78" s="466"/>
      <c r="X78" s="466"/>
      <c r="Y78" s="466"/>
      <c r="Z78" s="466"/>
      <c r="AA78" s="466"/>
      <c r="AB78" s="466"/>
      <c r="AC78" s="466"/>
      <c r="AD78" s="466"/>
      <c r="AE78" s="466"/>
      <c r="AF78" s="466"/>
      <c r="AG78" s="466"/>
      <c r="AH78" s="466"/>
      <c r="AI78" s="466"/>
      <c r="AJ78" s="466"/>
      <c r="AK78" s="466"/>
      <c r="AL78" s="466"/>
      <c r="AM78" s="467"/>
    </row>
    <row r="79" spans="1:39">
      <c r="A79" s="465"/>
      <c r="B79" s="466"/>
      <c r="C79" s="466"/>
      <c r="D79" s="466"/>
      <c r="E79" s="466"/>
      <c r="F79" s="466"/>
      <c r="G79" s="466"/>
      <c r="H79" s="466"/>
      <c r="I79" s="466"/>
      <c r="J79" s="466"/>
      <c r="K79" s="466"/>
      <c r="L79" s="466"/>
      <c r="M79" s="466"/>
      <c r="N79" s="466"/>
      <c r="O79" s="466"/>
      <c r="P79" s="466"/>
      <c r="Q79" s="466"/>
      <c r="R79" s="466"/>
      <c r="S79" s="466"/>
      <c r="T79" s="466"/>
      <c r="U79" s="466"/>
      <c r="V79" s="466"/>
      <c r="W79" s="466"/>
      <c r="X79" s="466"/>
      <c r="Y79" s="466"/>
      <c r="Z79" s="466"/>
      <c r="AA79" s="466"/>
      <c r="AB79" s="466"/>
      <c r="AC79" s="466"/>
      <c r="AD79" s="466"/>
      <c r="AE79" s="466"/>
      <c r="AF79" s="466"/>
      <c r="AG79" s="466"/>
      <c r="AH79" s="466"/>
      <c r="AI79" s="466"/>
      <c r="AJ79" s="466"/>
      <c r="AK79" s="466"/>
      <c r="AL79" s="466"/>
      <c r="AM79" s="467"/>
    </row>
    <row r="80" spans="1:39">
      <c r="A80" s="465" t="s">
        <v>3</v>
      </c>
      <c r="B80" s="466"/>
      <c r="C80" s="466"/>
      <c r="D80" s="466"/>
      <c r="E80" s="466"/>
      <c r="F80" s="466"/>
      <c r="G80" s="466"/>
      <c r="H80" s="466"/>
      <c r="I80" s="466"/>
      <c r="J80" s="466"/>
      <c r="K80" s="466"/>
      <c r="L80" s="466"/>
      <c r="M80" s="466"/>
      <c r="N80" s="466"/>
      <c r="O80" s="466"/>
      <c r="P80" s="466"/>
      <c r="Q80" s="466"/>
      <c r="R80" s="466"/>
      <c r="S80" s="466"/>
      <c r="T80" s="466"/>
      <c r="U80" s="466"/>
      <c r="V80" s="466"/>
      <c r="W80" s="466"/>
      <c r="X80" s="466"/>
      <c r="Y80" s="466"/>
      <c r="Z80" s="466"/>
      <c r="AA80" s="466"/>
      <c r="AB80" s="466"/>
      <c r="AC80" s="466"/>
      <c r="AD80" s="466"/>
      <c r="AE80" s="466"/>
      <c r="AF80" s="466"/>
      <c r="AG80" s="466"/>
      <c r="AH80" s="466"/>
      <c r="AI80" s="466"/>
      <c r="AJ80" s="466"/>
      <c r="AK80" s="466"/>
      <c r="AL80" s="466"/>
      <c r="AM80" s="467"/>
    </row>
    <row r="81" spans="1:39" ht="42.75">
      <c r="A81" s="470"/>
      <c r="B81" s="448" t="s">
        <v>137</v>
      </c>
      <c r="C81" s="447" t="s">
        <v>99</v>
      </c>
      <c r="D81" s="447" t="s">
        <v>138</v>
      </c>
      <c r="E81" s="447" t="s">
        <v>139</v>
      </c>
      <c r="F81" s="447" t="s">
        <v>140</v>
      </c>
      <c r="G81" s="447" t="s">
        <v>52</v>
      </c>
      <c r="H81" s="448" t="s">
        <v>141</v>
      </c>
      <c r="I81" s="466"/>
      <c r="J81" s="466"/>
      <c r="K81" s="466"/>
      <c r="L81" s="466"/>
      <c r="M81" s="466"/>
      <c r="N81" s="466"/>
      <c r="O81" s="466"/>
      <c r="P81" s="466"/>
      <c r="Q81" s="466"/>
      <c r="R81" s="466"/>
      <c r="S81" s="466"/>
      <c r="T81" s="466"/>
      <c r="U81" s="466"/>
      <c r="V81" s="466"/>
      <c r="W81" s="466"/>
      <c r="X81" s="466"/>
      <c r="Y81" s="466"/>
      <c r="Z81" s="466"/>
      <c r="AA81" s="466"/>
      <c r="AB81" s="466"/>
      <c r="AC81" s="466"/>
      <c r="AD81" s="466"/>
      <c r="AE81" s="466"/>
      <c r="AF81" s="466"/>
      <c r="AG81" s="466"/>
      <c r="AH81" s="466"/>
      <c r="AI81" s="466"/>
      <c r="AJ81" s="466"/>
      <c r="AK81" s="466"/>
      <c r="AL81" s="466"/>
      <c r="AM81" s="467"/>
    </row>
    <row r="82" spans="1:39" ht="38.25">
      <c r="A82" s="471"/>
      <c r="B82" s="449" t="s">
        <v>142</v>
      </c>
      <c r="C82" s="450">
        <v>0.64500000000000002</v>
      </c>
      <c r="D82" s="450">
        <v>6.4000000000000001E-2</v>
      </c>
      <c r="E82" s="450">
        <v>0.21299999999999999</v>
      </c>
      <c r="F82" s="450">
        <v>0.126</v>
      </c>
      <c r="G82" s="450">
        <v>0</v>
      </c>
      <c r="H82" s="450">
        <f>SUM(C82:G82)</f>
        <v>1.048</v>
      </c>
      <c r="I82" s="466"/>
      <c r="J82" s="466"/>
      <c r="K82" s="466"/>
      <c r="L82" s="466"/>
      <c r="M82" s="466"/>
      <c r="N82" s="466"/>
      <c r="O82" s="466"/>
      <c r="P82" s="466"/>
      <c r="Q82" s="466"/>
      <c r="R82" s="466"/>
      <c r="S82" s="466"/>
      <c r="T82" s="466"/>
      <c r="U82" s="466"/>
      <c r="V82" s="466"/>
      <c r="W82" s="466"/>
      <c r="X82" s="466"/>
      <c r="Y82" s="466"/>
      <c r="Z82" s="466"/>
      <c r="AA82" s="466"/>
      <c r="AB82" s="466"/>
      <c r="AC82" s="466"/>
      <c r="AD82" s="466"/>
      <c r="AE82" s="466"/>
      <c r="AF82" s="466"/>
      <c r="AG82" s="466"/>
      <c r="AH82" s="466"/>
      <c r="AI82" s="466"/>
      <c r="AJ82" s="466"/>
      <c r="AK82" s="466"/>
      <c r="AL82" s="466"/>
      <c r="AM82" s="467"/>
    </row>
    <row r="83" spans="1:39" ht="38.25">
      <c r="A83" s="472"/>
      <c r="B83" s="451" t="s">
        <v>143</v>
      </c>
      <c r="C83" s="452">
        <v>0.79700000000000004</v>
      </c>
      <c r="D83" s="452">
        <v>6.3E-2</v>
      </c>
      <c r="E83" s="452">
        <v>0.11799999999999999</v>
      </c>
      <c r="F83" s="452">
        <v>5.2999999999999999E-2</v>
      </c>
      <c r="G83" s="452">
        <v>0</v>
      </c>
      <c r="H83" s="450">
        <f>SUM(C83:G83)</f>
        <v>1.0310000000000001</v>
      </c>
      <c r="I83" s="466"/>
      <c r="J83" s="466"/>
      <c r="K83" s="466"/>
      <c r="L83" s="466"/>
      <c r="M83" s="466"/>
      <c r="N83" s="466"/>
      <c r="O83" s="466"/>
      <c r="P83" s="466"/>
      <c r="Q83" s="466"/>
      <c r="R83" s="466"/>
      <c r="S83" s="466"/>
      <c r="T83" s="466"/>
      <c r="U83" s="466"/>
      <c r="V83" s="466"/>
      <c r="W83" s="466"/>
      <c r="X83" s="466"/>
      <c r="Y83" s="466"/>
      <c r="Z83" s="466"/>
      <c r="AA83" s="466"/>
      <c r="AB83" s="466"/>
      <c r="AC83" s="466"/>
      <c r="AD83" s="466"/>
      <c r="AE83" s="466"/>
      <c r="AF83" s="466"/>
      <c r="AG83" s="466"/>
      <c r="AH83" s="466"/>
      <c r="AI83" s="466"/>
      <c r="AJ83" s="466"/>
      <c r="AK83" s="466"/>
      <c r="AL83" s="466"/>
      <c r="AM83" s="467"/>
    </row>
    <row r="84" spans="1:39" ht="25.5">
      <c r="A84" s="472"/>
      <c r="B84" s="453" t="s">
        <v>135</v>
      </c>
      <c r="C84" s="452">
        <v>0.90600000000000003</v>
      </c>
      <c r="D84" s="452">
        <v>6.5000000000000002E-2</v>
      </c>
      <c r="E84" s="452">
        <v>4.7E-2</v>
      </c>
      <c r="F84" s="452">
        <v>0</v>
      </c>
      <c r="G84" s="452">
        <v>0</v>
      </c>
      <c r="H84" s="450">
        <f>SUM(C84:G84)</f>
        <v>1.018</v>
      </c>
      <c r="I84" s="466"/>
      <c r="J84" s="466"/>
      <c r="K84" s="466"/>
      <c r="L84" s="466"/>
      <c r="M84" s="466"/>
      <c r="N84" s="466"/>
      <c r="O84" s="466"/>
      <c r="P84" s="466"/>
      <c r="Q84" s="466"/>
      <c r="R84" s="466"/>
      <c r="S84" s="466"/>
      <c r="T84" s="466"/>
      <c r="U84" s="466"/>
      <c r="V84" s="466"/>
      <c r="W84" s="466"/>
      <c r="X84" s="466"/>
      <c r="Y84" s="466"/>
      <c r="Z84" s="466"/>
      <c r="AA84" s="466"/>
      <c r="AB84" s="466"/>
      <c r="AC84" s="466"/>
      <c r="AD84" s="466"/>
      <c r="AE84" s="466"/>
      <c r="AF84" s="466"/>
      <c r="AG84" s="466"/>
      <c r="AH84" s="466"/>
      <c r="AI84" s="466"/>
      <c r="AJ84" s="466"/>
      <c r="AK84" s="466"/>
      <c r="AL84" s="466"/>
      <c r="AM84" s="467"/>
    </row>
    <row r="85" spans="1:39">
      <c r="A85" s="465"/>
      <c r="B85" s="466"/>
      <c r="C85" s="466"/>
      <c r="D85" s="466"/>
      <c r="E85" s="466"/>
      <c r="F85" s="466"/>
      <c r="G85" s="466"/>
      <c r="H85" s="466"/>
      <c r="I85" s="466"/>
      <c r="J85" s="466"/>
      <c r="K85" s="466"/>
      <c r="L85" s="466"/>
      <c r="M85" s="466"/>
      <c r="N85" s="466"/>
      <c r="O85" s="466"/>
      <c r="P85" s="466"/>
      <c r="Q85" s="466"/>
      <c r="R85" s="466"/>
      <c r="S85" s="466"/>
      <c r="T85" s="466"/>
      <c r="U85" s="466"/>
      <c r="V85" s="466"/>
      <c r="W85" s="466"/>
      <c r="X85" s="466"/>
      <c r="Y85" s="466"/>
      <c r="Z85" s="466"/>
      <c r="AA85" s="466"/>
      <c r="AB85" s="466"/>
      <c r="AC85" s="466"/>
      <c r="AD85" s="466"/>
      <c r="AE85" s="466"/>
      <c r="AF85" s="466"/>
      <c r="AG85" s="466"/>
      <c r="AH85" s="466"/>
      <c r="AI85" s="466"/>
      <c r="AJ85" s="466"/>
      <c r="AK85" s="466"/>
      <c r="AL85" s="466"/>
      <c r="AM85" s="467"/>
    </row>
    <row r="86" spans="1:39">
      <c r="A86" s="465"/>
      <c r="B86" s="466"/>
      <c r="C86" s="466"/>
      <c r="D86" s="466"/>
      <c r="E86" s="466"/>
      <c r="F86" s="466"/>
      <c r="G86" s="466"/>
      <c r="H86" s="466"/>
      <c r="I86" s="466"/>
      <c r="J86" s="466"/>
      <c r="K86" s="466"/>
      <c r="L86" s="466"/>
      <c r="M86" s="466"/>
      <c r="N86" s="466"/>
      <c r="O86" s="466"/>
      <c r="P86" s="466"/>
      <c r="Q86" s="466"/>
      <c r="R86" s="466"/>
      <c r="S86" s="466"/>
      <c r="T86" s="466"/>
      <c r="U86" s="466"/>
      <c r="V86" s="466"/>
      <c r="W86" s="466"/>
      <c r="X86" s="466"/>
      <c r="Y86" s="466"/>
      <c r="Z86" s="466"/>
      <c r="AA86" s="466"/>
      <c r="AB86" s="466"/>
      <c r="AC86" s="466"/>
      <c r="AD86" s="466"/>
      <c r="AE86" s="466"/>
      <c r="AF86" s="466"/>
      <c r="AG86" s="466"/>
      <c r="AH86" s="466"/>
      <c r="AI86" s="466"/>
      <c r="AJ86" s="466"/>
      <c r="AK86" s="466"/>
      <c r="AL86" s="466"/>
      <c r="AM86" s="467"/>
    </row>
    <row r="87" spans="1:39">
      <c r="A87" s="465"/>
      <c r="B87" s="466"/>
      <c r="C87" s="466"/>
      <c r="D87" s="466"/>
      <c r="E87" s="466"/>
      <c r="F87" s="466"/>
      <c r="G87" s="466"/>
      <c r="H87" s="466"/>
      <c r="I87" s="466"/>
      <c r="J87" s="466"/>
      <c r="K87" s="466"/>
      <c r="L87" s="466"/>
      <c r="M87" s="466"/>
      <c r="N87" s="466"/>
      <c r="O87" s="466"/>
      <c r="P87" s="466"/>
      <c r="Q87" s="466"/>
      <c r="R87" s="466"/>
      <c r="S87" s="466"/>
      <c r="T87" s="466"/>
      <c r="U87" s="466"/>
      <c r="V87" s="466"/>
      <c r="W87" s="466"/>
      <c r="X87" s="466"/>
      <c r="Y87" s="466"/>
      <c r="Z87" s="466"/>
      <c r="AA87" s="466"/>
      <c r="AB87" s="466"/>
      <c r="AC87" s="466"/>
      <c r="AD87" s="466"/>
      <c r="AE87" s="466"/>
      <c r="AF87" s="466"/>
      <c r="AG87" s="466"/>
      <c r="AH87" s="466"/>
      <c r="AI87" s="466"/>
      <c r="AJ87" s="466"/>
      <c r="AK87" s="466"/>
      <c r="AL87" s="466"/>
      <c r="AM87" s="467"/>
    </row>
    <row r="88" spans="1:39">
      <c r="A88" s="465"/>
      <c r="B88" s="466"/>
      <c r="C88" s="466"/>
      <c r="D88" s="466"/>
      <c r="E88" s="466"/>
      <c r="F88" s="466"/>
      <c r="G88" s="466"/>
      <c r="H88" s="466"/>
      <c r="I88" s="466"/>
      <c r="J88" s="466"/>
      <c r="K88" s="466"/>
      <c r="L88" s="466"/>
      <c r="M88" s="466"/>
      <c r="N88" s="466"/>
      <c r="O88" s="466"/>
      <c r="P88" s="466"/>
      <c r="Q88" s="466"/>
      <c r="R88" s="466"/>
      <c r="S88" s="466"/>
      <c r="T88" s="466"/>
      <c r="U88" s="466"/>
      <c r="V88" s="466"/>
      <c r="W88" s="466"/>
      <c r="X88" s="466"/>
      <c r="Y88" s="466"/>
      <c r="Z88" s="466"/>
      <c r="AA88" s="466"/>
      <c r="AB88" s="466"/>
      <c r="AC88" s="466"/>
      <c r="AD88" s="466"/>
      <c r="AE88" s="466"/>
      <c r="AF88" s="466"/>
      <c r="AG88" s="466"/>
      <c r="AH88" s="466"/>
      <c r="AI88" s="466"/>
      <c r="AJ88" s="466"/>
      <c r="AK88" s="466"/>
      <c r="AL88" s="466"/>
      <c r="AM88" s="467"/>
    </row>
    <row r="89" spans="1:39">
      <c r="A89" s="465"/>
      <c r="B89" s="466"/>
      <c r="C89" s="466"/>
      <c r="D89" s="466"/>
      <c r="E89" s="466"/>
      <c r="F89" s="466"/>
      <c r="G89" s="466"/>
      <c r="H89" s="466"/>
      <c r="I89" s="466"/>
      <c r="J89" s="466"/>
      <c r="K89" s="466"/>
      <c r="L89" s="466"/>
      <c r="M89" s="466"/>
      <c r="N89" s="466"/>
      <c r="O89" s="466"/>
      <c r="P89" s="466"/>
      <c r="Q89" s="466"/>
      <c r="R89" s="466"/>
      <c r="S89" s="466"/>
      <c r="T89" s="466"/>
      <c r="U89" s="466"/>
      <c r="V89" s="466"/>
      <c r="W89" s="466"/>
      <c r="X89" s="466"/>
      <c r="Y89" s="466"/>
      <c r="Z89" s="466"/>
      <c r="AA89" s="466"/>
      <c r="AB89" s="466"/>
      <c r="AC89" s="466"/>
      <c r="AD89" s="466"/>
      <c r="AE89" s="466"/>
      <c r="AF89" s="466"/>
      <c r="AG89" s="466"/>
      <c r="AH89" s="466"/>
      <c r="AI89" s="466"/>
      <c r="AJ89" s="466"/>
      <c r="AK89" s="466"/>
      <c r="AL89" s="466"/>
      <c r="AM89" s="467"/>
    </row>
    <row r="90" spans="1:39">
      <c r="A90" s="465"/>
      <c r="B90" s="466"/>
      <c r="C90" s="466"/>
      <c r="D90" s="466"/>
      <c r="E90" s="466"/>
      <c r="F90" s="466"/>
      <c r="G90" s="466"/>
      <c r="H90" s="466"/>
      <c r="I90" s="466"/>
      <c r="J90" s="466"/>
      <c r="K90" s="466"/>
      <c r="L90" s="466"/>
      <c r="M90" s="466"/>
      <c r="N90" s="466"/>
      <c r="O90" s="466"/>
      <c r="P90" s="466"/>
      <c r="Q90" s="466"/>
      <c r="R90" s="466"/>
      <c r="S90" s="466"/>
      <c r="T90" s="466"/>
      <c r="U90" s="466"/>
      <c r="V90" s="466"/>
      <c r="W90" s="466"/>
      <c r="X90" s="466"/>
      <c r="Y90" s="466"/>
      <c r="Z90" s="466"/>
      <c r="AA90" s="466"/>
      <c r="AB90" s="466"/>
      <c r="AC90" s="466"/>
      <c r="AD90" s="466"/>
      <c r="AE90" s="466"/>
      <c r="AF90" s="466"/>
      <c r="AG90" s="466"/>
      <c r="AH90" s="466"/>
      <c r="AI90" s="466"/>
      <c r="AJ90" s="466"/>
      <c r="AK90" s="466"/>
      <c r="AL90" s="466"/>
      <c r="AM90" s="467"/>
    </row>
    <row r="91" spans="1:39">
      <c r="A91" s="465"/>
      <c r="B91" s="466"/>
      <c r="C91" s="466"/>
      <c r="D91" s="466"/>
      <c r="E91" s="466"/>
      <c r="F91" s="466"/>
      <c r="G91" s="466"/>
      <c r="H91" s="466"/>
      <c r="I91" s="466"/>
      <c r="J91" s="466"/>
      <c r="K91" s="466"/>
      <c r="L91" s="466"/>
      <c r="M91" s="466"/>
      <c r="N91" s="466"/>
      <c r="O91" s="466"/>
      <c r="P91" s="466"/>
      <c r="Q91" s="466"/>
      <c r="R91" s="466"/>
      <c r="S91" s="466"/>
      <c r="T91" s="466"/>
      <c r="U91" s="466"/>
      <c r="V91" s="466"/>
      <c r="W91" s="466"/>
      <c r="X91" s="466"/>
      <c r="Y91" s="466"/>
      <c r="Z91" s="466"/>
      <c r="AA91" s="466"/>
      <c r="AB91" s="466"/>
      <c r="AC91" s="466"/>
      <c r="AD91" s="466"/>
      <c r="AE91" s="466"/>
      <c r="AF91" s="466"/>
      <c r="AG91" s="466"/>
      <c r="AH91" s="466"/>
      <c r="AI91" s="466"/>
      <c r="AJ91" s="466"/>
      <c r="AK91" s="466"/>
      <c r="AL91" s="466"/>
      <c r="AM91" s="467"/>
    </row>
    <row r="92" spans="1:39">
      <c r="A92" s="465"/>
      <c r="B92" s="466"/>
      <c r="C92" s="466"/>
      <c r="D92" s="466"/>
      <c r="E92" s="466"/>
      <c r="F92" s="466"/>
      <c r="G92" s="466"/>
      <c r="H92" s="466"/>
      <c r="I92" s="466"/>
      <c r="J92" s="466"/>
      <c r="K92" s="466"/>
      <c r="L92" s="466"/>
      <c r="M92" s="466"/>
      <c r="N92" s="466"/>
      <c r="O92" s="466"/>
      <c r="P92" s="466"/>
      <c r="Q92" s="466"/>
      <c r="R92" s="466"/>
      <c r="S92" s="466"/>
      <c r="T92" s="466"/>
      <c r="U92" s="466"/>
      <c r="V92" s="466"/>
      <c r="W92" s="466"/>
      <c r="X92" s="466"/>
      <c r="Y92" s="466"/>
      <c r="Z92" s="466"/>
      <c r="AA92" s="466"/>
      <c r="AB92" s="466"/>
      <c r="AC92" s="466"/>
      <c r="AD92" s="466"/>
      <c r="AE92" s="466"/>
      <c r="AF92" s="466"/>
      <c r="AG92" s="466"/>
      <c r="AH92" s="466"/>
      <c r="AI92" s="466"/>
      <c r="AJ92" s="466"/>
      <c r="AK92" s="466"/>
      <c r="AL92" s="466"/>
      <c r="AM92" s="467"/>
    </row>
    <row r="93" spans="1:39">
      <c r="A93" s="465"/>
      <c r="B93" s="466"/>
      <c r="C93" s="466"/>
      <c r="D93" s="466"/>
      <c r="E93" s="466"/>
      <c r="F93" s="466"/>
      <c r="G93" s="466"/>
      <c r="H93" s="466"/>
      <c r="I93" s="466"/>
      <c r="J93" s="466"/>
      <c r="K93" s="466"/>
      <c r="L93" s="466"/>
      <c r="M93" s="466"/>
      <c r="N93" s="466"/>
      <c r="O93" s="466"/>
      <c r="P93" s="466"/>
      <c r="Q93" s="466"/>
      <c r="R93" s="466"/>
      <c r="S93" s="466"/>
      <c r="T93" s="466"/>
      <c r="U93" s="466"/>
      <c r="V93" s="466"/>
      <c r="W93" s="466"/>
      <c r="X93" s="466"/>
      <c r="Y93" s="466"/>
      <c r="Z93" s="466"/>
      <c r="AA93" s="466"/>
      <c r="AB93" s="466"/>
      <c r="AC93" s="466"/>
      <c r="AD93" s="466"/>
      <c r="AE93" s="466"/>
      <c r="AF93" s="466"/>
      <c r="AG93" s="466"/>
      <c r="AH93" s="466"/>
      <c r="AI93" s="466"/>
      <c r="AJ93" s="466"/>
      <c r="AK93" s="466"/>
      <c r="AL93" s="466"/>
      <c r="AM93" s="467"/>
    </row>
    <row r="94" spans="1:39">
      <c r="A94" s="465"/>
      <c r="B94" s="466"/>
      <c r="C94" s="466"/>
      <c r="D94" s="466"/>
      <c r="E94" s="466"/>
      <c r="F94" s="466"/>
      <c r="G94" s="466"/>
      <c r="H94" s="466"/>
      <c r="I94" s="466"/>
      <c r="J94" s="466"/>
      <c r="K94" s="466"/>
      <c r="L94" s="466"/>
      <c r="M94" s="466"/>
      <c r="N94" s="466"/>
      <c r="O94" s="466"/>
      <c r="P94" s="466"/>
      <c r="Q94" s="466"/>
      <c r="R94" s="466"/>
      <c r="S94" s="466"/>
      <c r="T94" s="466"/>
      <c r="U94" s="466"/>
      <c r="V94" s="466"/>
      <c r="W94" s="466"/>
      <c r="X94" s="466"/>
      <c r="Y94" s="466"/>
      <c r="Z94" s="466"/>
      <c r="AA94" s="466"/>
      <c r="AB94" s="466"/>
      <c r="AC94" s="466"/>
      <c r="AD94" s="466"/>
      <c r="AE94" s="466"/>
      <c r="AF94" s="466"/>
      <c r="AG94" s="466"/>
      <c r="AH94" s="466"/>
      <c r="AI94" s="466"/>
      <c r="AJ94" s="466"/>
      <c r="AK94" s="466"/>
      <c r="AL94" s="466"/>
      <c r="AM94" s="467"/>
    </row>
    <row r="95" spans="1:39">
      <c r="A95" s="465"/>
      <c r="B95" s="466"/>
      <c r="C95" s="466"/>
      <c r="D95" s="466"/>
      <c r="E95" s="466"/>
      <c r="F95" s="466"/>
      <c r="G95" s="466"/>
      <c r="H95" s="466"/>
      <c r="I95" s="466"/>
      <c r="J95" s="466"/>
      <c r="K95" s="466"/>
      <c r="L95" s="466"/>
      <c r="M95" s="466"/>
      <c r="N95" s="466"/>
      <c r="O95" s="466"/>
      <c r="P95" s="466"/>
      <c r="Q95" s="466"/>
      <c r="R95" s="466"/>
      <c r="S95" s="466"/>
      <c r="T95" s="466"/>
      <c r="U95" s="466"/>
      <c r="V95" s="466"/>
      <c r="W95" s="466"/>
      <c r="X95" s="466"/>
      <c r="Y95" s="466"/>
      <c r="Z95" s="466"/>
      <c r="AA95" s="466"/>
      <c r="AB95" s="466"/>
      <c r="AC95" s="466"/>
      <c r="AD95" s="466"/>
      <c r="AE95" s="466"/>
      <c r="AF95" s="466"/>
      <c r="AG95" s="466"/>
      <c r="AH95" s="466"/>
      <c r="AI95" s="466"/>
      <c r="AJ95" s="466"/>
      <c r="AK95" s="466"/>
      <c r="AL95" s="466"/>
      <c r="AM95" s="467"/>
    </row>
    <row r="96" spans="1:39">
      <c r="A96" s="465"/>
      <c r="B96" s="466"/>
      <c r="C96" s="466"/>
      <c r="D96" s="466"/>
      <c r="E96" s="466"/>
      <c r="F96" s="466"/>
      <c r="G96" s="466"/>
      <c r="H96" s="466"/>
      <c r="I96" s="466"/>
      <c r="J96" s="466"/>
      <c r="K96" s="466"/>
      <c r="L96" s="466"/>
      <c r="M96" s="466"/>
      <c r="N96" s="466"/>
      <c r="O96" s="466"/>
      <c r="P96" s="466"/>
      <c r="Q96" s="466"/>
      <c r="R96" s="466"/>
      <c r="S96" s="466"/>
      <c r="T96" s="466"/>
      <c r="U96" s="466"/>
      <c r="V96" s="466"/>
      <c r="W96" s="466"/>
      <c r="X96" s="466"/>
      <c r="Y96" s="466"/>
      <c r="Z96" s="466"/>
      <c r="AA96" s="466"/>
      <c r="AB96" s="466"/>
      <c r="AC96" s="466"/>
      <c r="AD96" s="466"/>
      <c r="AE96" s="466"/>
      <c r="AF96" s="466"/>
      <c r="AG96" s="466"/>
      <c r="AH96" s="466"/>
      <c r="AI96" s="466"/>
      <c r="AJ96" s="466"/>
      <c r="AK96" s="466"/>
      <c r="AL96" s="466"/>
      <c r="AM96" s="467"/>
    </row>
    <row r="97" spans="1:39">
      <c r="A97" s="465"/>
      <c r="B97" s="466"/>
      <c r="C97" s="466"/>
      <c r="D97" s="466"/>
      <c r="E97" s="466"/>
      <c r="F97" s="466"/>
      <c r="G97" s="466"/>
      <c r="H97" s="466"/>
      <c r="I97" s="466"/>
      <c r="J97" s="466"/>
      <c r="K97" s="466"/>
      <c r="L97" s="466"/>
      <c r="M97" s="466"/>
      <c r="N97" s="466"/>
      <c r="O97" s="466"/>
      <c r="P97" s="466"/>
      <c r="Q97" s="466"/>
      <c r="R97" s="466"/>
      <c r="S97" s="466"/>
      <c r="T97" s="466"/>
      <c r="U97" s="466"/>
      <c r="V97" s="466"/>
      <c r="W97" s="466"/>
      <c r="X97" s="466"/>
      <c r="Y97" s="466"/>
      <c r="Z97" s="466"/>
      <c r="AA97" s="466"/>
      <c r="AB97" s="466"/>
      <c r="AC97" s="466"/>
      <c r="AD97" s="466"/>
      <c r="AE97" s="466"/>
      <c r="AF97" s="466"/>
      <c r="AG97" s="466"/>
      <c r="AH97" s="466"/>
      <c r="AI97" s="466"/>
      <c r="AJ97" s="466"/>
      <c r="AK97" s="466"/>
      <c r="AL97" s="466"/>
      <c r="AM97" s="467"/>
    </row>
    <row r="98" spans="1:39">
      <c r="A98" s="465"/>
      <c r="B98" s="466"/>
      <c r="C98" s="466"/>
      <c r="D98" s="466"/>
      <c r="E98" s="466"/>
      <c r="F98" s="466"/>
      <c r="G98" s="466"/>
      <c r="H98" s="466"/>
      <c r="I98" s="466"/>
      <c r="J98" s="466"/>
      <c r="K98" s="466"/>
      <c r="L98" s="466"/>
      <c r="M98" s="466"/>
      <c r="N98" s="466"/>
      <c r="O98" s="466"/>
      <c r="P98" s="466"/>
      <c r="Q98" s="466"/>
      <c r="R98" s="466"/>
      <c r="S98" s="466"/>
      <c r="T98" s="466"/>
      <c r="U98" s="466"/>
      <c r="V98" s="466"/>
      <c r="W98" s="466"/>
      <c r="X98" s="466"/>
      <c r="Y98" s="466"/>
      <c r="Z98" s="466"/>
      <c r="AA98" s="466"/>
      <c r="AB98" s="466"/>
      <c r="AC98" s="466"/>
      <c r="AD98" s="466"/>
      <c r="AE98" s="466"/>
      <c r="AF98" s="466"/>
      <c r="AG98" s="466"/>
      <c r="AH98" s="466"/>
      <c r="AI98" s="466"/>
      <c r="AJ98" s="466"/>
      <c r="AK98" s="466"/>
      <c r="AL98" s="466"/>
      <c r="AM98" s="467"/>
    </row>
    <row r="99" spans="1:39">
      <c r="A99" s="465"/>
      <c r="B99" s="466"/>
      <c r="C99" s="466"/>
      <c r="D99" s="466"/>
      <c r="E99" s="466"/>
      <c r="F99" s="466"/>
      <c r="G99" s="466"/>
      <c r="H99" s="466"/>
      <c r="I99" s="466"/>
      <c r="J99" s="466"/>
      <c r="K99" s="466"/>
      <c r="L99" s="466"/>
      <c r="M99" s="466"/>
      <c r="N99" s="466"/>
      <c r="O99" s="466"/>
      <c r="P99" s="466"/>
      <c r="Q99" s="466"/>
      <c r="R99" s="466"/>
      <c r="S99" s="466"/>
      <c r="T99" s="466"/>
      <c r="U99" s="466"/>
      <c r="V99" s="466"/>
      <c r="W99" s="466"/>
      <c r="X99" s="466"/>
      <c r="Y99" s="466"/>
      <c r="Z99" s="466"/>
      <c r="AA99" s="466"/>
      <c r="AB99" s="466"/>
      <c r="AC99" s="466"/>
      <c r="AD99" s="466"/>
      <c r="AE99" s="466"/>
      <c r="AF99" s="466"/>
      <c r="AG99" s="466"/>
      <c r="AH99" s="466"/>
      <c r="AI99" s="466"/>
      <c r="AJ99" s="466"/>
      <c r="AK99" s="466"/>
      <c r="AL99" s="466"/>
      <c r="AM99" s="467"/>
    </row>
    <row r="100" spans="1:39">
      <c r="A100" s="465"/>
      <c r="B100" s="466"/>
      <c r="C100" s="466"/>
      <c r="D100" s="466"/>
      <c r="E100" s="466"/>
      <c r="F100" s="466"/>
      <c r="G100" s="466"/>
      <c r="H100" s="466"/>
      <c r="I100" s="466"/>
      <c r="J100" s="466"/>
      <c r="K100" s="466"/>
      <c r="L100" s="466"/>
      <c r="M100" s="466"/>
      <c r="N100" s="466"/>
      <c r="O100" s="466"/>
      <c r="P100" s="466"/>
      <c r="Q100" s="466"/>
      <c r="R100" s="466"/>
      <c r="S100" s="466"/>
      <c r="T100" s="466"/>
      <c r="U100" s="466"/>
      <c r="V100" s="466"/>
      <c r="W100" s="466"/>
      <c r="X100" s="466"/>
      <c r="Y100" s="466"/>
      <c r="Z100" s="466"/>
      <c r="AA100" s="466"/>
      <c r="AB100" s="466"/>
      <c r="AC100" s="466"/>
      <c r="AD100" s="466"/>
      <c r="AE100" s="466"/>
      <c r="AF100" s="466"/>
      <c r="AG100" s="466"/>
      <c r="AH100" s="466"/>
      <c r="AI100" s="466"/>
      <c r="AJ100" s="466"/>
      <c r="AK100" s="466"/>
      <c r="AL100" s="466"/>
      <c r="AM100" s="467"/>
    </row>
    <row r="101" spans="1:39">
      <c r="A101" s="465"/>
      <c r="B101" s="466"/>
      <c r="C101" s="466"/>
      <c r="D101" s="466"/>
      <c r="E101" s="466"/>
      <c r="F101" s="466"/>
      <c r="G101" s="466"/>
      <c r="H101" s="466"/>
      <c r="I101" s="466"/>
      <c r="J101" s="466"/>
      <c r="K101" s="466"/>
      <c r="L101" s="466"/>
      <c r="M101" s="466"/>
      <c r="N101" s="466"/>
      <c r="O101" s="466"/>
      <c r="P101" s="466"/>
      <c r="Q101" s="466"/>
      <c r="R101" s="466"/>
      <c r="S101" s="466"/>
      <c r="T101" s="466"/>
      <c r="U101" s="466"/>
      <c r="V101" s="466"/>
      <c r="W101" s="466"/>
      <c r="X101" s="466"/>
      <c r="Y101" s="466"/>
      <c r="Z101" s="466"/>
      <c r="AA101" s="466"/>
      <c r="AB101" s="466"/>
      <c r="AC101" s="466"/>
      <c r="AD101" s="466"/>
      <c r="AE101" s="466"/>
      <c r="AF101" s="466"/>
      <c r="AG101" s="466"/>
      <c r="AH101" s="466"/>
      <c r="AI101" s="466"/>
      <c r="AJ101" s="466"/>
      <c r="AK101" s="466"/>
      <c r="AL101" s="466"/>
      <c r="AM101" s="467"/>
    </row>
    <row r="102" spans="1:39">
      <c r="A102" s="465"/>
      <c r="B102" s="466"/>
      <c r="C102" s="466"/>
      <c r="D102" s="466"/>
      <c r="E102" s="466"/>
      <c r="F102" s="466"/>
      <c r="G102" s="466"/>
      <c r="H102" s="466"/>
      <c r="I102" s="466"/>
      <c r="J102" s="466"/>
      <c r="K102" s="466"/>
      <c r="L102" s="466"/>
      <c r="M102" s="466"/>
      <c r="N102" s="466"/>
      <c r="O102" s="466"/>
      <c r="P102" s="466"/>
      <c r="Q102" s="466"/>
      <c r="R102" s="466"/>
      <c r="S102" s="466"/>
      <c r="T102" s="466"/>
      <c r="U102" s="466"/>
      <c r="V102" s="466"/>
      <c r="W102" s="466"/>
      <c r="X102" s="466"/>
      <c r="Y102" s="466"/>
      <c r="Z102" s="466"/>
      <c r="AA102" s="466"/>
      <c r="AB102" s="466"/>
      <c r="AC102" s="466"/>
      <c r="AD102" s="466"/>
      <c r="AE102" s="466"/>
      <c r="AF102" s="466"/>
      <c r="AG102" s="466"/>
      <c r="AH102" s="466"/>
      <c r="AI102" s="466"/>
      <c r="AJ102" s="466"/>
      <c r="AK102" s="466"/>
      <c r="AL102" s="466"/>
      <c r="AM102" s="467"/>
    </row>
    <row r="103" spans="1:39">
      <c r="A103" s="465"/>
      <c r="B103" s="466"/>
      <c r="C103" s="466"/>
      <c r="D103" s="466"/>
      <c r="E103" s="466"/>
      <c r="F103" s="466"/>
      <c r="G103" s="466"/>
      <c r="H103" s="466"/>
      <c r="I103" s="466"/>
      <c r="J103" s="466"/>
      <c r="K103" s="466"/>
      <c r="L103" s="466"/>
      <c r="M103" s="466"/>
      <c r="N103" s="466"/>
      <c r="O103" s="466"/>
      <c r="P103" s="466"/>
      <c r="Q103" s="466"/>
      <c r="R103" s="466"/>
      <c r="S103" s="466"/>
      <c r="T103" s="466"/>
      <c r="U103" s="466"/>
      <c r="V103" s="466"/>
      <c r="W103" s="466"/>
      <c r="X103" s="466"/>
      <c r="Y103" s="466"/>
      <c r="Z103" s="466"/>
      <c r="AA103" s="466"/>
      <c r="AB103" s="466"/>
      <c r="AC103" s="466"/>
      <c r="AD103" s="466"/>
      <c r="AE103" s="466"/>
      <c r="AF103" s="466"/>
      <c r="AG103" s="466"/>
      <c r="AH103" s="466"/>
      <c r="AI103" s="466"/>
      <c r="AJ103" s="466"/>
      <c r="AK103" s="466"/>
      <c r="AL103" s="466"/>
      <c r="AM103" s="467"/>
    </row>
    <row r="104" spans="1:39">
      <c r="A104" s="465"/>
      <c r="B104" s="466"/>
      <c r="C104" s="466"/>
      <c r="D104" s="466"/>
      <c r="E104" s="466"/>
      <c r="F104" s="466"/>
      <c r="G104" s="466"/>
      <c r="H104" s="466"/>
      <c r="I104" s="466"/>
      <c r="J104" s="466"/>
      <c r="K104" s="466"/>
      <c r="L104" s="466"/>
      <c r="M104" s="466"/>
      <c r="N104" s="466"/>
      <c r="O104" s="466"/>
      <c r="P104" s="466"/>
      <c r="Q104" s="466"/>
      <c r="R104" s="466"/>
      <c r="S104" s="466"/>
      <c r="T104" s="466"/>
      <c r="U104" s="466"/>
      <c r="V104" s="466"/>
      <c r="W104" s="466"/>
      <c r="X104" s="466"/>
      <c r="Y104" s="466"/>
      <c r="Z104" s="466"/>
      <c r="AA104" s="466"/>
      <c r="AB104" s="466"/>
      <c r="AC104" s="466"/>
      <c r="AD104" s="466"/>
      <c r="AE104" s="466"/>
      <c r="AF104" s="466"/>
      <c r="AG104" s="466"/>
      <c r="AH104" s="466"/>
      <c r="AI104" s="466"/>
      <c r="AJ104" s="466"/>
      <c r="AK104" s="466"/>
      <c r="AL104" s="466"/>
      <c r="AM104" s="467"/>
    </row>
    <row r="105" spans="1:39">
      <c r="A105" s="465"/>
      <c r="B105" s="466"/>
      <c r="C105" s="466"/>
      <c r="D105" s="466"/>
      <c r="E105" s="466"/>
      <c r="F105" s="466"/>
      <c r="G105" s="466"/>
      <c r="H105" s="466"/>
      <c r="I105" s="466"/>
      <c r="J105" s="466"/>
      <c r="K105" s="466"/>
      <c r="L105" s="466"/>
      <c r="M105" s="466"/>
      <c r="N105" s="466"/>
      <c r="O105" s="466"/>
      <c r="P105" s="466"/>
      <c r="Q105" s="466"/>
      <c r="R105" s="466"/>
      <c r="S105" s="466"/>
      <c r="T105" s="466"/>
      <c r="U105" s="466"/>
      <c r="V105" s="466"/>
      <c r="W105" s="466"/>
      <c r="X105" s="466"/>
      <c r="Y105" s="466"/>
      <c r="Z105" s="466"/>
      <c r="AA105" s="466"/>
      <c r="AB105" s="466"/>
      <c r="AC105" s="466"/>
      <c r="AD105" s="466"/>
      <c r="AE105" s="466"/>
      <c r="AF105" s="466"/>
      <c r="AG105" s="466"/>
      <c r="AH105" s="466"/>
      <c r="AI105" s="466"/>
      <c r="AJ105" s="466"/>
      <c r="AK105" s="466"/>
      <c r="AL105" s="466"/>
      <c r="AM105" s="467"/>
    </row>
    <row r="106" spans="1:39">
      <c r="A106" s="465"/>
      <c r="B106" s="466"/>
      <c r="C106" s="466"/>
      <c r="D106" s="466"/>
      <c r="E106" s="466"/>
      <c r="F106" s="466"/>
      <c r="G106" s="466"/>
      <c r="H106" s="466"/>
      <c r="I106" s="466"/>
      <c r="J106" s="466"/>
      <c r="K106" s="466"/>
      <c r="L106" s="466"/>
      <c r="M106" s="466"/>
      <c r="N106" s="466"/>
      <c r="O106" s="466"/>
      <c r="P106" s="466"/>
      <c r="Q106" s="466"/>
      <c r="R106" s="466"/>
      <c r="S106" s="466"/>
      <c r="T106" s="466"/>
      <c r="U106" s="466"/>
      <c r="V106" s="466"/>
      <c r="W106" s="466"/>
      <c r="X106" s="466"/>
      <c r="Y106" s="466"/>
      <c r="Z106" s="466"/>
      <c r="AA106" s="466"/>
      <c r="AB106" s="466"/>
      <c r="AC106" s="466"/>
      <c r="AD106" s="466"/>
      <c r="AE106" s="466"/>
      <c r="AF106" s="466"/>
      <c r="AG106" s="466"/>
      <c r="AH106" s="466"/>
      <c r="AI106" s="466"/>
      <c r="AJ106" s="466"/>
      <c r="AK106" s="466"/>
      <c r="AL106" s="466"/>
      <c r="AM106" s="467"/>
    </row>
    <row r="107" spans="1:39">
      <c r="A107" s="465"/>
      <c r="B107" s="466"/>
      <c r="C107" s="466"/>
      <c r="D107" s="466"/>
      <c r="E107" s="466"/>
      <c r="F107" s="466"/>
      <c r="G107" s="466"/>
      <c r="H107" s="466"/>
      <c r="I107" s="466"/>
      <c r="J107" s="466"/>
      <c r="K107" s="466"/>
      <c r="L107" s="466"/>
      <c r="M107" s="466"/>
      <c r="N107" s="466"/>
      <c r="O107" s="466"/>
      <c r="P107" s="466"/>
      <c r="Q107" s="466"/>
      <c r="R107" s="466"/>
      <c r="S107" s="466"/>
      <c r="T107" s="466"/>
      <c r="U107" s="466"/>
      <c r="V107" s="466"/>
      <c r="W107" s="466"/>
      <c r="X107" s="466"/>
      <c r="Y107" s="466"/>
      <c r="Z107" s="466"/>
      <c r="AA107" s="466"/>
      <c r="AB107" s="466"/>
      <c r="AC107" s="466"/>
      <c r="AD107" s="466"/>
      <c r="AE107" s="466"/>
      <c r="AF107" s="466"/>
      <c r="AG107" s="466"/>
      <c r="AH107" s="466"/>
      <c r="AI107" s="466"/>
      <c r="AJ107" s="466"/>
      <c r="AK107" s="466"/>
      <c r="AL107" s="466"/>
      <c r="AM107" s="467"/>
    </row>
    <row r="108" spans="1:39">
      <c r="A108" s="465"/>
      <c r="B108" s="466"/>
      <c r="C108" s="466"/>
      <c r="D108" s="466"/>
      <c r="E108" s="466"/>
      <c r="F108" s="466"/>
      <c r="G108" s="466"/>
      <c r="H108" s="466"/>
      <c r="I108" s="466"/>
      <c r="J108" s="466"/>
      <c r="K108" s="466"/>
      <c r="L108" s="466"/>
      <c r="M108" s="466"/>
      <c r="N108" s="466"/>
      <c r="O108" s="466"/>
      <c r="P108" s="466"/>
      <c r="Q108" s="466"/>
      <c r="R108" s="466"/>
      <c r="S108" s="466"/>
      <c r="T108" s="466"/>
      <c r="U108" s="466"/>
      <c r="V108" s="466"/>
      <c r="W108" s="466"/>
      <c r="X108" s="466"/>
      <c r="Y108" s="466"/>
      <c r="Z108" s="466"/>
      <c r="AA108" s="466"/>
      <c r="AB108" s="466"/>
      <c r="AC108" s="466"/>
      <c r="AD108" s="466"/>
      <c r="AE108" s="466"/>
      <c r="AF108" s="466"/>
      <c r="AG108" s="466"/>
      <c r="AH108" s="466"/>
      <c r="AI108" s="466"/>
      <c r="AJ108" s="466"/>
      <c r="AK108" s="466"/>
      <c r="AL108" s="466"/>
      <c r="AM108" s="467"/>
    </row>
    <row r="109" spans="1:39" ht="15.75" thickBot="1">
      <c r="A109" s="473"/>
      <c r="B109" s="474"/>
      <c r="C109" s="474"/>
      <c r="D109" s="474"/>
      <c r="E109" s="474"/>
      <c r="F109" s="474"/>
      <c r="G109" s="474"/>
      <c r="H109" s="474"/>
      <c r="I109" s="474"/>
      <c r="J109" s="474"/>
      <c r="K109" s="474"/>
      <c r="L109" s="474"/>
      <c r="M109" s="474"/>
      <c r="N109" s="474"/>
      <c r="O109" s="474"/>
      <c r="P109" s="474"/>
      <c r="Q109" s="474"/>
      <c r="R109" s="474"/>
      <c r="S109" s="474"/>
      <c r="T109" s="474"/>
      <c r="U109" s="474"/>
      <c r="V109" s="474"/>
      <c r="W109" s="474"/>
      <c r="X109" s="474"/>
      <c r="Y109" s="474"/>
      <c r="Z109" s="474"/>
      <c r="AA109" s="474"/>
      <c r="AB109" s="474"/>
      <c r="AC109" s="474"/>
      <c r="AD109" s="474"/>
      <c r="AE109" s="474"/>
      <c r="AF109" s="474"/>
      <c r="AG109" s="474"/>
      <c r="AH109" s="474"/>
      <c r="AI109" s="474"/>
      <c r="AJ109" s="474"/>
      <c r="AK109" s="474"/>
      <c r="AL109" s="474"/>
      <c r="AM109" s="475"/>
    </row>
    <row r="113" spans="3:32" ht="15.75" thickBot="1"/>
    <row r="114" spans="3:32" ht="63" customHeight="1" thickBot="1">
      <c r="C114" s="504" t="s">
        <v>95</v>
      </c>
      <c r="D114" s="1442" t="s">
        <v>86</v>
      </c>
      <c r="E114" s="1442"/>
      <c r="F114" s="1442"/>
      <c r="G114" s="1442"/>
      <c r="H114" s="1442"/>
      <c r="I114" s="1442"/>
      <c r="J114" s="1442"/>
      <c r="K114" s="1442"/>
      <c r="L114" s="1437" t="s">
        <v>85</v>
      </c>
      <c r="M114" s="1438"/>
      <c r="N114" s="1438"/>
      <c r="O114" s="1438"/>
      <c r="P114" s="1438"/>
      <c r="Q114" s="1438"/>
      <c r="R114" s="1438"/>
      <c r="S114" s="1439"/>
      <c r="T114" s="1437" t="s">
        <v>50</v>
      </c>
      <c r="U114" s="1438"/>
      <c r="V114" s="1438"/>
      <c r="W114" s="1438"/>
      <c r="X114" s="1438"/>
      <c r="Y114" s="1438"/>
      <c r="Z114" s="1438"/>
      <c r="AA114" s="1439"/>
    </row>
    <row r="115" spans="3:32" ht="15.75">
      <c r="C115" s="505" t="s">
        <v>152</v>
      </c>
      <c r="D115" s="1440" t="s">
        <v>99</v>
      </c>
      <c r="E115" s="1434"/>
      <c r="F115" s="1433" t="s">
        <v>42</v>
      </c>
      <c r="G115" s="1434"/>
      <c r="H115" s="1435" t="s">
        <v>59</v>
      </c>
      <c r="I115" s="1436"/>
      <c r="J115" s="1435" t="s">
        <v>98</v>
      </c>
      <c r="K115" s="1441"/>
      <c r="L115" s="1433" t="s">
        <v>99</v>
      </c>
      <c r="M115" s="1434"/>
      <c r="N115" s="1433" t="s">
        <v>42</v>
      </c>
      <c r="O115" s="1434"/>
      <c r="P115" s="1435" t="s">
        <v>59</v>
      </c>
      <c r="Q115" s="1436"/>
      <c r="R115" s="1435" t="s">
        <v>98</v>
      </c>
      <c r="S115" s="1436"/>
      <c r="T115" s="1433" t="s">
        <v>99</v>
      </c>
      <c r="U115" s="1434"/>
      <c r="V115" s="1433" t="s">
        <v>42</v>
      </c>
      <c r="W115" s="1434"/>
      <c r="X115" s="1435" t="s">
        <v>59</v>
      </c>
      <c r="Y115" s="1436"/>
      <c r="Z115" s="1435" t="s">
        <v>98</v>
      </c>
      <c r="AA115" s="1436"/>
    </row>
    <row r="116" spans="3:32" ht="16.5" thickBot="1">
      <c r="C116" s="506" t="s">
        <v>150</v>
      </c>
      <c r="D116" s="507" t="s">
        <v>151</v>
      </c>
      <c r="E116" s="508" t="s">
        <v>133</v>
      </c>
      <c r="F116" s="509" t="s">
        <v>151</v>
      </c>
      <c r="G116" s="508" t="s">
        <v>133</v>
      </c>
      <c r="H116" s="509" t="s">
        <v>151</v>
      </c>
      <c r="I116" s="508" t="s">
        <v>133</v>
      </c>
      <c r="J116" s="509" t="s">
        <v>151</v>
      </c>
      <c r="K116" s="507" t="s">
        <v>133</v>
      </c>
      <c r="L116" s="509" t="s">
        <v>151</v>
      </c>
      <c r="M116" s="508" t="s">
        <v>133</v>
      </c>
      <c r="N116" s="509" t="s">
        <v>151</v>
      </c>
      <c r="O116" s="508" t="s">
        <v>133</v>
      </c>
      <c r="P116" s="509" t="s">
        <v>151</v>
      </c>
      <c r="Q116" s="508" t="s">
        <v>133</v>
      </c>
      <c r="R116" s="509" t="s">
        <v>151</v>
      </c>
      <c r="S116" s="508" t="s">
        <v>133</v>
      </c>
      <c r="T116" s="509" t="s">
        <v>151</v>
      </c>
      <c r="U116" s="508" t="s">
        <v>133</v>
      </c>
      <c r="V116" s="509" t="s">
        <v>151</v>
      </c>
      <c r="W116" s="508" t="s">
        <v>133</v>
      </c>
      <c r="X116" s="509" t="s">
        <v>151</v>
      </c>
      <c r="Y116" s="508" t="s">
        <v>133</v>
      </c>
      <c r="Z116" s="509" t="s">
        <v>151</v>
      </c>
      <c r="AA116" s="508" t="s">
        <v>133</v>
      </c>
      <c r="AB116" s="485"/>
      <c r="AC116" s="485"/>
      <c r="AD116" s="485"/>
      <c r="AE116" s="485"/>
      <c r="AF116" s="485"/>
    </row>
    <row r="117" spans="3:32" ht="15.75" thickBot="1">
      <c r="C117" s="510">
        <v>45658</v>
      </c>
      <c r="D117" s="495">
        <f>$C$83</f>
        <v>0.79700000000000004</v>
      </c>
      <c r="E117" s="488">
        <f>'01'!$H$140</f>
        <v>0</v>
      </c>
      <c r="F117" s="489">
        <f>$D$83</f>
        <v>6.3E-2</v>
      </c>
      <c r="G117" s="488">
        <f>'01'!$C$140</f>
        <v>0</v>
      </c>
      <c r="H117" s="489">
        <f>$E$83</f>
        <v>0.11799999999999999</v>
      </c>
      <c r="I117" s="488">
        <f>'01'!$F$140</f>
        <v>0</v>
      </c>
      <c r="J117" s="489">
        <f>$F$83</f>
        <v>5.2999999999999999E-2</v>
      </c>
      <c r="K117" s="498">
        <f>'01'!$G$140</f>
        <v>0</v>
      </c>
      <c r="L117" s="503">
        <f>$C$82</f>
        <v>0.64500000000000002</v>
      </c>
      <c r="M117" s="488">
        <f>'01'!$H$142</f>
        <v>0</v>
      </c>
      <c r="N117" s="489">
        <f>$D$82</f>
        <v>6.4000000000000001E-2</v>
      </c>
      <c r="O117" s="488">
        <f>'01'!$C$142</f>
        <v>0</v>
      </c>
      <c r="P117" s="489">
        <f>$E$82</f>
        <v>0.21299999999999999</v>
      </c>
      <c r="Q117" s="488">
        <f>'01'!$F$142</f>
        <v>0</v>
      </c>
      <c r="R117" s="489">
        <f>$F$82</f>
        <v>0.126</v>
      </c>
      <c r="S117" s="490">
        <f>'01'!$G$142</f>
        <v>0</v>
      </c>
      <c r="T117" s="503">
        <f>$C$84</f>
        <v>0.90600000000000003</v>
      </c>
      <c r="U117" s="488">
        <f>'01'!$H$144</f>
        <v>0</v>
      </c>
      <c r="V117" s="489">
        <f>$D$84</f>
        <v>6.5000000000000002E-2</v>
      </c>
      <c r="W117" s="488">
        <f>'01'!$C$144</f>
        <v>0</v>
      </c>
      <c r="X117" s="489">
        <f>$E$84</f>
        <v>4.7E-2</v>
      </c>
      <c r="Y117" s="488">
        <f>'01'!$F$144</f>
        <v>0</v>
      </c>
      <c r="Z117" s="489">
        <f>$F$84</f>
        <v>0</v>
      </c>
      <c r="AA117" s="490">
        <f>'01'!$G$144</f>
        <v>0</v>
      </c>
    </row>
    <row r="118" spans="3:32" ht="15.75" thickBot="1">
      <c r="C118" s="510">
        <v>45659</v>
      </c>
      <c r="D118" s="496">
        <f t="shared" ref="D118:D147" si="6">$C$83</f>
        <v>0.79700000000000004</v>
      </c>
      <c r="E118" s="486">
        <f>'02'!$H$140</f>
        <v>0</v>
      </c>
      <c r="F118" s="487">
        <f t="shared" ref="F118:F147" si="7">$D$83</f>
        <v>6.3E-2</v>
      </c>
      <c r="G118" s="486">
        <f>'02'!$C$140</f>
        <v>0</v>
      </c>
      <c r="H118" s="487">
        <f t="shared" ref="H118:H147" si="8">$E$83</f>
        <v>0.11799999999999999</v>
      </c>
      <c r="I118" s="486">
        <f>'02'!$F$140</f>
        <v>0</v>
      </c>
      <c r="J118" s="487">
        <f t="shared" ref="J118:J147" si="9">$F$83</f>
        <v>5.2999999999999999E-2</v>
      </c>
      <c r="K118" s="499">
        <f>'02'!$G$140</f>
        <v>0</v>
      </c>
      <c r="L118" s="501">
        <f t="shared" ref="L118:L147" si="10">$C$82</f>
        <v>0.64500000000000002</v>
      </c>
      <c r="M118" s="486">
        <f>'02'!$H$142</f>
        <v>0</v>
      </c>
      <c r="N118" s="487">
        <f t="shared" ref="N118:N147" si="11">$D$82</f>
        <v>6.4000000000000001E-2</v>
      </c>
      <c r="O118" s="486">
        <f>'02'!$C$142</f>
        <v>0</v>
      </c>
      <c r="P118" s="487">
        <f t="shared" ref="P118:P147" si="12">$E$82</f>
        <v>0.21299999999999999</v>
      </c>
      <c r="Q118" s="486">
        <f>'02'!$F$142</f>
        <v>0</v>
      </c>
      <c r="R118" s="487">
        <f t="shared" ref="R118:R147" si="13">$F$82</f>
        <v>0.126</v>
      </c>
      <c r="S118" s="491">
        <f>'02'!$G$142</f>
        <v>0</v>
      </c>
      <c r="T118" s="501">
        <f t="shared" ref="T118:T147" si="14">$C$84</f>
        <v>0.90600000000000003</v>
      </c>
      <c r="U118" s="486">
        <f>'02'!$H$144</f>
        <v>0</v>
      </c>
      <c r="V118" s="487">
        <f t="shared" ref="V118:V147" si="15">$D$84</f>
        <v>6.5000000000000002E-2</v>
      </c>
      <c r="W118" s="486">
        <f>'02'!$C$144</f>
        <v>0</v>
      </c>
      <c r="X118" s="487">
        <f t="shared" ref="X118:X147" si="16">$E$84</f>
        <v>4.7E-2</v>
      </c>
      <c r="Y118" s="486">
        <f>'02'!$F$144</f>
        <v>0</v>
      </c>
      <c r="Z118" s="487">
        <f t="shared" ref="Z118:Z147" si="17">$F$84</f>
        <v>0</v>
      </c>
      <c r="AA118" s="491">
        <f>'02'!$G$144</f>
        <v>0</v>
      </c>
    </row>
    <row r="119" spans="3:32" ht="15.75" hidden="1" thickBot="1">
      <c r="C119" s="510">
        <v>45660</v>
      </c>
      <c r="D119" s="496">
        <f t="shared" si="6"/>
        <v>0.79700000000000004</v>
      </c>
      <c r="E119" s="486">
        <f>'03'!$H$140</f>
        <v>0</v>
      </c>
      <c r="F119" s="487">
        <f t="shared" si="7"/>
        <v>6.3E-2</v>
      </c>
      <c r="G119" s="486">
        <f>'03'!$C$140</f>
        <v>0</v>
      </c>
      <c r="H119" s="487">
        <f t="shared" si="8"/>
        <v>0.11799999999999999</v>
      </c>
      <c r="I119" s="486">
        <f>'03'!$F$140</f>
        <v>0</v>
      </c>
      <c r="J119" s="487">
        <f t="shared" si="9"/>
        <v>5.2999999999999999E-2</v>
      </c>
      <c r="K119" s="499">
        <f>'03'!$G$140</f>
        <v>0</v>
      </c>
      <c r="L119" s="501">
        <f t="shared" si="10"/>
        <v>0.64500000000000002</v>
      </c>
      <c r="M119" s="486">
        <f>'03'!$H$142</f>
        <v>0</v>
      </c>
      <c r="N119" s="487">
        <f t="shared" si="11"/>
        <v>6.4000000000000001E-2</v>
      </c>
      <c r="O119" s="486">
        <f>'03'!$C$142</f>
        <v>0</v>
      </c>
      <c r="P119" s="487">
        <f t="shared" si="12"/>
        <v>0.21299999999999999</v>
      </c>
      <c r="Q119" s="486">
        <f>'03'!$F$142</f>
        <v>0</v>
      </c>
      <c r="R119" s="487">
        <f t="shared" si="13"/>
        <v>0.126</v>
      </c>
      <c r="S119" s="491">
        <f>'03'!$G$142</f>
        <v>0</v>
      </c>
      <c r="T119" s="501">
        <f t="shared" si="14"/>
        <v>0.90600000000000003</v>
      </c>
      <c r="U119" s="486">
        <f>'03'!$H$144</f>
        <v>0</v>
      </c>
      <c r="V119" s="487">
        <f t="shared" si="15"/>
        <v>6.5000000000000002E-2</v>
      </c>
      <c r="W119" s="486">
        <f>'03'!$C$144</f>
        <v>0</v>
      </c>
      <c r="X119" s="487">
        <f t="shared" si="16"/>
        <v>4.7E-2</v>
      </c>
      <c r="Y119" s="486">
        <f>'03'!$F$144</f>
        <v>0</v>
      </c>
      <c r="Z119" s="487">
        <f t="shared" si="17"/>
        <v>0</v>
      </c>
      <c r="AA119" s="491">
        <f>'03'!$G$144</f>
        <v>0</v>
      </c>
    </row>
    <row r="120" spans="3:32" ht="15.75" thickBot="1">
      <c r="C120" s="510">
        <v>45661</v>
      </c>
      <c r="D120" s="496">
        <f t="shared" si="6"/>
        <v>0.79700000000000004</v>
      </c>
      <c r="E120" s="486">
        <f>'04'!$H$140</f>
        <v>0</v>
      </c>
      <c r="F120" s="487">
        <f t="shared" si="7"/>
        <v>6.3E-2</v>
      </c>
      <c r="G120" s="486">
        <f>'04'!$C$140</f>
        <v>0</v>
      </c>
      <c r="H120" s="487">
        <f t="shared" si="8"/>
        <v>0.11799999999999999</v>
      </c>
      <c r="I120" s="486">
        <f>'04'!$F$140</f>
        <v>0</v>
      </c>
      <c r="J120" s="487">
        <f t="shared" si="9"/>
        <v>5.2999999999999999E-2</v>
      </c>
      <c r="K120" s="499">
        <f>'04'!$G$140</f>
        <v>0</v>
      </c>
      <c r="L120" s="501">
        <f t="shared" si="10"/>
        <v>0.64500000000000002</v>
      </c>
      <c r="M120" s="486">
        <f>'04'!$H$142</f>
        <v>0</v>
      </c>
      <c r="N120" s="487">
        <f t="shared" si="11"/>
        <v>6.4000000000000001E-2</v>
      </c>
      <c r="O120" s="486">
        <f>'04'!$C$142</f>
        <v>0</v>
      </c>
      <c r="P120" s="487">
        <f t="shared" si="12"/>
        <v>0.21299999999999999</v>
      </c>
      <c r="Q120" s="486">
        <f>'04'!$F$142</f>
        <v>0</v>
      </c>
      <c r="R120" s="487">
        <f t="shared" si="13"/>
        <v>0.126</v>
      </c>
      <c r="S120" s="491">
        <f>'04'!$G$142</f>
        <v>0</v>
      </c>
      <c r="T120" s="501">
        <f t="shared" si="14"/>
        <v>0.90600000000000003</v>
      </c>
      <c r="U120" s="486">
        <f>'04'!$H$144</f>
        <v>0</v>
      </c>
      <c r="V120" s="487">
        <f t="shared" si="15"/>
        <v>6.5000000000000002E-2</v>
      </c>
      <c r="W120" s="486">
        <f>'04'!$C$144</f>
        <v>0</v>
      </c>
      <c r="X120" s="487">
        <f t="shared" si="16"/>
        <v>4.7E-2</v>
      </c>
      <c r="Y120" s="486">
        <f>'04'!$F$144</f>
        <v>0</v>
      </c>
      <c r="Z120" s="487">
        <f t="shared" si="17"/>
        <v>0</v>
      </c>
      <c r="AA120" s="491">
        <f>'04'!$G$144</f>
        <v>0</v>
      </c>
    </row>
    <row r="121" spans="3:32" ht="15.75" thickBot="1">
      <c r="C121" s="510">
        <v>45662</v>
      </c>
      <c r="D121" s="496">
        <f t="shared" si="6"/>
        <v>0.79700000000000004</v>
      </c>
      <c r="E121" s="486">
        <f>'05'!$H$140</f>
        <v>0</v>
      </c>
      <c r="F121" s="487">
        <f t="shared" si="7"/>
        <v>6.3E-2</v>
      </c>
      <c r="G121" s="486">
        <f>'05'!$C$140</f>
        <v>0</v>
      </c>
      <c r="H121" s="487">
        <f t="shared" si="8"/>
        <v>0.11799999999999999</v>
      </c>
      <c r="I121" s="486">
        <f>'05'!$F$140</f>
        <v>0</v>
      </c>
      <c r="J121" s="487">
        <f t="shared" si="9"/>
        <v>5.2999999999999999E-2</v>
      </c>
      <c r="K121" s="499">
        <f>'05'!$G$140</f>
        <v>0</v>
      </c>
      <c r="L121" s="501">
        <f t="shared" si="10"/>
        <v>0.64500000000000002</v>
      </c>
      <c r="M121" s="486">
        <f>'05'!$H$142</f>
        <v>0</v>
      </c>
      <c r="N121" s="487">
        <f t="shared" si="11"/>
        <v>6.4000000000000001E-2</v>
      </c>
      <c r="O121" s="486">
        <f>'05'!$C$142</f>
        <v>0</v>
      </c>
      <c r="P121" s="487">
        <f t="shared" si="12"/>
        <v>0.21299999999999999</v>
      </c>
      <c r="Q121" s="486">
        <f>'05'!$F$142</f>
        <v>0</v>
      </c>
      <c r="R121" s="487">
        <f t="shared" si="13"/>
        <v>0.126</v>
      </c>
      <c r="S121" s="491">
        <f>'05'!$G$142</f>
        <v>0</v>
      </c>
      <c r="T121" s="501">
        <f t="shared" si="14"/>
        <v>0.90600000000000003</v>
      </c>
      <c r="U121" s="486">
        <f>'05'!$H$144</f>
        <v>0</v>
      </c>
      <c r="V121" s="487">
        <f t="shared" si="15"/>
        <v>6.5000000000000002E-2</v>
      </c>
      <c r="W121" s="486">
        <f>'05'!$C$144</f>
        <v>0</v>
      </c>
      <c r="X121" s="487">
        <f t="shared" si="16"/>
        <v>4.7E-2</v>
      </c>
      <c r="Y121" s="486">
        <f>'05'!$F$144</f>
        <v>0</v>
      </c>
      <c r="Z121" s="487">
        <f t="shared" si="17"/>
        <v>0</v>
      </c>
      <c r="AA121" s="491">
        <f>'05'!$G$144</f>
        <v>0</v>
      </c>
    </row>
    <row r="122" spans="3:32" ht="15.75" hidden="1" thickBot="1">
      <c r="C122" s="510">
        <v>45663</v>
      </c>
      <c r="D122" s="496">
        <f t="shared" si="6"/>
        <v>0.79700000000000004</v>
      </c>
      <c r="E122" s="486">
        <f>'06'!$H$140</f>
        <v>0</v>
      </c>
      <c r="F122" s="487">
        <f t="shared" si="7"/>
        <v>6.3E-2</v>
      </c>
      <c r="G122" s="486">
        <f>'06'!$C$140</f>
        <v>0</v>
      </c>
      <c r="H122" s="487">
        <f t="shared" si="8"/>
        <v>0.11799999999999999</v>
      </c>
      <c r="I122" s="486">
        <f>'06'!$F$140</f>
        <v>0</v>
      </c>
      <c r="J122" s="487">
        <f t="shared" si="9"/>
        <v>5.2999999999999999E-2</v>
      </c>
      <c r="K122" s="499">
        <f>'06'!$G$140</f>
        <v>0</v>
      </c>
      <c r="L122" s="501">
        <f t="shared" si="10"/>
        <v>0.64500000000000002</v>
      </c>
      <c r="M122" s="486">
        <f>'06'!$H$142</f>
        <v>0</v>
      </c>
      <c r="N122" s="487">
        <f t="shared" si="11"/>
        <v>6.4000000000000001E-2</v>
      </c>
      <c r="O122" s="486">
        <f>'06'!$C$142</f>
        <v>0</v>
      </c>
      <c r="P122" s="487">
        <f t="shared" si="12"/>
        <v>0.21299999999999999</v>
      </c>
      <c r="Q122" s="486">
        <f>'06'!$F$142</f>
        <v>0</v>
      </c>
      <c r="R122" s="487">
        <f t="shared" si="13"/>
        <v>0.126</v>
      </c>
      <c r="S122" s="491">
        <f>'06'!$G$142</f>
        <v>0</v>
      </c>
      <c r="T122" s="501">
        <f t="shared" si="14"/>
        <v>0.90600000000000003</v>
      </c>
      <c r="U122" s="486">
        <f>'06'!$H$144</f>
        <v>0</v>
      </c>
      <c r="V122" s="487">
        <f t="shared" si="15"/>
        <v>6.5000000000000002E-2</v>
      </c>
      <c r="W122" s="486">
        <f>'06'!$C$144</f>
        <v>0</v>
      </c>
      <c r="X122" s="487">
        <f t="shared" si="16"/>
        <v>4.7E-2</v>
      </c>
      <c r="Y122" s="486">
        <f>'06'!$F$144</f>
        <v>0</v>
      </c>
      <c r="Z122" s="487">
        <f t="shared" si="17"/>
        <v>0</v>
      </c>
      <c r="AA122" s="491">
        <f>'06'!$G$144</f>
        <v>0</v>
      </c>
    </row>
    <row r="123" spans="3:32" ht="15.75" thickBot="1">
      <c r="C123" s="510">
        <v>45664</v>
      </c>
      <c r="D123" s="496">
        <f t="shared" si="6"/>
        <v>0.79700000000000004</v>
      </c>
      <c r="E123" s="486">
        <f>'07'!$H$140</f>
        <v>0</v>
      </c>
      <c r="F123" s="487">
        <f t="shared" si="7"/>
        <v>6.3E-2</v>
      </c>
      <c r="G123" s="486">
        <f>'07'!$C$140</f>
        <v>0</v>
      </c>
      <c r="H123" s="487">
        <f t="shared" si="8"/>
        <v>0.11799999999999999</v>
      </c>
      <c r="I123" s="486">
        <f>'07'!$F$140</f>
        <v>0</v>
      </c>
      <c r="J123" s="487">
        <f t="shared" si="9"/>
        <v>5.2999999999999999E-2</v>
      </c>
      <c r="K123" s="499">
        <f>'07'!$G$140</f>
        <v>0</v>
      </c>
      <c r="L123" s="501">
        <f t="shared" si="10"/>
        <v>0.64500000000000002</v>
      </c>
      <c r="M123" s="486">
        <f>'07'!$H$142</f>
        <v>0</v>
      </c>
      <c r="N123" s="487">
        <f t="shared" si="11"/>
        <v>6.4000000000000001E-2</v>
      </c>
      <c r="O123" s="486">
        <f>'07'!$C$142</f>
        <v>0</v>
      </c>
      <c r="P123" s="487">
        <f t="shared" si="12"/>
        <v>0.21299999999999999</v>
      </c>
      <c r="Q123" s="486">
        <f>'07'!$F$142</f>
        <v>0</v>
      </c>
      <c r="R123" s="487">
        <f t="shared" si="13"/>
        <v>0.126</v>
      </c>
      <c r="S123" s="491">
        <f>'07'!$G$142</f>
        <v>0</v>
      </c>
      <c r="T123" s="501">
        <f t="shared" si="14"/>
        <v>0.90600000000000003</v>
      </c>
      <c r="U123" s="486">
        <f>'07'!$H$144</f>
        <v>0</v>
      </c>
      <c r="V123" s="487">
        <f t="shared" si="15"/>
        <v>6.5000000000000002E-2</v>
      </c>
      <c r="W123" s="486">
        <f>'07'!$C$144</f>
        <v>0</v>
      </c>
      <c r="X123" s="487">
        <f t="shared" si="16"/>
        <v>4.7E-2</v>
      </c>
      <c r="Y123" s="486">
        <f>'07'!$F$144</f>
        <v>0</v>
      </c>
      <c r="Z123" s="487">
        <f t="shared" si="17"/>
        <v>0</v>
      </c>
      <c r="AA123" s="491">
        <f>'07'!$G$144</f>
        <v>0</v>
      </c>
    </row>
    <row r="124" spans="3:32" ht="15.75" hidden="1" thickBot="1">
      <c r="C124" s="510">
        <v>45665</v>
      </c>
      <c r="D124" s="496">
        <f t="shared" si="6"/>
        <v>0.79700000000000004</v>
      </c>
      <c r="E124" s="486">
        <f>'08'!$H$140</f>
        <v>0</v>
      </c>
      <c r="F124" s="487">
        <f t="shared" si="7"/>
        <v>6.3E-2</v>
      </c>
      <c r="G124" s="486">
        <f>'08'!$C$140</f>
        <v>0</v>
      </c>
      <c r="H124" s="487">
        <f t="shared" si="8"/>
        <v>0.11799999999999999</v>
      </c>
      <c r="I124" s="486">
        <f>'08'!$F$140</f>
        <v>0</v>
      </c>
      <c r="J124" s="487">
        <f t="shared" si="9"/>
        <v>5.2999999999999999E-2</v>
      </c>
      <c r="K124" s="499">
        <f>'08'!$G$140</f>
        <v>0</v>
      </c>
      <c r="L124" s="501">
        <f t="shared" si="10"/>
        <v>0.64500000000000002</v>
      </c>
      <c r="M124" s="486">
        <f>'08'!$H$142</f>
        <v>0</v>
      </c>
      <c r="N124" s="487">
        <f t="shared" si="11"/>
        <v>6.4000000000000001E-2</v>
      </c>
      <c r="O124" s="486">
        <f>'08'!$C$142</f>
        <v>0</v>
      </c>
      <c r="P124" s="487">
        <f t="shared" si="12"/>
        <v>0.21299999999999999</v>
      </c>
      <c r="Q124" s="486">
        <f>'08'!$F$142</f>
        <v>0</v>
      </c>
      <c r="R124" s="487">
        <f t="shared" si="13"/>
        <v>0.126</v>
      </c>
      <c r="S124" s="491">
        <f>'08'!$G$142</f>
        <v>0</v>
      </c>
      <c r="T124" s="501">
        <f t="shared" si="14"/>
        <v>0.90600000000000003</v>
      </c>
      <c r="U124" s="486">
        <f>'08'!$H$144</f>
        <v>0</v>
      </c>
      <c r="V124" s="487">
        <f t="shared" si="15"/>
        <v>6.5000000000000002E-2</v>
      </c>
      <c r="W124" s="486">
        <f>'08'!$C$144</f>
        <v>0</v>
      </c>
      <c r="X124" s="487">
        <f t="shared" si="16"/>
        <v>4.7E-2</v>
      </c>
      <c r="Y124" s="486">
        <f>'08'!$F$144</f>
        <v>0</v>
      </c>
      <c r="Z124" s="487">
        <f t="shared" si="17"/>
        <v>0</v>
      </c>
      <c r="AA124" s="491">
        <f>'08'!$G$144</f>
        <v>0</v>
      </c>
    </row>
    <row r="125" spans="3:32" ht="15.75" thickBot="1">
      <c r="C125" s="510">
        <v>45666</v>
      </c>
      <c r="D125" s="496">
        <f t="shared" si="6"/>
        <v>0.79700000000000004</v>
      </c>
      <c r="E125" s="486">
        <f>'09'!$H$140</f>
        <v>0</v>
      </c>
      <c r="F125" s="487">
        <f t="shared" si="7"/>
        <v>6.3E-2</v>
      </c>
      <c r="G125" s="486">
        <f>'09'!$C$140</f>
        <v>0</v>
      </c>
      <c r="H125" s="487">
        <f t="shared" si="8"/>
        <v>0.11799999999999999</v>
      </c>
      <c r="I125" s="486">
        <f>'09'!$F$140</f>
        <v>0</v>
      </c>
      <c r="J125" s="487">
        <f t="shared" si="9"/>
        <v>5.2999999999999999E-2</v>
      </c>
      <c r="K125" s="499">
        <f>'09'!$G$140</f>
        <v>0</v>
      </c>
      <c r="L125" s="501">
        <f t="shared" si="10"/>
        <v>0.64500000000000002</v>
      </c>
      <c r="M125" s="486">
        <f>'09'!$H$142</f>
        <v>0</v>
      </c>
      <c r="N125" s="487">
        <f t="shared" si="11"/>
        <v>6.4000000000000001E-2</v>
      </c>
      <c r="O125" s="486">
        <f>'09'!$C$142</f>
        <v>0</v>
      </c>
      <c r="P125" s="487">
        <f t="shared" si="12"/>
        <v>0.21299999999999999</v>
      </c>
      <c r="Q125" s="486">
        <f>'09'!$F$142</f>
        <v>0</v>
      </c>
      <c r="R125" s="487">
        <f t="shared" si="13"/>
        <v>0.126</v>
      </c>
      <c r="S125" s="491">
        <f>'09'!$G$142</f>
        <v>0</v>
      </c>
      <c r="T125" s="501">
        <f t="shared" si="14"/>
        <v>0.90600000000000003</v>
      </c>
      <c r="U125" s="486">
        <f>'09'!$H$144</f>
        <v>0</v>
      </c>
      <c r="V125" s="487">
        <f t="shared" si="15"/>
        <v>6.5000000000000002E-2</v>
      </c>
      <c r="W125" s="486">
        <f>'09'!$C$144</f>
        <v>0</v>
      </c>
      <c r="X125" s="487">
        <f t="shared" si="16"/>
        <v>4.7E-2</v>
      </c>
      <c r="Y125" s="486">
        <f>'09'!$F$144</f>
        <v>0</v>
      </c>
      <c r="Z125" s="487">
        <f t="shared" si="17"/>
        <v>0</v>
      </c>
      <c r="AA125" s="491">
        <f>'09'!$G$144</f>
        <v>0</v>
      </c>
    </row>
    <row r="126" spans="3:32" ht="15.75" thickBot="1">
      <c r="C126" s="510">
        <v>45667</v>
      </c>
      <c r="D126" s="496">
        <f t="shared" si="6"/>
        <v>0.79700000000000004</v>
      </c>
      <c r="E126" s="486">
        <f>'10'!$H$140</f>
        <v>0</v>
      </c>
      <c r="F126" s="487">
        <f t="shared" si="7"/>
        <v>6.3E-2</v>
      </c>
      <c r="G126" s="486">
        <f>'10'!$C$140</f>
        <v>0</v>
      </c>
      <c r="H126" s="487">
        <f t="shared" si="8"/>
        <v>0.11799999999999999</v>
      </c>
      <c r="I126" s="486">
        <f>'10'!$F$140</f>
        <v>0</v>
      </c>
      <c r="J126" s="487">
        <f t="shared" si="9"/>
        <v>5.2999999999999999E-2</v>
      </c>
      <c r="K126" s="499">
        <f>'10'!$G$140</f>
        <v>0</v>
      </c>
      <c r="L126" s="501">
        <f t="shared" si="10"/>
        <v>0.64500000000000002</v>
      </c>
      <c r="M126" s="486">
        <f>'10'!$H$142</f>
        <v>0</v>
      </c>
      <c r="N126" s="487">
        <f t="shared" si="11"/>
        <v>6.4000000000000001E-2</v>
      </c>
      <c r="O126" s="486">
        <f>'10'!$C$142</f>
        <v>0</v>
      </c>
      <c r="P126" s="487">
        <f t="shared" si="12"/>
        <v>0.21299999999999999</v>
      </c>
      <c r="Q126" s="486">
        <f>'10'!$F$142</f>
        <v>0</v>
      </c>
      <c r="R126" s="487">
        <f t="shared" si="13"/>
        <v>0.126</v>
      </c>
      <c r="S126" s="491">
        <f>'10'!$G$142</f>
        <v>0</v>
      </c>
      <c r="T126" s="501">
        <f t="shared" si="14"/>
        <v>0.90600000000000003</v>
      </c>
      <c r="U126" s="486">
        <f>'10'!$H$144</f>
        <v>0</v>
      </c>
      <c r="V126" s="487">
        <f t="shared" si="15"/>
        <v>6.5000000000000002E-2</v>
      </c>
      <c r="W126" s="486">
        <f>'10'!$C$144</f>
        <v>0</v>
      </c>
      <c r="X126" s="487">
        <f t="shared" si="16"/>
        <v>4.7E-2</v>
      </c>
      <c r="Y126" s="486">
        <f>'10'!$F$144</f>
        <v>0</v>
      </c>
      <c r="Z126" s="487">
        <f t="shared" si="17"/>
        <v>0</v>
      </c>
      <c r="AA126" s="491">
        <f>'10'!$G$144</f>
        <v>0</v>
      </c>
    </row>
    <row r="127" spans="3:32" ht="15.75" hidden="1" thickBot="1">
      <c r="C127" s="510">
        <v>45668</v>
      </c>
      <c r="D127" s="496">
        <f t="shared" si="6"/>
        <v>0.79700000000000004</v>
      </c>
      <c r="E127" s="486">
        <f>'11'!$H$140</f>
        <v>0</v>
      </c>
      <c r="F127" s="487">
        <f t="shared" si="7"/>
        <v>6.3E-2</v>
      </c>
      <c r="G127" s="486">
        <f>'11'!$C$140</f>
        <v>0</v>
      </c>
      <c r="H127" s="487">
        <f t="shared" si="8"/>
        <v>0.11799999999999999</v>
      </c>
      <c r="I127" s="486">
        <f>'11'!$F$140</f>
        <v>0</v>
      </c>
      <c r="J127" s="487">
        <f t="shared" si="9"/>
        <v>5.2999999999999999E-2</v>
      </c>
      <c r="K127" s="499">
        <f>'11'!$G$140</f>
        <v>0</v>
      </c>
      <c r="L127" s="501">
        <f t="shared" si="10"/>
        <v>0.64500000000000002</v>
      </c>
      <c r="M127" s="486">
        <f>'11'!$H$142</f>
        <v>0</v>
      </c>
      <c r="N127" s="487">
        <f t="shared" si="11"/>
        <v>6.4000000000000001E-2</v>
      </c>
      <c r="O127" s="486">
        <f>'11'!$C$142</f>
        <v>0</v>
      </c>
      <c r="P127" s="487">
        <f t="shared" si="12"/>
        <v>0.21299999999999999</v>
      </c>
      <c r="Q127" s="486">
        <f>'11'!$F$142</f>
        <v>0</v>
      </c>
      <c r="R127" s="487">
        <f t="shared" si="13"/>
        <v>0.126</v>
      </c>
      <c r="S127" s="491">
        <f>'11'!$G$142</f>
        <v>0</v>
      </c>
      <c r="T127" s="501">
        <f t="shared" si="14"/>
        <v>0.90600000000000003</v>
      </c>
      <c r="U127" s="486">
        <f>'11'!$H$144</f>
        <v>0</v>
      </c>
      <c r="V127" s="487">
        <f t="shared" si="15"/>
        <v>6.5000000000000002E-2</v>
      </c>
      <c r="W127" s="486">
        <f>'11'!$C$144</f>
        <v>0</v>
      </c>
      <c r="X127" s="487">
        <f t="shared" si="16"/>
        <v>4.7E-2</v>
      </c>
      <c r="Y127" s="486">
        <f>'11'!$F$144</f>
        <v>0</v>
      </c>
      <c r="Z127" s="487">
        <f t="shared" si="17"/>
        <v>0</v>
      </c>
      <c r="AA127" s="491">
        <f>'11'!$G$144</f>
        <v>0</v>
      </c>
    </row>
    <row r="128" spans="3:32" ht="15.75" hidden="1" thickBot="1">
      <c r="C128" s="510">
        <v>45669</v>
      </c>
      <c r="D128" s="496">
        <f t="shared" si="6"/>
        <v>0.79700000000000004</v>
      </c>
      <c r="E128" s="486">
        <f>'12'!$H$140</f>
        <v>0</v>
      </c>
      <c r="F128" s="487">
        <f t="shared" si="7"/>
        <v>6.3E-2</v>
      </c>
      <c r="G128" s="486">
        <f>'12'!$C$140</f>
        <v>0</v>
      </c>
      <c r="H128" s="487">
        <f t="shared" si="8"/>
        <v>0.11799999999999999</v>
      </c>
      <c r="I128" s="486">
        <f>'12'!$F$140</f>
        <v>0</v>
      </c>
      <c r="J128" s="487">
        <f t="shared" si="9"/>
        <v>5.2999999999999999E-2</v>
      </c>
      <c r="K128" s="499">
        <f>'12'!$G$140</f>
        <v>0</v>
      </c>
      <c r="L128" s="501">
        <f t="shared" si="10"/>
        <v>0.64500000000000002</v>
      </c>
      <c r="M128" s="486">
        <f>'12'!$H$142</f>
        <v>0</v>
      </c>
      <c r="N128" s="487">
        <f t="shared" si="11"/>
        <v>6.4000000000000001E-2</v>
      </c>
      <c r="O128" s="486">
        <f>'12'!$C$142</f>
        <v>0</v>
      </c>
      <c r="P128" s="487">
        <f t="shared" si="12"/>
        <v>0.21299999999999999</v>
      </c>
      <c r="Q128" s="486">
        <f>'12'!$F$142</f>
        <v>0</v>
      </c>
      <c r="R128" s="487">
        <f t="shared" si="13"/>
        <v>0.126</v>
      </c>
      <c r="S128" s="491">
        <f>'12'!$G$142</f>
        <v>0</v>
      </c>
      <c r="T128" s="501">
        <f t="shared" si="14"/>
        <v>0.90600000000000003</v>
      </c>
      <c r="U128" s="486">
        <f>'12'!$H$144</f>
        <v>0</v>
      </c>
      <c r="V128" s="487">
        <f t="shared" si="15"/>
        <v>6.5000000000000002E-2</v>
      </c>
      <c r="W128" s="486">
        <f>'12'!$C$144</f>
        <v>0</v>
      </c>
      <c r="X128" s="487">
        <f t="shared" si="16"/>
        <v>4.7E-2</v>
      </c>
      <c r="Y128" s="486">
        <f>'12'!$F$144</f>
        <v>0</v>
      </c>
      <c r="Z128" s="487">
        <f t="shared" si="17"/>
        <v>0</v>
      </c>
      <c r="AA128" s="491">
        <f>'12'!$G$144</f>
        <v>0</v>
      </c>
    </row>
    <row r="129" spans="3:27" ht="15.75" thickBot="1">
      <c r="C129" s="510">
        <v>45670</v>
      </c>
      <c r="D129" s="496">
        <f t="shared" si="6"/>
        <v>0.79700000000000004</v>
      </c>
      <c r="E129" s="486">
        <f>'13'!$H$140</f>
        <v>0</v>
      </c>
      <c r="F129" s="487">
        <f t="shared" si="7"/>
        <v>6.3E-2</v>
      </c>
      <c r="G129" s="486">
        <f>'13'!$C$140</f>
        <v>0</v>
      </c>
      <c r="H129" s="487">
        <f t="shared" si="8"/>
        <v>0.11799999999999999</v>
      </c>
      <c r="I129" s="486">
        <f>'13'!$F$140</f>
        <v>0</v>
      </c>
      <c r="J129" s="487">
        <f t="shared" si="9"/>
        <v>5.2999999999999999E-2</v>
      </c>
      <c r="K129" s="499">
        <f>'13'!$G$140</f>
        <v>0</v>
      </c>
      <c r="L129" s="501">
        <f t="shared" si="10"/>
        <v>0.64500000000000002</v>
      </c>
      <c r="M129" s="486">
        <f>'13'!$H$142</f>
        <v>0</v>
      </c>
      <c r="N129" s="487">
        <f t="shared" si="11"/>
        <v>6.4000000000000001E-2</v>
      </c>
      <c r="O129" s="486">
        <f>'13'!$C$142</f>
        <v>0</v>
      </c>
      <c r="P129" s="487">
        <f t="shared" si="12"/>
        <v>0.21299999999999999</v>
      </c>
      <c r="Q129" s="486">
        <f>'13'!$F$142</f>
        <v>0</v>
      </c>
      <c r="R129" s="487">
        <f t="shared" si="13"/>
        <v>0.126</v>
      </c>
      <c r="S129" s="491">
        <f>'13'!$G$142</f>
        <v>0</v>
      </c>
      <c r="T129" s="501">
        <f t="shared" si="14"/>
        <v>0.90600000000000003</v>
      </c>
      <c r="U129" s="486">
        <f>'13'!$H$144</f>
        <v>0</v>
      </c>
      <c r="V129" s="487">
        <f t="shared" si="15"/>
        <v>6.5000000000000002E-2</v>
      </c>
      <c r="W129" s="486">
        <f>'13'!$C$144</f>
        <v>0</v>
      </c>
      <c r="X129" s="487">
        <f t="shared" si="16"/>
        <v>4.7E-2</v>
      </c>
      <c r="Y129" s="486">
        <f>'13'!$F$144</f>
        <v>0</v>
      </c>
      <c r="Z129" s="487">
        <f t="shared" si="17"/>
        <v>0</v>
      </c>
      <c r="AA129" s="491">
        <f>'13'!$G$144</f>
        <v>0</v>
      </c>
    </row>
    <row r="130" spans="3:27" ht="15.75" hidden="1" thickBot="1">
      <c r="C130" s="510">
        <v>45671</v>
      </c>
      <c r="D130" s="496">
        <f t="shared" si="6"/>
        <v>0.79700000000000004</v>
      </c>
      <c r="E130" s="486">
        <f>'14'!$H$140</f>
        <v>0</v>
      </c>
      <c r="F130" s="487">
        <f t="shared" si="7"/>
        <v>6.3E-2</v>
      </c>
      <c r="G130" s="486">
        <f>'14'!$C$140</f>
        <v>0</v>
      </c>
      <c r="H130" s="487">
        <f t="shared" si="8"/>
        <v>0.11799999999999999</v>
      </c>
      <c r="I130" s="486">
        <f>'14'!$F$140</f>
        <v>0</v>
      </c>
      <c r="J130" s="487">
        <f t="shared" si="9"/>
        <v>5.2999999999999999E-2</v>
      </c>
      <c r="K130" s="499">
        <f>'14'!$G$140</f>
        <v>0</v>
      </c>
      <c r="L130" s="501">
        <f t="shared" si="10"/>
        <v>0.64500000000000002</v>
      </c>
      <c r="M130" s="486">
        <f>'14'!$H$142</f>
        <v>0</v>
      </c>
      <c r="N130" s="487">
        <f t="shared" si="11"/>
        <v>6.4000000000000001E-2</v>
      </c>
      <c r="O130" s="486">
        <f>'14'!$C$142</f>
        <v>0</v>
      </c>
      <c r="P130" s="487">
        <f t="shared" si="12"/>
        <v>0.21299999999999999</v>
      </c>
      <c r="Q130" s="486">
        <f>'14'!$F$142</f>
        <v>0</v>
      </c>
      <c r="R130" s="487">
        <f t="shared" si="13"/>
        <v>0.126</v>
      </c>
      <c r="S130" s="491">
        <f>'14'!$G$142</f>
        <v>0</v>
      </c>
      <c r="T130" s="501">
        <f t="shared" si="14"/>
        <v>0.90600000000000003</v>
      </c>
      <c r="U130" s="486">
        <f>'14'!$H$144</f>
        <v>0</v>
      </c>
      <c r="V130" s="487">
        <f t="shared" si="15"/>
        <v>6.5000000000000002E-2</v>
      </c>
      <c r="W130" s="486">
        <f>'14'!$C$144</f>
        <v>0</v>
      </c>
      <c r="X130" s="487">
        <f t="shared" si="16"/>
        <v>4.7E-2</v>
      </c>
      <c r="Y130" s="486">
        <f>'14'!$F$144</f>
        <v>0</v>
      </c>
      <c r="Z130" s="487">
        <f t="shared" si="17"/>
        <v>0</v>
      </c>
      <c r="AA130" s="491">
        <f>'14'!$G$144</f>
        <v>0</v>
      </c>
    </row>
    <row r="131" spans="3:27">
      <c r="C131" s="510">
        <v>45672</v>
      </c>
      <c r="D131" s="496">
        <f t="shared" si="6"/>
        <v>0.79700000000000004</v>
      </c>
      <c r="E131" s="486">
        <f>'15'!$H$140</f>
        <v>0</v>
      </c>
      <c r="F131" s="487">
        <f t="shared" si="7"/>
        <v>6.3E-2</v>
      </c>
      <c r="G131" s="486">
        <f>'15'!$C$140</f>
        <v>0</v>
      </c>
      <c r="H131" s="487">
        <f t="shared" si="8"/>
        <v>0.11799999999999999</v>
      </c>
      <c r="I131" s="486">
        <f>'15'!$F$140</f>
        <v>0</v>
      </c>
      <c r="J131" s="487">
        <f t="shared" si="9"/>
        <v>5.2999999999999999E-2</v>
      </c>
      <c r="K131" s="499">
        <f>'15'!$G$140</f>
        <v>0</v>
      </c>
      <c r="L131" s="501">
        <f t="shared" si="10"/>
        <v>0.64500000000000002</v>
      </c>
      <c r="M131" s="486">
        <f>'15'!$H$142</f>
        <v>0</v>
      </c>
      <c r="N131" s="487">
        <f t="shared" si="11"/>
        <v>6.4000000000000001E-2</v>
      </c>
      <c r="O131" s="486">
        <f>'15'!$C$142</f>
        <v>0</v>
      </c>
      <c r="P131" s="487">
        <f t="shared" si="12"/>
        <v>0.21299999999999999</v>
      </c>
      <c r="Q131" s="486">
        <f>'15'!$F$142</f>
        <v>0</v>
      </c>
      <c r="R131" s="487">
        <f t="shared" si="13"/>
        <v>0.126</v>
      </c>
      <c r="S131" s="491">
        <f>'15'!$G$142</f>
        <v>0</v>
      </c>
      <c r="T131" s="501">
        <f t="shared" si="14"/>
        <v>0.90600000000000003</v>
      </c>
      <c r="U131" s="486">
        <f>'15'!$H$144</f>
        <v>0</v>
      </c>
      <c r="V131" s="487">
        <f t="shared" si="15"/>
        <v>6.5000000000000002E-2</v>
      </c>
      <c r="W131" s="486">
        <f>'15'!$C$144</f>
        <v>0</v>
      </c>
      <c r="X131" s="487">
        <f t="shared" si="16"/>
        <v>4.7E-2</v>
      </c>
      <c r="Y131" s="486">
        <f>'15'!$F$144</f>
        <v>0</v>
      </c>
      <c r="Z131" s="487">
        <f t="shared" si="17"/>
        <v>0</v>
      </c>
      <c r="AA131" s="491">
        <f>'15'!$G$144</f>
        <v>0</v>
      </c>
    </row>
    <row r="132" spans="3:27" hidden="1">
      <c r="C132" s="510">
        <v>45673</v>
      </c>
      <c r="D132" s="496">
        <f t="shared" si="6"/>
        <v>0.79700000000000004</v>
      </c>
      <c r="E132" s="486">
        <f>'16'!$H$140</f>
        <v>0</v>
      </c>
      <c r="F132" s="487">
        <f t="shared" si="7"/>
        <v>6.3E-2</v>
      </c>
      <c r="G132" s="486">
        <f>'16'!$C$140</f>
        <v>0</v>
      </c>
      <c r="H132" s="487">
        <f t="shared" si="8"/>
        <v>0.11799999999999999</v>
      </c>
      <c r="I132" s="486">
        <f>'16'!$F$140</f>
        <v>0</v>
      </c>
      <c r="J132" s="487">
        <f t="shared" si="9"/>
        <v>5.2999999999999999E-2</v>
      </c>
      <c r="K132" s="499">
        <f>'16'!$G$140</f>
        <v>0</v>
      </c>
      <c r="L132" s="501">
        <f t="shared" si="10"/>
        <v>0.64500000000000002</v>
      </c>
      <c r="M132" s="486">
        <f>'16'!$H$142</f>
        <v>0</v>
      </c>
      <c r="N132" s="487">
        <f t="shared" si="11"/>
        <v>6.4000000000000001E-2</v>
      </c>
      <c r="O132" s="486">
        <f>'16'!$C$142</f>
        <v>0</v>
      </c>
      <c r="P132" s="487">
        <f t="shared" si="12"/>
        <v>0.21299999999999999</v>
      </c>
      <c r="Q132" s="486">
        <f>'16'!$F$142</f>
        <v>0</v>
      </c>
      <c r="R132" s="487">
        <f t="shared" si="13"/>
        <v>0.126</v>
      </c>
      <c r="S132" s="491">
        <f>'16'!$G$142</f>
        <v>0</v>
      </c>
      <c r="T132" s="501">
        <f t="shared" si="14"/>
        <v>0.90600000000000003</v>
      </c>
      <c r="U132" s="486">
        <f>'16'!$H$144</f>
        <v>0</v>
      </c>
      <c r="V132" s="487">
        <f t="shared" si="15"/>
        <v>6.5000000000000002E-2</v>
      </c>
      <c r="W132" s="486">
        <f>'16'!$C$144</f>
        <v>0</v>
      </c>
      <c r="X132" s="487">
        <f t="shared" si="16"/>
        <v>4.7E-2</v>
      </c>
      <c r="Y132" s="486">
        <f>'16'!$F$144</f>
        <v>0</v>
      </c>
      <c r="Z132" s="487">
        <f t="shared" si="17"/>
        <v>0</v>
      </c>
      <c r="AA132" s="491">
        <f>'16'!$G$144</f>
        <v>0</v>
      </c>
    </row>
    <row r="133" spans="3:27" hidden="1">
      <c r="C133" s="510">
        <v>45674</v>
      </c>
      <c r="D133" s="496">
        <f t="shared" si="6"/>
        <v>0.79700000000000004</v>
      </c>
      <c r="E133" s="486">
        <f>'17'!$H$140</f>
        <v>0</v>
      </c>
      <c r="F133" s="487">
        <f t="shared" si="7"/>
        <v>6.3E-2</v>
      </c>
      <c r="G133" s="486">
        <f>'17'!$C$140</f>
        <v>0</v>
      </c>
      <c r="H133" s="487">
        <f t="shared" si="8"/>
        <v>0.11799999999999999</v>
      </c>
      <c r="I133" s="486">
        <f>'17'!$F$140</f>
        <v>0</v>
      </c>
      <c r="J133" s="487">
        <f t="shared" si="9"/>
        <v>5.2999999999999999E-2</v>
      </c>
      <c r="K133" s="499">
        <f>'17'!$G$140</f>
        <v>0</v>
      </c>
      <c r="L133" s="501">
        <f t="shared" si="10"/>
        <v>0.64500000000000002</v>
      </c>
      <c r="M133" s="486">
        <f>'17'!$H$142</f>
        <v>0</v>
      </c>
      <c r="N133" s="487">
        <f t="shared" si="11"/>
        <v>6.4000000000000001E-2</v>
      </c>
      <c r="O133" s="486">
        <f>'17'!$C$142</f>
        <v>0</v>
      </c>
      <c r="P133" s="487">
        <f t="shared" si="12"/>
        <v>0.21299999999999999</v>
      </c>
      <c r="Q133" s="486">
        <f>'17'!$F$142</f>
        <v>0</v>
      </c>
      <c r="R133" s="487">
        <f t="shared" si="13"/>
        <v>0.126</v>
      </c>
      <c r="S133" s="491">
        <f>'17'!$G$142</f>
        <v>0</v>
      </c>
      <c r="T133" s="501">
        <f t="shared" si="14"/>
        <v>0.90600000000000003</v>
      </c>
      <c r="U133" s="486">
        <f>'17'!$H$144</f>
        <v>0</v>
      </c>
      <c r="V133" s="487">
        <f t="shared" si="15"/>
        <v>6.5000000000000002E-2</v>
      </c>
      <c r="W133" s="486">
        <f>'17'!$C$144</f>
        <v>0</v>
      </c>
      <c r="X133" s="487">
        <f t="shared" si="16"/>
        <v>4.7E-2</v>
      </c>
      <c r="Y133" s="486">
        <f>'17'!$F$144</f>
        <v>0</v>
      </c>
      <c r="Z133" s="487">
        <f t="shared" si="17"/>
        <v>0</v>
      </c>
      <c r="AA133" s="491">
        <f>'17'!$G$144</f>
        <v>0</v>
      </c>
    </row>
    <row r="134" spans="3:27" hidden="1">
      <c r="C134" s="510">
        <v>45675</v>
      </c>
      <c r="D134" s="496">
        <f t="shared" si="6"/>
        <v>0.79700000000000004</v>
      </c>
      <c r="E134" s="486">
        <f>'18'!$H$140</f>
        <v>0</v>
      </c>
      <c r="F134" s="487">
        <f t="shared" si="7"/>
        <v>6.3E-2</v>
      </c>
      <c r="G134" s="486">
        <f>'18'!$C$140</f>
        <v>0</v>
      </c>
      <c r="H134" s="487">
        <f t="shared" si="8"/>
        <v>0.11799999999999999</v>
      </c>
      <c r="I134" s="486">
        <f>'18'!$F$140</f>
        <v>0</v>
      </c>
      <c r="J134" s="487">
        <f t="shared" si="9"/>
        <v>5.2999999999999999E-2</v>
      </c>
      <c r="K134" s="499">
        <f>'18'!$G$140</f>
        <v>0</v>
      </c>
      <c r="L134" s="501">
        <f t="shared" si="10"/>
        <v>0.64500000000000002</v>
      </c>
      <c r="M134" s="486">
        <f>'18'!$H$142</f>
        <v>0</v>
      </c>
      <c r="N134" s="487">
        <f t="shared" si="11"/>
        <v>6.4000000000000001E-2</v>
      </c>
      <c r="O134" s="486">
        <f>'18'!$C$142</f>
        <v>0</v>
      </c>
      <c r="P134" s="487">
        <f t="shared" si="12"/>
        <v>0.21299999999999999</v>
      </c>
      <c r="Q134" s="486">
        <f>'18'!$F$142</f>
        <v>0</v>
      </c>
      <c r="R134" s="487">
        <f t="shared" si="13"/>
        <v>0.126</v>
      </c>
      <c r="S134" s="491">
        <f>'18'!$G$142</f>
        <v>0</v>
      </c>
      <c r="T134" s="501">
        <f t="shared" si="14"/>
        <v>0.90600000000000003</v>
      </c>
      <c r="U134" s="486">
        <f>'18'!$H$144</f>
        <v>0</v>
      </c>
      <c r="V134" s="487">
        <f t="shared" si="15"/>
        <v>6.5000000000000002E-2</v>
      </c>
      <c r="W134" s="486">
        <f>'18'!$C$144</f>
        <v>0</v>
      </c>
      <c r="X134" s="487">
        <f t="shared" si="16"/>
        <v>4.7E-2</v>
      </c>
      <c r="Y134" s="486">
        <f>'18'!$F$144</f>
        <v>0</v>
      </c>
      <c r="Z134" s="487">
        <f t="shared" si="17"/>
        <v>0</v>
      </c>
      <c r="AA134" s="491">
        <f>'18'!$G$144</f>
        <v>0</v>
      </c>
    </row>
    <row r="135" spans="3:27" hidden="1">
      <c r="C135" s="510">
        <v>45676</v>
      </c>
      <c r="D135" s="496">
        <f t="shared" si="6"/>
        <v>0.79700000000000004</v>
      </c>
      <c r="E135" s="486">
        <f>'19'!$H$140</f>
        <v>0</v>
      </c>
      <c r="F135" s="487">
        <f t="shared" si="7"/>
        <v>6.3E-2</v>
      </c>
      <c r="G135" s="486">
        <f>'19'!$C$140</f>
        <v>0</v>
      </c>
      <c r="H135" s="487">
        <f t="shared" si="8"/>
        <v>0.11799999999999999</v>
      </c>
      <c r="I135" s="486">
        <f>'19'!$F$140</f>
        <v>0</v>
      </c>
      <c r="J135" s="487">
        <f t="shared" si="9"/>
        <v>5.2999999999999999E-2</v>
      </c>
      <c r="K135" s="499">
        <f>'19'!$G$140</f>
        <v>0</v>
      </c>
      <c r="L135" s="501">
        <f t="shared" si="10"/>
        <v>0.64500000000000002</v>
      </c>
      <c r="M135" s="486">
        <f>'19'!$H$142</f>
        <v>0</v>
      </c>
      <c r="N135" s="487">
        <f t="shared" si="11"/>
        <v>6.4000000000000001E-2</v>
      </c>
      <c r="O135" s="486">
        <f>'19'!$C$142</f>
        <v>0</v>
      </c>
      <c r="P135" s="487">
        <f t="shared" si="12"/>
        <v>0.21299999999999999</v>
      </c>
      <c r="Q135" s="486">
        <f>'19'!$F$142</f>
        <v>0</v>
      </c>
      <c r="R135" s="487">
        <f t="shared" si="13"/>
        <v>0.126</v>
      </c>
      <c r="S135" s="491">
        <f>'19'!$G$142</f>
        <v>0</v>
      </c>
      <c r="T135" s="501">
        <f t="shared" si="14"/>
        <v>0.90600000000000003</v>
      </c>
      <c r="U135" s="486">
        <f>'19'!$H$144</f>
        <v>0</v>
      </c>
      <c r="V135" s="487">
        <f t="shared" si="15"/>
        <v>6.5000000000000002E-2</v>
      </c>
      <c r="W135" s="486">
        <f>'19'!$C$144</f>
        <v>0</v>
      </c>
      <c r="X135" s="487">
        <f t="shared" si="16"/>
        <v>4.7E-2</v>
      </c>
      <c r="Y135" s="486">
        <f>'19'!$F$144</f>
        <v>0</v>
      </c>
      <c r="Z135" s="487">
        <f t="shared" si="17"/>
        <v>0</v>
      </c>
      <c r="AA135" s="491">
        <f>'19'!$G$144</f>
        <v>0</v>
      </c>
    </row>
    <row r="136" spans="3:27" hidden="1">
      <c r="C136" s="510">
        <v>45677</v>
      </c>
      <c r="D136" s="496">
        <f t="shared" si="6"/>
        <v>0.79700000000000004</v>
      </c>
      <c r="E136" s="486">
        <f>'20'!$H$140</f>
        <v>0</v>
      </c>
      <c r="F136" s="487">
        <f t="shared" si="7"/>
        <v>6.3E-2</v>
      </c>
      <c r="G136" s="486">
        <f>'20'!$C$140</f>
        <v>0</v>
      </c>
      <c r="H136" s="487">
        <f t="shared" si="8"/>
        <v>0.11799999999999999</v>
      </c>
      <c r="I136" s="486">
        <f>'20'!$F$140</f>
        <v>0</v>
      </c>
      <c r="J136" s="487">
        <f t="shared" si="9"/>
        <v>5.2999999999999999E-2</v>
      </c>
      <c r="K136" s="499">
        <f>'20'!$G$140</f>
        <v>0</v>
      </c>
      <c r="L136" s="501">
        <f t="shared" si="10"/>
        <v>0.64500000000000002</v>
      </c>
      <c r="M136" s="486">
        <f>'20'!$H$142</f>
        <v>0</v>
      </c>
      <c r="N136" s="487">
        <f t="shared" si="11"/>
        <v>6.4000000000000001E-2</v>
      </c>
      <c r="O136" s="486">
        <f>'20'!$C$142</f>
        <v>0</v>
      </c>
      <c r="P136" s="487">
        <f t="shared" si="12"/>
        <v>0.21299999999999999</v>
      </c>
      <c r="Q136" s="486">
        <f>'20'!$F$142</f>
        <v>0</v>
      </c>
      <c r="R136" s="487">
        <f t="shared" si="13"/>
        <v>0.126</v>
      </c>
      <c r="S136" s="491">
        <f>'20'!$G$142</f>
        <v>0</v>
      </c>
      <c r="T136" s="501">
        <f t="shared" si="14"/>
        <v>0.90600000000000003</v>
      </c>
      <c r="U136" s="486">
        <f>'20'!$H$144</f>
        <v>0</v>
      </c>
      <c r="V136" s="487">
        <f t="shared" si="15"/>
        <v>6.5000000000000002E-2</v>
      </c>
      <c r="W136" s="486">
        <f>'20'!$C$144</f>
        <v>0</v>
      </c>
      <c r="X136" s="487">
        <f t="shared" si="16"/>
        <v>4.7E-2</v>
      </c>
      <c r="Y136" s="486">
        <f>'20'!$F$144</f>
        <v>0</v>
      </c>
      <c r="Z136" s="487">
        <f t="shared" si="17"/>
        <v>0</v>
      </c>
      <c r="AA136" s="491">
        <f>'20'!$G$144</f>
        <v>0</v>
      </c>
    </row>
    <row r="137" spans="3:27" hidden="1">
      <c r="C137" s="510">
        <v>45678</v>
      </c>
      <c r="D137" s="496">
        <f t="shared" si="6"/>
        <v>0.79700000000000004</v>
      </c>
      <c r="E137" s="486">
        <f>'21'!$H$140</f>
        <v>0</v>
      </c>
      <c r="F137" s="487">
        <f t="shared" si="7"/>
        <v>6.3E-2</v>
      </c>
      <c r="G137" s="486">
        <f>'21'!$C$140</f>
        <v>0</v>
      </c>
      <c r="H137" s="487">
        <f t="shared" si="8"/>
        <v>0.11799999999999999</v>
      </c>
      <c r="I137" s="486">
        <f>'21'!$F$140</f>
        <v>0</v>
      </c>
      <c r="J137" s="487">
        <f t="shared" si="9"/>
        <v>5.2999999999999999E-2</v>
      </c>
      <c r="K137" s="499">
        <f>'21'!$G$140</f>
        <v>0</v>
      </c>
      <c r="L137" s="501">
        <f t="shared" si="10"/>
        <v>0.64500000000000002</v>
      </c>
      <c r="M137" s="486">
        <f>'21'!$H$142</f>
        <v>0</v>
      </c>
      <c r="N137" s="487">
        <f t="shared" si="11"/>
        <v>6.4000000000000001E-2</v>
      </c>
      <c r="O137" s="486">
        <f>'21'!$C$142</f>
        <v>0</v>
      </c>
      <c r="P137" s="487">
        <f t="shared" si="12"/>
        <v>0.21299999999999999</v>
      </c>
      <c r="Q137" s="486">
        <f>'21'!$F$142</f>
        <v>0</v>
      </c>
      <c r="R137" s="487">
        <f t="shared" si="13"/>
        <v>0.126</v>
      </c>
      <c r="S137" s="491">
        <f>'21'!$G$142</f>
        <v>0</v>
      </c>
      <c r="T137" s="501">
        <f t="shared" si="14"/>
        <v>0.90600000000000003</v>
      </c>
      <c r="U137" s="486">
        <f>'21'!$H$144</f>
        <v>0</v>
      </c>
      <c r="V137" s="487">
        <f t="shared" si="15"/>
        <v>6.5000000000000002E-2</v>
      </c>
      <c r="W137" s="486">
        <f>'21'!$C$144</f>
        <v>0</v>
      </c>
      <c r="X137" s="487">
        <f t="shared" si="16"/>
        <v>4.7E-2</v>
      </c>
      <c r="Y137" s="486">
        <f>'21'!$F$144</f>
        <v>0</v>
      </c>
      <c r="Z137" s="487">
        <f t="shared" si="17"/>
        <v>0</v>
      </c>
      <c r="AA137" s="491">
        <f>'21'!$G$144</f>
        <v>0</v>
      </c>
    </row>
    <row r="138" spans="3:27" hidden="1">
      <c r="C138" s="510">
        <v>45679</v>
      </c>
      <c r="D138" s="496">
        <f t="shared" si="6"/>
        <v>0.79700000000000004</v>
      </c>
      <c r="E138" s="486">
        <f>'22'!$H$140</f>
        <v>0</v>
      </c>
      <c r="F138" s="487">
        <f t="shared" si="7"/>
        <v>6.3E-2</v>
      </c>
      <c r="G138" s="486">
        <f>'22'!$C$140</f>
        <v>0</v>
      </c>
      <c r="H138" s="487">
        <f t="shared" si="8"/>
        <v>0.11799999999999999</v>
      </c>
      <c r="I138" s="486">
        <f>'22'!$F$140</f>
        <v>0</v>
      </c>
      <c r="J138" s="487">
        <f t="shared" si="9"/>
        <v>5.2999999999999999E-2</v>
      </c>
      <c r="K138" s="499">
        <f>'22'!$G$140</f>
        <v>0</v>
      </c>
      <c r="L138" s="501">
        <f t="shared" si="10"/>
        <v>0.64500000000000002</v>
      </c>
      <c r="M138" s="486">
        <f>'22'!$H$142</f>
        <v>0</v>
      </c>
      <c r="N138" s="487">
        <f t="shared" si="11"/>
        <v>6.4000000000000001E-2</v>
      </c>
      <c r="O138" s="486">
        <f>'22'!$C$142</f>
        <v>0</v>
      </c>
      <c r="P138" s="487">
        <f t="shared" si="12"/>
        <v>0.21299999999999999</v>
      </c>
      <c r="Q138" s="486">
        <f>'22'!$F$142</f>
        <v>0</v>
      </c>
      <c r="R138" s="487">
        <f t="shared" si="13"/>
        <v>0.126</v>
      </c>
      <c r="S138" s="491">
        <f>'22'!$G$142</f>
        <v>0</v>
      </c>
      <c r="T138" s="501">
        <f t="shared" si="14"/>
        <v>0.90600000000000003</v>
      </c>
      <c r="U138" s="486">
        <f>'22'!$H$144</f>
        <v>0</v>
      </c>
      <c r="V138" s="487">
        <f t="shared" si="15"/>
        <v>6.5000000000000002E-2</v>
      </c>
      <c r="W138" s="486">
        <f>'22'!$C$144</f>
        <v>0</v>
      </c>
      <c r="X138" s="487">
        <f t="shared" si="16"/>
        <v>4.7E-2</v>
      </c>
      <c r="Y138" s="486">
        <f>'22'!$F$144</f>
        <v>0</v>
      </c>
      <c r="Z138" s="487">
        <f t="shared" si="17"/>
        <v>0</v>
      </c>
      <c r="AA138" s="491">
        <f>'22'!$G$144</f>
        <v>0</v>
      </c>
    </row>
    <row r="139" spans="3:27" hidden="1">
      <c r="C139" s="510">
        <v>45680</v>
      </c>
      <c r="D139" s="496">
        <f t="shared" si="6"/>
        <v>0.79700000000000004</v>
      </c>
      <c r="E139" s="486">
        <f>'23'!$H$140</f>
        <v>0</v>
      </c>
      <c r="F139" s="487">
        <f t="shared" si="7"/>
        <v>6.3E-2</v>
      </c>
      <c r="G139" s="486">
        <f>'23'!$C$140</f>
        <v>0</v>
      </c>
      <c r="H139" s="487">
        <f t="shared" si="8"/>
        <v>0.11799999999999999</v>
      </c>
      <c r="I139" s="486">
        <f>'23'!$F$140</f>
        <v>0</v>
      </c>
      <c r="J139" s="487">
        <f t="shared" si="9"/>
        <v>5.2999999999999999E-2</v>
      </c>
      <c r="K139" s="499">
        <f>'23'!$G$140</f>
        <v>0</v>
      </c>
      <c r="L139" s="501">
        <f t="shared" si="10"/>
        <v>0.64500000000000002</v>
      </c>
      <c r="M139" s="486">
        <f>'23'!$H$142</f>
        <v>0</v>
      </c>
      <c r="N139" s="487">
        <f t="shared" si="11"/>
        <v>6.4000000000000001E-2</v>
      </c>
      <c r="O139" s="486">
        <f>'23'!$C$142</f>
        <v>0</v>
      </c>
      <c r="P139" s="487">
        <f t="shared" si="12"/>
        <v>0.21299999999999999</v>
      </c>
      <c r="Q139" s="486">
        <f>'23'!$F$142</f>
        <v>0</v>
      </c>
      <c r="R139" s="487">
        <f t="shared" si="13"/>
        <v>0.126</v>
      </c>
      <c r="S139" s="491">
        <f>'23'!$G$142</f>
        <v>0</v>
      </c>
      <c r="T139" s="501">
        <f t="shared" si="14"/>
        <v>0.90600000000000003</v>
      </c>
      <c r="U139" s="486">
        <f>'23'!$H$144</f>
        <v>0</v>
      </c>
      <c r="V139" s="487">
        <f t="shared" si="15"/>
        <v>6.5000000000000002E-2</v>
      </c>
      <c r="W139" s="486">
        <f>'23'!$C$144</f>
        <v>0</v>
      </c>
      <c r="X139" s="487">
        <f t="shared" si="16"/>
        <v>4.7E-2</v>
      </c>
      <c r="Y139" s="486">
        <f>'23'!$F$144</f>
        <v>0</v>
      </c>
      <c r="Z139" s="487">
        <f t="shared" si="17"/>
        <v>0</v>
      </c>
      <c r="AA139" s="491">
        <f>'23'!$G$144</f>
        <v>0</v>
      </c>
    </row>
    <row r="140" spans="3:27" hidden="1">
      <c r="C140" s="510">
        <v>45681</v>
      </c>
      <c r="D140" s="496">
        <f t="shared" si="6"/>
        <v>0.79700000000000004</v>
      </c>
      <c r="E140" s="486">
        <f>'24'!$H$140</f>
        <v>0</v>
      </c>
      <c r="F140" s="487">
        <f t="shared" si="7"/>
        <v>6.3E-2</v>
      </c>
      <c r="G140" s="486">
        <f>'24'!$C$140</f>
        <v>0</v>
      </c>
      <c r="H140" s="487">
        <f t="shared" si="8"/>
        <v>0.11799999999999999</v>
      </c>
      <c r="I140" s="486">
        <f>'24'!$F$140</f>
        <v>0</v>
      </c>
      <c r="J140" s="487">
        <f t="shared" si="9"/>
        <v>5.2999999999999999E-2</v>
      </c>
      <c r="K140" s="499">
        <f>'24'!$G$140</f>
        <v>0</v>
      </c>
      <c r="L140" s="501">
        <f t="shared" si="10"/>
        <v>0.64500000000000002</v>
      </c>
      <c r="M140" s="486">
        <f>'24'!$H$142</f>
        <v>0</v>
      </c>
      <c r="N140" s="487">
        <f t="shared" si="11"/>
        <v>6.4000000000000001E-2</v>
      </c>
      <c r="O140" s="486">
        <f>'24'!$C$142</f>
        <v>0</v>
      </c>
      <c r="P140" s="487">
        <f t="shared" si="12"/>
        <v>0.21299999999999999</v>
      </c>
      <c r="Q140" s="486">
        <f>'24'!$F$142</f>
        <v>0</v>
      </c>
      <c r="R140" s="487">
        <f t="shared" si="13"/>
        <v>0.126</v>
      </c>
      <c r="S140" s="491">
        <f>'24'!$G$142</f>
        <v>0</v>
      </c>
      <c r="T140" s="501">
        <f t="shared" si="14"/>
        <v>0.90600000000000003</v>
      </c>
      <c r="U140" s="486">
        <f>'24'!$H$144</f>
        <v>0</v>
      </c>
      <c r="V140" s="487">
        <f t="shared" si="15"/>
        <v>6.5000000000000002E-2</v>
      </c>
      <c r="W140" s="486">
        <f>'24'!$C$144</f>
        <v>0</v>
      </c>
      <c r="X140" s="487">
        <f t="shared" si="16"/>
        <v>4.7E-2</v>
      </c>
      <c r="Y140" s="486">
        <f>'24'!$F$144</f>
        <v>0</v>
      </c>
      <c r="Z140" s="487">
        <f t="shared" si="17"/>
        <v>0</v>
      </c>
      <c r="AA140" s="491">
        <f>'24'!$G$144</f>
        <v>0</v>
      </c>
    </row>
    <row r="141" spans="3:27" hidden="1">
      <c r="C141" s="510">
        <v>45682</v>
      </c>
      <c r="D141" s="496">
        <f t="shared" si="6"/>
        <v>0.79700000000000004</v>
      </c>
      <c r="E141" s="486">
        <f>'25'!$H$140</f>
        <v>0</v>
      </c>
      <c r="F141" s="487">
        <f t="shared" si="7"/>
        <v>6.3E-2</v>
      </c>
      <c r="G141" s="486">
        <f>'25'!$C$140</f>
        <v>0</v>
      </c>
      <c r="H141" s="487">
        <f t="shared" si="8"/>
        <v>0.11799999999999999</v>
      </c>
      <c r="I141" s="486">
        <f>'25'!$F$140</f>
        <v>0</v>
      </c>
      <c r="J141" s="487">
        <f t="shared" si="9"/>
        <v>5.2999999999999999E-2</v>
      </c>
      <c r="K141" s="499">
        <f>'25'!$G$140</f>
        <v>0</v>
      </c>
      <c r="L141" s="501">
        <f t="shared" si="10"/>
        <v>0.64500000000000002</v>
      </c>
      <c r="M141" s="486">
        <f>'25'!$H$142</f>
        <v>0</v>
      </c>
      <c r="N141" s="487">
        <f t="shared" si="11"/>
        <v>6.4000000000000001E-2</v>
      </c>
      <c r="O141" s="486">
        <f>'25'!$C$142</f>
        <v>0</v>
      </c>
      <c r="P141" s="487">
        <f t="shared" si="12"/>
        <v>0.21299999999999999</v>
      </c>
      <c r="Q141" s="486">
        <f>'25'!$F$142</f>
        <v>0</v>
      </c>
      <c r="R141" s="487">
        <f t="shared" si="13"/>
        <v>0.126</v>
      </c>
      <c r="S141" s="491">
        <f>'25'!$G$142</f>
        <v>0</v>
      </c>
      <c r="T141" s="501">
        <f t="shared" si="14"/>
        <v>0.90600000000000003</v>
      </c>
      <c r="U141" s="486">
        <f>'25'!$H$144</f>
        <v>0</v>
      </c>
      <c r="V141" s="487">
        <f t="shared" si="15"/>
        <v>6.5000000000000002E-2</v>
      </c>
      <c r="W141" s="486">
        <f>'25'!$C$144</f>
        <v>0</v>
      </c>
      <c r="X141" s="487">
        <f t="shared" si="16"/>
        <v>4.7E-2</v>
      </c>
      <c r="Y141" s="486">
        <f>'25'!$F$144</f>
        <v>0</v>
      </c>
      <c r="Z141" s="487">
        <f t="shared" si="17"/>
        <v>0</v>
      </c>
      <c r="AA141" s="491">
        <f>'25'!$G$144</f>
        <v>0</v>
      </c>
    </row>
    <row r="142" spans="3:27" hidden="1">
      <c r="C142" s="510">
        <v>45683</v>
      </c>
      <c r="D142" s="496">
        <f t="shared" si="6"/>
        <v>0.79700000000000004</v>
      </c>
      <c r="E142" s="486">
        <f>'26'!$H$140</f>
        <v>0</v>
      </c>
      <c r="F142" s="487">
        <f t="shared" si="7"/>
        <v>6.3E-2</v>
      </c>
      <c r="G142" s="486">
        <f>'26'!$C$140</f>
        <v>0</v>
      </c>
      <c r="H142" s="487">
        <f t="shared" si="8"/>
        <v>0.11799999999999999</v>
      </c>
      <c r="I142" s="486">
        <f>'26'!$F$140</f>
        <v>0</v>
      </c>
      <c r="J142" s="487">
        <f t="shared" si="9"/>
        <v>5.2999999999999999E-2</v>
      </c>
      <c r="K142" s="499">
        <f>'26'!$G$140</f>
        <v>0</v>
      </c>
      <c r="L142" s="501">
        <f t="shared" si="10"/>
        <v>0.64500000000000002</v>
      </c>
      <c r="M142" s="486">
        <f>'26'!$H$142</f>
        <v>0</v>
      </c>
      <c r="N142" s="487">
        <f t="shared" si="11"/>
        <v>6.4000000000000001E-2</v>
      </c>
      <c r="O142" s="486">
        <f>'26'!$C$142</f>
        <v>0</v>
      </c>
      <c r="P142" s="487">
        <f t="shared" si="12"/>
        <v>0.21299999999999999</v>
      </c>
      <c r="Q142" s="486">
        <f>'26'!$F$142</f>
        <v>0</v>
      </c>
      <c r="R142" s="487">
        <f t="shared" si="13"/>
        <v>0.126</v>
      </c>
      <c r="S142" s="491">
        <f>'26'!$G$142</f>
        <v>0</v>
      </c>
      <c r="T142" s="501">
        <f t="shared" si="14"/>
        <v>0.90600000000000003</v>
      </c>
      <c r="U142" s="486">
        <f>'26'!$H$144</f>
        <v>0</v>
      </c>
      <c r="V142" s="487">
        <f t="shared" si="15"/>
        <v>6.5000000000000002E-2</v>
      </c>
      <c r="W142" s="486">
        <f>'26'!$C$144</f>
        <v>0</v>
      </c>
      <c r="X142" s="487">
        <f t="shared" si="16"/>
        <v>4.7E-2</v>
      </c>
      <c r="Y142" s="486">
        <f>'26'!$F$144</f>
        <v>0</v>
      </c>
      <c r="Z142" s="487">
        <f t="shared" si="17"/>
        <v>0</v>
      </c>
      <c r="AA142" s="491">
        <f>'26'!$G$144</f>
        <v>0</v>
      </c>
    </row>
    <row r="143" spans="3:27" hidden="1">
      <c r="C143" s="510">
        <v>45684</v>
      </c>
      <c r="D143" s="496">
        <f t="shared" si="6"/>
        <v>0.79700000000000004</v>
      </c>
      <c r="E143" s="486">
        <f>'27'!$H$140</f>
        <v>0</v>
      </c>
      <c r="F143" s="487">
        <f t="shared" si="7"/>
        <v>6.3E-2</v>
      </c>
      <c r="G143" s="486">
        <f>'27'!$C$140</f>
        <v>0</v>
      </c>
      <c r="H143" s="487">
        <f t="shared" si="8"/>
        <v>0.11799999999999999</v>
      </c>
      <c r="I143" s="486">
        <f>'27'!$F$140</f>
        <v>0</v>
      </c>
      <c r="J143" s="487">
        <f t="shared" si="9"/>
        <v>5.2999999999999999E-2</v>
      </c>
      <c r="K143" s="499">
        <f>'27'!$G$140</f>
        <v>0</v>
      </c>
      <c r="L143" s="501">
        <f t="shared" si="10"/>
        <v>0.64500000000000002</v>
      </c>
      <c r="M143" s="486">
        <f>'27'!$H$142</f>
        <v>0</v>
      </c>
      <c r="N143" s="487">
        <f t="shared" si="11"/>
        <v>6.4000000000000001E-2</v>
      </c>
      <c r="O143" s="486">
        <f>'27'!$C$142</f>
        <v>0</v>
      </c>
      <c r="P143" s="487">
        <f t="shared" si="12"/>
        <v>0.21299999999999999</v>
      </c>
      <c r="Q143" s="486">
        <f>'27'!$F$142</f>
        <v>0</v>
      </c>
      <c r="R143" s="487">
        <f t="shared" si="13"/>
        <v>0.126</v>
      </c>
      <c r="S143" s="491">
        <f>'27'!$G$142</f>
        <v>0</v>
      </c>
      <c r="T143" s="501">
        <f t="shared" si="14"/>
        <v>0.90600000000000003</v>
      </c>
      <c r="U143" s="486">
        <f>'27'!$H$144</f>
        <v>0</v>
      </c>
      <c r="V143" s="487">
        <f t="shared" si="15"/>
        <v>6.5000000000000002E-2</v>
      </c>
      <c r="W143" s="486">
        <f>'27'!$C$144</f>
        <v>0</v>
      </c>
      <c r="X143" s="487">
        <f t="shared" si="16"/>
        <v>4.7E-2</v>
      </c>
      <c r="Y143" s="486">
        <f>'27'!$F$144</f>
        <v>0</v>
      </c>
      <c r="Z143" s="487">
        <f t="shared" si="17"/>
        <v>0</v>
      </c>
      <c r="AA143" s="491">
        <f>'27'!$G$144</f>
        <v>0</v>
      </c>
    </row>
    <row r="144" spans="3:27" hidden="1">
      <c r="C144" s="510">
        <v>45685</v>
      </c>
      <c r="D144" s="496">
        <f t="shared" si="6"/>
        <v>0.79700000000000004</v>
      </c>
      <c r="E144" s="486">
        <f>'28'!$H$140</f>
        <v>0</v>
      </c>
      <c r="F144" s="487">
        <f t="shared" si="7"/>
        <v>6.3E-2</v>
      </c>
      <c r="G144" s="486">
        <f>'28'!$C$140</f>
        <v>0</v>
      </c>
      <c r="H144" s="487">
        <f t="shared" si="8"/>
        <v>0.11799999999999999</v>
      </c>
      <c r="I144" s="486">
        <f>'28'!$F$140</f>
        <v>0</v>
      </c>
      <c r="J144" s="487">
        <f t="shared" si="9"/>
        <v>5.2999999999999999E-2</v>
      </c>
      <c r="K144" s="499">
        <f>'28'!$G$140</f>
        <v>0</v>
      </c>
      <c r="L144" s="501">
        <f t="shared" si="10"/>
        <v>0.64500000000000002</v>
      </c>
      <c r="M144" s="486">
        <f>'28'!$H$142</f>
        <v>0</v>
      </c>
      <c r="N144" s="487">
        <f t="shared" si="11"/>
        <v>6.4000000000000001E-2</v>
      </c>
      <c r="O144" s="486">
        <f>'28'!$C$142</f>
        <v>0</v>
      </c>
      <c r="P144" s="487">
        <f t="shared" si="12"/>
        <v>0.21299999999999999</v>
      </c>
      <c r="Q144" s="486">
        <f>'28'!$F$142</f>
        <v>0</v>
      </c>
      <c r="R144" s="487">
        <f t="shared" si="13"/>
        <v>0.126</v>
      </c>
      <c r="S144" s="491">
        <f>'28'!$G$142</f>
        <v>0</v>
      </c>
      <c r="T144" s="501">
        <f t="shared" si="14"/>
        <v>0.90600000000000003</v>
      </c>
      <c r="U144" s="486">
        <f>'28'!$H$144</f>
        <v>0</v>
      </c>
      <c r="V144" s="487">
        <f t="shared" si="15"/>
        <v>6.5000000000000002E-2</v>
      </c>
      <c r="W144" s="486">
        <f>'28'!$C$144</f>
        <v>0</v>
      </c>
      <c r="X144" s="487">
        <f t="shared" si="16"/>
        <v>4.7E-2</v>
      </c>
      <c r="Y144" s="486">
        <f>'28'!$F$144</f>
        <v>0</v>
      </c>
      <c r="Z144" s="487">
        <f t="shared" si="17"/>
        <v>0</v>
      </c>
      <c r="AA144" s="491">
        <f>'28'!$G$144</f>
        <v>0</v>
      </c>
    </row>
    <row r="145" spans="3:27" hidden="1">
      <c r="C145" s="510">
        <v>45686</v>
      </c>
      <c r="D145" s="496">
        <f t="shared" si="6"/>
        <v>0.79700000000000004</v>
      </c>
      <c r="E145" s="486">
        <f>'29'!$H$140</f>
        <v>0</v>
      </c>
      <c r="F145" s="487">
        <f t="shared" si="7"/>
        <v>6.3E-2</v>
      </c>
      <c r="G145" s="486">
        <f>'29'!$C$140</f>
        <v>0</v>
      </c>
      <c r="H145" s="487">
        <f t="shared" si="8"/>
        <v>0.11799999999999999</v>
      </c>
      <c r="I145" s="486">
        <f>'29'!$F$140</f>
        <v>0</v>
      </c>
      <c r="J145" s="487">
        <f t="shared" si="9"/>
        <v>5.2999999999999999E-2</v>
      </c>
      <c r="K145" s="499">
        <f>'29'!$G$140</f>
        <v>0</v>
      </c>
      <c r="L145" s="501">
        <f t="shared" si="10"/>
        <v>0.64500000000000002</v>
      </c>
      <c r="M145" s="486">
        <f>'29'!$H$142</f>
        <v>0</v>
      </c>
      <c r="N145" s="487">
        <f t="shared" si="11"/>
        <v>6.4000000000000001E-2</v>
      </c>
      <c r="O145" s="486">
        <f>'29'!$C$142</f>
        <v>0</v>
      </c>
      <c r="P145" s="487">
        <f t="shared" si="12"/>
        <v>0.21299999999999999</v>
      </c>
      <c r="Q145" s="486">
        <f>'29'!$F$142</f>
        <v>0</v>
      </c>
      <c r="R145" s="487">
        <f t="shared" si="13"/>
        <v>0.126</v>
      </c>
      <c r="S145" s="491">
        <f>'29'!$G$142</f>
        <v>0</v>
      </c>
      <c r="T145" s="501">
        <f t="shared" si="14"/>
        <v>0.90600000000000003</v>
      </c>
      <c r="U145" s="486">
        <f>'29'!$H$144</f>
        <v>0</v>
      </c>
      <c r="V145" s="487">
        <f t="shared" si="15"/>
        <v>6.5000000000000002E-2</v>
      </c>
      <c r="W145" s="486">
        <f>'29'!$C$144</f>
        <v>0</v>
      </c>
      <c r="X145" s="487">
        <f t="shared" si="16"/>
        <v>4.7E-2</v>
      </c>
      <c r="Y145" s="486">
        <f>'29'!$F$144</f>
        <v>0</v>
      </c>
      <c r="Z145" s="487">
        <f t="shared" si="17"/>
        <v>0</v>
      </c>
      <c r="AA145" s="491">
        <f>'29'!$G$144</f>
        <v>0</v>
      </c>
    </row>
    <row r="146" spans="3:27" hidden="1">
      <c r="C146" s="510">
        <v>45687</v>
      </c>
      <c r="D146" s="496">
        <f t="shared" si="6"/>
        <v>0.79700000000000004</v>
      </c>
      <c r="E146" s="486">
        <f>'30'!$H$140</f>
        <v>0</v>
      </c>
      <c r="F146" s="487">
        <f t="shared" si="7"/>
        <v>6.3E-2</v>
      </c>
      <c r="G146" s="486">
        <f>'30'!$C$140</f>
        <v>0</v>
      </c>
      <c r="H146" s="487">
        <f t="shared" si="8"/>
        <v>0.11799999999999999</v>
      </c>
      <c r="I146" s="486">
        <f>'30'!$F$140</f>
        <v>0</v>
      </c>
      <c r="J146" s="487">
        <f t="shared" si="9"/>
        <v>5.2999999999999999E-2</v>
      </c>
      <c r="K146" s="499">
        <f>'30'!$G$140</f>
        <v>0</v>
      </c>
      <c r="L146" s="501">
        <f t="shared" si="10"/>
        <v>0.64500000000000002</v>
      </c>
      <c r="M146" s="486">
        <f>'30'!$H$142</f>
        <v>0</v>
      </c>
      <c r="N146" s="487">
        <f t="shared" si="11"/>
        <v>6.4000000000000001E-2</v>
      </c>
      <c r="O146" s="486">
        <f>'30'!$C$142</f>
        <v>0</v>
      </c>
      <c r="P146" s="487">
        <f t="shared" si="12"/>
        <v>0.21299999999999999</v>
      </c>
      <c r="Q146" s="486">
        <f>'30'!$F$142</f>
        <v>0</v>
      </c>
      <c r="R146" s="487">
        <f t="shared" si="13"/>
        <v>0.126</v>
      </c>
      <c r="S146" s="491">
        <f>'30'!$G$142</f>
        <v>0</v>
      </c>
      <c r="T146" s="501">
        <f t="shared" si="14"/>
        <v>0.90600000000000003</v>
      </c>
      <c r="U146" s="486">
        <f>'30'!$H$144</f>
        <v>0</v>
      </c>
      <c r="V146" s="487">
        <f t="shared" si="15"/>
        <v>6.5000000000000002E-2</v>
      </c>
      <c r="W146" s="486">
        <f>'30'!$C$144</f>
        <v>0</v>
      </c>
      <c r="X146" s="487">
        <f t="shared" si="16"/>
        <v>4.7E-2</v>
      </c>
      <c r="Y146" s="486">
        <f>'30'!$F$144</f>
        <v>0</v>
      </c>
      <c r="Z146" s="487">
        <f t="shared" si="17"/>
        <v>0</v>
      </c>
      <c r="AA146" s="491">
        <f>'30'!$G$144</f>
        <v>0</v>
      </c>
    </row>
    <row r="147" spans="3:27" ht="15.75" hidden="1" thickBot="1">
      <c r="C147" s="510">
        <v>45688</v>
      </c>
      <c r="D147" s="497">
        <f t="shared" si="6"/>
        <v>0.79700000000000004</v>
      </c>
      <c r="E147" s="492">
        <f>'31'!$H$140</f>
        <v>0</v>
      </c>
      <c r="F147" s="493">
        <f t="shared" si="7"/>
        <v>6.3E-2</v>
      </c>
      <c r="G147" s="492">
        <f>'31'!$C$140</f>
        <v>0</v>
      </c>
      <c r="H147" s="493">
        <f t="shared" si="8"/>
        <v>0.11799999999999999</v>
      </c>
      <c r="I147" s="492">
        <f>'31'!$F$140</f>
        <v>0</v>
      </c>
      <c r="J147" s="493">
        <f t="shared" si="9"/>
        <v>5.2999999999999999E-2</v>
      </c>
      <c r="K147" s="500">
        <f>'31'!$G$140</f>
        <v>0</v>
      </c>
      <c r="L147" s="502">
        <f t="shared" si="10"/>
        <v>0.64500000000000002</v>
      </c>
      <c r="M147" s="492">
        <f>'31'!$H$142</f>
        <v>0</v>
      </c>
      <c r="N147" s="493">
        <f t="shared" si="11"/>
        <v>6.4000000000000001E-2</v>
      </c>
      <c r="O147" s="492">
        <f>'31'!$C$142</f>
        <v>0</v>
      </c>
      <c r="P147" s="493">
        <f t="shared" si="12"/>
        <v>0.21299999999999999</v>
      </c>
      <c r="Q147" s="492">
        <f>'31'!$F$142</f>
        <v>0</v>
      </c>
      <c r="R147" s="493">
        <f t="shared" si="13"/>
        <v>0.126</v>
      </c>
      <c r="S147" s="494">
        <f>'31'!$G$142</f>
        <v>0</v>
      </c>
      <c r="T147" s="502">
        <f t="shared" si="14"/>
        <v>0.90600000000000003</v>
      </c>
      <c r="U147" s="492">
        <f>'31'!$H$144</f>
        <v>0</v>
      </c>
      <c r="V147" s="493">
        <f t="shared" si="15"/>
        <v>6.5000000000000002E-2</v>
      </c>
      <c r="W147" s="492">
        <f>'31'!$C$144</f>
        <v>0</v>
      </c>
      <c r="X147" s="493">
        <f t="shared" si="16"/>
        <v>4.7E-2</v>
      </c>
      <c r="Y147" s="492">
        <f>'31'!$F$144</f>
        <v>0</v>
      </c>
      <c r="Z147" s="493">
        <f t="shared" si="17"/>
        <v>0</v>
      </c>
      <c r="AA147" s="494">
        <f>'31'!$G$144</f>
        <v>0</v>
      </c>
    </row>
  </sheetData>
  <autoFilter ref="E116:E147" xr:uid="{00000000-0009-0000-0000-000021000000}">
    <filterColumn colId="0">
      <filters>
        <filter val="76,8%"/>
        <filter val="83,1%"/>
        <filter val="84,2%"/>
        <filter val="84,4%"/>
        <filter val="85,2%"/>
        <filter val="85,3%"/>
        <filter val="85,4%"/>
        <filter val="85,9%"/>
      </filters>
    </filterColumn>
  </autoFilter>
  <mergeCells count="25">
    <mergeCell ref="D115:E115"/>
    <mergeCell ref="F115:G115"/>
    <mergeCell ref="H115:I115"/>
    <mergeCell ref="J115:K115"/>
    <mergeCell ref="D114:K114"/>
    <mergeCell ref="L115:M115"/>
    <mergeCell ref="N115:O115"/>
    <mergeCell ref="P115:Q115"/>
    <mergeCell ref="R115:S115"/>
    <mergeCell ref="BM1:BS1"/>
    <mergeCell ref="AK1:AQ1"/>
    <mergeCell ref="L114:S114"/>
    <mergeCell ref="T115:U115"/>
    <mergeCell ref="V115:W115"/>
    <mergeCell ref="X115:Y115"/>
    <mergeCell ref="AR1:AX1"/>
    <mergeCell ref="AY1:BE1"/>
    <mergeCell ref="BF1:BL1"/>
    <mergeCell ref="Z115:AA115"/>
    <mergeCell ref="T114:AA114"/>
    <mergeCell ref="A1:H1"/>
    <mergeCell ref="I1:O1"/>
    <mergeCell ref="P1:V1"/>
    <mergeCell ref="W1:AC1"/>
    <mergeCell ref="AD1:AJ1"/>
  </mergeCells>
  <pageMargins left="0.7" right="0.7" top="0.75" bottom="0.75" header="0.3" footer="0.3"/>
  <pageSetup paperSize="9" scale="10" orientation="landscape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filterMode="1"/>
  <dimension ref="B2:H37"/>
  <sheetViews>
    <sheetView zoomScaleNormal="100" workbookViewId="0">
      <selection activeCell="P1" sqref="P1:V2"/>
    </sheetView>
  </sheetViews>
  <sheetFormatPr defaultRowHeight="15"/>
  <cols>
    <col min="2" max="2" width="10.7109375" customWidth="1"/>
  </cols>
  <sheetData>
    <row r="2" spans="2:8" ht="30.75" customHeight="1">
      <c r="B2" s="570" t="s">
        <v>95</v>
      </c>
      <c r="C2" s="1445" t="s">
        <v>50</v>
      </c>
      <c r="D2" s="1445"/>
      <c r="E2" s="1445"/>
      <c r="F2" s="1445"/>
      <c r="G2" s="1445"/>
      <c r="H2" s="1445"/>
    </row>
    <row r="3" spans="2:8" ht="15.75" customHeight="1">
      <c r="B3" s="511" t="s">
        <v>152</v>
      </c>
      <c r="C3" s="1443" t="s">
        <v>99</v>
      </c>
      <c r="D3" s="1443"/>
      <c r="E3" s="1443" t="s">
        <v>42</v>
      </c>
      <c r="F3" s="1443"/>
      <c r="G3" s="1444" t="s">
        <v>59</v>
      </c>
      <c r="H3" s="1444"/>
    </row>
    <row r="4" spans="2:8" ht="15.75">
      <c r="B4" s="511" t="s">
        <v>150</v>
      </c>
      <c r="C4" s="569" t="s">
        <v>151</v>
      </c>
      <c r="D4" s="569" t="s">
        <v>133</v>
      </c>
      <c r="E4" s="569" t="s">
        <v>151</v>
      </c>
      <c r="F4" s="569" t="s">
        <v>133</v>
      </c>
      <c r="G4" s="569" t="s">
        <v>151</v>
      </c>
      <c r="H4" s="569" t="s">
        <v>133</v>
      </c>
    </row>
    <row r="5" spans="2:8" hidden="1">
      <c r="B5" s="571">
        <v>45658</v>
      </c>
      <c r="C5" s="487">
        <v>0</v>
      </c>
      <c r="D5" s="486">
        <f>IFERROR(('ввод добавок'!AR3)/('ввод добавок'!AX3),0)</f>
        <v>0</v>
      </c>
      <c r="E5" s="487">
        <v>0</v>
      </c>
      <c r="F5" s="486">
        <f>IFERROR(('ввод добавок'!AS3)/('ввод добавок'!AX3),0)</f>
        <v>0</v>
      </c>
      <c r="G5" s="487">
        <v>0</v>
      </c>
      <c r="H5" s="486">
        <f>IFERROR(('ввод добавок'!AW3)/('ввод добавок'!AX3),0)</f>
        <v>0</v>
      </c>
    </row>
    <row r="6" spans="2:8" hidden="1">
      <c r="B6" s="571">
        <f>B5+1</f>
        <v>45659</v>
      </c>
      <c r="C6" s="487">
        <f>$C$5</f>
        <v>0</v>
      </c>
      <c r="D6" s="486">
        <f>IFERROR(('ввод добавок'!AR4)/('ввод добавок'!AX4),0)</f>
        <v>0.93620046982794358</v>
      </c>
      <c r="E6" s="487">
        <f>$E$5</f>
        <v>0</v>
      </c>
      <c r="F6" s="486">
        <f>IFERROR(('ввод добавок'!AS4)/('ввод добавок'!AX4),0)</f>
        <v>7.47995301720564E-2</v>
      </c>
      <c r="G6" s="487">
        <f>$G$5</f>
        <v>0</v>
      </c>
      <c r="H6" s="486">
        <f>IFERROR(('ввод добавок'!AW4)/('ввод добавок'!AX4),0)</f>
        <v>0</v>
      </c>
    </row>
    <row r="7" spans="2:8" hidden="1">
      <c r="B7" s="571">
        <f t="shared" ref="B7:B35" si="0">B6+1</f>
        <v>45660</v>
      </c>
      <c r="C7" s="487">
        <f t="shared" ref="C7:C35" si="1">$C$5</f>
        <v>0</v>
      </c>
      <c r="D7" s="486">
        <f>IFERROR(('ввод добавок'!AR5)/('ввод добавок'!AX5),0)</f>
        <v>0</v>
      </c>
      <c r="E7" s="487">
        <f t="shared" ref="E7:E35" si="2">$E$5</f>
        <v>0</v>
      </c>
      <c r="F7" s="486">
        <f>IFERROR(('ввод добавок'!AS5)/('ввод добавок'!AX5),0)</f>
        <v>0</v>
      </c>
      <c r="G7" s="487">
        <f t="shared" ref="G7:G35" si="3">$G$5</f>
        <v>0</v>
      </c>
      <c r="H7" s="486">
        <f>IFERROR(('ввод добавок'!AW5)/('ввод добавок'!AX5),0)</f>
        <v>0</v>
      </c>
    </row>
    <row r="8" spans="2:8">
      <c r="B8" s="571">
        <f t="shared" si="0"/>
        <v>45661</v>
      </c>
      <c r="C8" s="487">
        <f t="shared" si="1"/>
        <v>0</v>
      </c>
      <c r="D8" s="486">
        <f>IFERROR(('ввод добавок'!AR6)/('ввод добавок'!AX6),0)</f>
        <v>0</v>
      </c>
      <c r="E8" s="487">
        <f t="shared" si="2"/>
        <v>0</v>
      </c>
      <c r="F8" s="486">
        <f>IFERROR(('ввод добавок'!AS6)/('ввод добавок'!AX6),0)</f>
        <v>0</v>
      </c>
      <c r="G8" s="487">
        <f t="shared" si="3"/>
        <v>0</v>
      </c>
      <c r="H8" s="486">
        <f>IFERROR(('ввод добавок'!AW6)/('ввод добавок'!AX6),0)</f>
        <v>0</v>
      </c>
    </row>
    <row r="9" spans="2:8">
      <c r="B9" s="571">
        <f t="shared" si="0"/>
        <v>45662</v>
      </c>
      <c r="C9" s="487">
        <f t="shared" si="1"/>
        <v>0</v>
      </c>
      <c r="D9" s="486">
        <f>IFERROR(('ввод добавок'!AR7)/('ввод добавок'!AX7),0)</f>
        <v>0</v>
      </c>
      <c r="E9" s="487">
        <f t="shared" si="2"/>
        <v>0</v>
      </c>
      <c r="F9" s="486">
        <f>IFERROR(('ввод добавок'!AS7)/('ввод добавок'!AX7),0)</f>
        <v>0</v>
      </c>
      <c r="G9" s="487">
        <f t="shared" si="3"/>
        <v>0</v>
      </c>
      <c r="H9" s="486">
        <f>IFERROR(('ввод добавок'!AW7)/('ввод добавок'!AX7),0)</f>
        <v>0</v>
      </c>
    </row>
    <row r="10" spans="2:8" hidden="1">
      <c r="B10" s="571">
        <f t="shared" si="0"/>
        <v>45663</v>
      </c>
      <c r="C10" s="487">
        <f t="shared" si="1"/>
        <v>0</v>
      </c>
      <c r="D10" s="486">
        <f>IFERROR(('ввод добавок'!AR8)/('ввод добавок'!AX8),0)</f>
        <v>0</v>
      </c>
      <c r="E10" s="487">
        <f t="shared" si="2"/>
        <v>0</v>
      </c>
      <c r="F10" s="486">
        <f>IFERROR(('ввод добавок'!AS8)/('ввод добавок'!AX8),0)</f>
        <v>0</v>
      </c>
      <c r="G10" s="487">
        <f t="shared" si="3"/>
        <v>0</v>
      </c>
      <c r="H10" s="486">
        <f>IFERROR(('ввод добавок'!AW8)/('ввод добавок'!AX8),0)</f>
        <v>0</v>
      </c>
    </row>
    <row r="11" spans="2:8" hidden="1">
      <c r="B11" s="571">
        <f t="shared" si="0"/>
        <v>45664</v>
      </c>
      <c r="C11" s="487">
        <f t="shared" si="1"/>
        <v>0</v>
      </c>
      <c r="D11" s="486">
        <f>IFERROR(('ввод добавок'!AR9)/('ввод добавок'!AX9),0)</f>
        <v>0</v>
      </c>
      <c r="E11" s="487">
        <f t="shared" si="2"/>
        <v>0</v>
      </c>
      <c r="F11" s="486">
        <f>IFERROR(('ввод добавок'!AS9)/('ввод добавок'!AX9),0)</f>
        <v>0</v>
      </c>
      <c r="G11" s="487">
        <f t="shared" si="3"/>
        <v>0</v>
      </c>
      <c r="H11" s="486">
        <f>IFERROR(('ввод добавок'!AW9)/('ввод добавок'!AX9),0)</f>
        <v>0</v>
      </c>
    </row>
    <row r="12" spans="2:8" hidden="1">
      <c r="B12" s="571">
        <f t="shared" si="0"/>
        <v>45665</v>
      </c>
      <c r="C12" s="487">
        <f t="shared" si="1"/>
        <v>0</v>
      </c>
      <c r="D12" s="486">
        <f>IFERROR(('ввод добавок'!AR10)/('ввод добавок'!AX10),0)</f>
        <v>0</v>
      </c>
      <c r="E12" s="487">
        <f t="shared" si="2"/>
        <v>0</v>
      </c>
      <c r="F12" s="486">
        <f>IFERROR(('ввод добавок'!AS10)/('ввод добавок'!AX10),0)</f>
        <v>0</v>
      </c>
      <c r="G12" s="487">
        <f t="shared" si="3"/>
        <v>0</v>
      </c>
      <c r="H12" s="486">
        <f>IFERROR(('ввод добавок'!AW10)/('ввод добавок'!AX10),0)</f>
        <v>0</v>
      </c>
    </row>
    <row r="13" spans="2:8" hidden="1">
      <c r="B13" s="571">
        <f t="shared" si="0"/>
        <v>45666</v>
      </c>
      <c r="C13" s="487">
        <f t="shared" si="1"/>
        <v>0</v>
      </c>
      <c r="D13" s="486">
        <f>IFERROR(('ввод добавок'!AR11)/('ввод добавок'!AX11),0)</f>
        <v>0</v>
      </c>
      <c r="E13" s="487">
        <f t="shared" si="2"/>
        <v>0</v>
      </c>
      <c r="F13" s="486">
        <f>IFERROR(('ввод добавок'!AS11)/('ввод добавок'!AX11),0)</f>
        <v>0</v>
      </c>
      <c r="G13" s="487">
        <f t="shared" si="3"/>
        <v>0</v>
      </c>
      <c r="H13" s="486">
        <f>IFERROR(('ввод добавок'!AW11)/('ввод добавок'!AX11),0)</f>
        <v>0</v>
      </c>
    </row>
    <row r="14" spans="2:8" hidden="1">
      <c r="B14" s="571">
        <f t="shared" si="0"/>
        <v>45667</v>
      </c>
      <c r="C14" s="487">
        <f t="shared" si="1"/>
        <v>0</v>
      </c>
      <c r="D14" s="486">
        <f>IFERROR(('ввод добавок'!AR12)/('ввод добавок'!AX12),0)</f>
        <v>0</v>
      </c>
      <c r="E14" s="487">
        <f t="shared" si="2"/>
        <v>0</v>
      </c>
      <c r="F14" s="486">
        <f>IFERROR(('ввод добавок'!AS12)/('ввод добавок'!AX12),0)</f>
        <v>0</v>
      </c>
      <c r="G14" s="487">
        <f t="shared" si="3"/>
        <v>0</v>
      </c>
      <c r="H14" s="486">
        <f>IFERROR(('ввод добавок'!AW12)/('ввод добавок'!AX12),0)</f>
        <v>0</v>
      </c>
    </row>
    <row r="15" spans="2:8" hidden="1">
      <c r="B15" s="571">
        <f t="shared" si="0"/>
        <v>45668</v>
      </c>
      <c r="C15" s="487">
        <f t="shared" si="1"/>
        <v>0</v>
      </c>
      <c r="D15" s="486">
        <f>IFERROR(('ввод добавок'!AR13)/('ввод добавок'!AX13),0)</f>
        <v>0</v>
      </c>
      <c r="E15" s="487">
        <f t="shared" si="2"/>
        <v>0</v>
      </c>
      <c r="F15" s="486">
        <f>IFERROR(('ввод добавок'!AS13)/('ввод добавок'!AX13),0)</f>
        <v>0</v>
      </c>
      <c r="G15" s="487">
        <f t="shared" si="3"/>
        <v>0</v>
      </c>
      <c r="H15" s="486">
        <f>IFERROR(('ввод добавок'!AW13)/('ввод добавок'!AX13),0)</f>
        <v>0</v>
      </c>
    </row>
    <row r="16" spans="2:8" hidden="1">
      <c r="B16" s="571">
        <f t="shared" si="0"/>
        <v>45669</v>
      </c>
      <c r="C16" s="487">
        <f t="shared" si="1"/>
        <v>0</v>
      </c>
      <c r="D16" s="486">
        <f>IFERROR(('ввод добавок'!AR14)/('ввод добавок'!AX14),0)</f>
        <v>0</v>
      </c>
      <c r="E16" s="487">
        <f t="shared" si="2"/>
        <v>0</v>
      </c>
      <c r="F16" s="486">
        <f>IFERROR(('ввод добавок'!AS14)/('ввод добавок'!AX14),0)</f>
        <v>0</v>
      </c>
      <c r="G16" s="487">
        <f t="shared" si="3"/>
        <v>0</v>
      </c>
      <c r="H16" s="486">
        <f>IFERROR(('ввод добавок'!AW14)/('ввод добавок'!AX14),0)</f>
        <v>0</v>
      </c>
    </row>
    <row r="17" spans="2:8" hidden="1">
      <c r="B17" s="571">
        <f t="shared" si="0"/>
        <v>45670</v>
      </c>
      <c r="C17" s="487">
        <f t="shared" si="1"/>
        <v>0</v>
      </c>
      <c r="D17" s="486">
        <f>IFERROR(('ввод добавок'!AR15)/('ввод добавок'!AX15),0)</f>
        <v>0</v>
      </c>
      <c r="E17" s="487">
        <f t="shared" si="2"/>
        <v>0</v>
      </c>
      <c r="F17" s="486">
        <f>IFERROR(('ввод добавок'!AS15)/('ввод добавок'!AX15),0)</f>
        <v>0</v>
      </c>
      <c r="G17" s="487">
        <f t="shared" si="3"/>
        <v>0</v>
      </c>
      <c r="H17" s="486">
        <f>IFERROR(('ввод добавок'!AW15)/('ввод добавок'!AX15),0)</f>
        <v>0</v>
      </c>
    </row>
    <row r="18" spans="2:8" hidden="1">
      <c r="B18" s="571">
        <f t="shared" si="0"/>
        <v>45671</v>
      </c>
      <c r="C18" s="487">
        <f t="shared" si="1"/>
        <v>0</v>
      </c>
      <c r="D18" s="486">
        <f>IFERROR(('ввод добавок'!AR16)/('ввод добавок'!AX16),0)</f>
        <v>0</v>
      </c>
      <c r="E18" s="487">
        <f t="shared" si="2"/>
        <v>0</v>
      </c>
      <c r="F18" s="486">
        <f>IFERROR(('ввод добавок'!AS16)/('ввод добавок'!AX16),0)</f>
        <v>0</v>
      </c>
      <c r="G18" s="487">
        <f t="shared" si="3"/>
        <v>0</v>
      </c>
      <c r="H18" s="486">
        <f>IFERROR(('ввод добавок'!AW16)/('ввод добавок'!AX16),0)</f>
        <v>0</v>
      </c>
    </row>
    <row r="19" spans="2:8" hidden="1">
      <c r="B19" s="571">
        <f t="shared" si="0"/>
        <v>45672</v>
      </c>
      <c r="C19" s="487">
        <f t="shared" si="1"/>
        <v>0</v>
      </c>
      <c r="D19" s="486">
        <f>IFERROR(('ввод добавок'!AR17)/('ввод добавок'!AX17),0)</f>
        <v>0</v>
      </c>
      <c r="E19" s="487">
        <f t="shared" si="2"/>
        <v>0</v>
      </c>
      <c r="F19" s="486">
        <f>IFERROR(('ввод добавок'!AS17)/('ввод добавок'!AX17),0)</f>
        <v>0</v>
      </c>
      <c r="G19" s="487">
        <f t="shared" si="3"/>
        <v>0</v>
      </c>
      <c r="H19" s="486">
        <f>IFERROR(('ввод добавок'!AW17)/('ввод добавок'!AX17),0)</f>
        <v>0</v>
      </c>
    </row>
    <row r="20" spans="2:8" hidden="1">
      <c r="B20" s="571">
        <f t="shared" si="0"/>
        <v>45673</v>
      </c>
      <c r="C20" s="487">
        <f t="shared" si="1"/>
        <v>0</v>
      </c>
      <c r="D20" s="486">
        <f>IFERROR(('ввод добавок'!AR18)/('ввод добавок'!AX18),0)</f>
        <v>0</v>
      </c>
      <c r="E20" s="487">
        <f t="shared" si="2"/>
        <v>0</v>
      </c>
      <c r="F20" s="486">
        <f>IFERROR(('ввод добавок'!AS18)/('ввод добавок'!AX18),0)</f>
        <v>0</v>
      </c>
      <c r="G20" s="487">
        <f t="shared" si="3"/>
        <v>0</v>
      </c>
      <c r="H20" s="486">
        <f>IFERROR(('ввод добавок'!AW18)/('ввод добавок'!AX18),0)</f>
        <v>0</v>
      </c>
    </row>
    <row r="21" spans="2:8" hidden="1">
      <c r="B21" s="571">
        <f t="shared" si="0"/>
        <v>45674</v>
      </c>
      <c r="C21" s="487">
        <f t="shared" si="1"/>
        <v>0</v>
      </c>
      <c r="D21" s="486">
        <f>IFERROR(('ввод добавок'!AR19)/('ввод добавок'!AX19),0)</f>
        <v>0</v>
      </c>
      <c r="E21" s="487">
        <f t="shared" si="2"/>
        <v>0</v>
      </c>
      <c r="F21" s="486">
        <f>IFERROR(('ввод добавок'!AS19)/('ввод добавок'!AX19),0)</f>
        <v>0</v>
      </c>
      <c r="G21" s="487">
        <f t="shared" si="3"/>
        <v>0</v>
      </c>
      <c r="H21" s="486">
        <f>IFERROR(('ввод добавок'!AW19)/('ввод добавок'!AX19),0)</f>
        <v>0</v>
      </c>
    </row>
    <row r="22" spans="2:8" hidden="1">
      <c r="B22" s="571">
        <f t="shared" si="0"/>
        <v>45675</v>
      </c>
      <c r="C22" s="487">
        <f t="shared" si="1"/>
        <v>0</v>
      </c>
      <c r="D22" s="486">
        <f>IFERROR(('ввод добавок'!AR20)/('ввод добавок'!AX20),0)</f>
        <v>0</v>
      </c>
      <c r="E22" s="487">
        <f t="shared" si="2"/>
        <v>0</v>
      </c>
      <c r="F22" s="486">
        <f>IFERROR(('ввод добавок'!AS20)/('ввод добавок'!AX20),0)</f>
        <v>0</v>
      </c>
      <c r="G22" s="487">
        <f t="shared" si="3"/>
        <v>0</v>
      </c>
      <c r="H22" s="486">
        <f>IFERROR(('ввод добавок'!AW20)/('ввод добавок'!AX20),0)</f>
        <v>0</v>
      </c>
    </row>
    <row r="23" spans="2:8" hidden="1">
      <c r="B23" s="571">
        <f t="shared" si="0"/>
        <v>45676</v>
      </c>
      <c r="C23" s="487">
        <f t="shared" si="1"/>
        <v>0</v>
      </c>
      <c r="D23" s="486">
        <f>IFERROR(('ввод добавок'!AR21)/('ввод добавок'!AX21),0)</f>
        <v>0</v>
      </c>
      <c r="E23" s="487">
        <f t="shared" si="2"/>
        <v>0</v>
      </c>
      <c r="F23" s="486">
        <f>IFERROR(('ввод добавок'!AS21)/('ввод добавок'!AX21),0)</f>
        <v>0</v>
      </c>
      <c r="G23" s="487">
        <f t="shared" si="3"/>
        <v>0</v>
      </c>
      <c r="H23" s="486">
        <f>IFERROR(('ввод добавок'!AW21)/('ввод добавок'!AX21),0)</f>
        <v>0</v>
      </c>
    </row>
    <row r="24" spans="2:8" hidden="1">
      <c r="B24" s="571">
        <f t="shared" si="0"/>
        <v>45677</v>
      </c>
      <c r="C24" s="487">
        <f t="shared" si="1"/>
        <v>0</v>
      </c>
      <c r="D24" s="486">
        <f>IFERROR(('ввод добавок'!AR22)/('ввод добавок'!AX22),0)</f>
        <v>0</v>
      </c>
      <c r="E24" s="487">
        <f t="shared" si="2"/>
        <v>0</v>
      </c>
      <c r="F24" s="486">
        <f>IFERROR(('ввод добавок'!AS22)/('ввод добавок'!AX22),0)</f>
        <v>0</v>
      </c>
      <c r="G24" s="487">
        <f t="shared" si="3"/>
        <v>0</v>
      </c>
      <c r="H24" s="486">
        <f>IFERROR(('ввод добавок'!AW22)/('ввод добавок'!AX22),0)</f>
        <v>0</v>
      </c>
    </row>
    <row r="25" spans="2:8" hidden="1">
      <c r="B25" s="571">
        <f t="shared" si="0"/>
        <v>45678</v>
      </c>
      <c r="C25" s="487">
        <f t="shared" si="1"/>
        <v>0</v>
      </c>
      <c r="D25" s="486">
        <f>IFERROR(('ввод добавок'!AR23)/('ввод добавок'!AX23),0)</f>
        <v>0</v>
      </c>
      <c r="E25" s="487">
        <f t="shared" si="2"/>
        <v>0</v>
      </c>
      <c r="F25" s="486">
        <f>IFERROR(('ввод добавок'!AS23)/('ввод добавок'!AX23),0)</f>
        <v>0</v>
      </c>
      <c r="G25" s="487">
        <f t="shared" si="3"/>
        <v>0</v>
      </c>
      <c r="H25" s="486">
        <f>IFERROR(('ввод добавок'!AW23)/('ввод добавок'!AX23),0)</f>
        <v>0</v>
      </c>
    </row>
    <row r="26" spans="2:8" hidden="1">
      <c r="B26" s="571">
        <f t="shared" si="0"/>
        <v>45679</v>
      </c>
      <c r="C26" s="487">
        <f t="shared" si="1"/>
        <v>0</v>
      </c>
      <c r="D26" s="486">
        <f>IFERROR(('ввод добавок'!AR24)/('ввод добавок'!AX24),0)</f>
        <v>0</v>
      </c>
      <c r="E26" s="487">
        <f t="shared" si="2"/>
        <v>0</v>
      </c>
      <c r="F26" s="486">
        <f>IFERROR(('ввод добавок'!AS24)/('ввод добавок'!AX24),0)</f>
        <v>0</v>
      </c>
      <c r="G26" s="487">
        <f t="shared" si="3"/>
        <v>0</v>
      </c>
      <c r="H26" s="486">
        <f>IFERROR(('ввод добавок'!AW24)/('ввод добавок'!AX24),0)</f>
        <v>0</v>
      </c>
    </row>
    <row r="27" spans="2:8" hidden="1">
      <c r="B27" s="571">
        <f t="shared" si="0"/>
        <v>45680</v>
      </c>
      <c r="C27" s="487">
        <f t="shared" si="1"/>
        <v>0</v>
      </c>
      <c r="D27" s="486">
        <f>IFERROR(('ввод добавок'!AR25)/('ввод добавок'!AX25),0)</f>
        <v>0</v>
      </c>
      <c r="E27" s="487">
        <f t="shared" si="2"/>
        <v>0</v>
      </c>
      <c r="F27" s="486">
        <f>IFERROR(('ввод добавок'!AS25)/('ввод добавок'!AX25),0)</f>
        <v>0</v>
      </c>
      <c r="G27" s="487">
        <f t="shared" si="3"/>
        <v>0</v>
      </c>
      <c r="H27" s="486">
        <f>IFERROR(('ввод добавок'!AW25)/('ввод добавок'!AX25),0)</f>
        <v>0</v>
      </c>
    </row>
    <row r="28" spans="2:8" hidden="1">
      <c r="B28" s="571">
        <f t="shared" si="0"/>
        <v>45681</v>
      </c>
      <c r="C28" s="487">
        <f t="shared" si="1"/>
        <v>0</v>
      </c>
      <c r="D28" s="486">
        <f>IFERROR(('ввод добавок'!AR26)/('ввод добавок'!AX26),0)</f>
        <v>0</v>
      </c>
      <c r="E28" s="487">
        <f t="shared" si="2"/>
        <v>0</v>
      </c>
      <c r="F28" s="486">
        <f>IFERROR(('ввод добавок'!AS26)/('ввод добавок'!AX26),0)</f>
        <v>0</v>
      </c>
      <c r="G28" s="487">
        <f t="shared" si="3"/>
        <v>0</v>
      </c>
      <c r="H28" s="486">
        <f>IFERROR(('ввод добавок'!AW26)/('ввод добавок'!AX26),0)</f>
        <v>0</v>
      </c>
    </row>
    <row r="29" spans="2:8" hidden="1">
      <c r="B29" s="571">
        <f t="shared" si="0"/>
        <v>45682</v>
      </c>
      <c r="C29" s="487">
        <f t="shared" si="1"/>
        <v>0</v>
      </c>
      <c r="D29" s="486">
        <f>IFERROR(('ввод добавок'!AR27)/('ввод добавок'!AX27),0)</f>
        <v>0</v>
      </c>
      <c r="E29" s="487">
        <f t="shared" si="2"/>
        <v>0</v>
      </c>
      <c r="F29" s="486">
        <f>IFERROR(('ввод добавок'!AS27)/('ввод добавок'!AX27),0)</f>
        <v>0</v>
      </c>
      <c r="G29" s="487">
        <f t="shared" si="3"/>
        <v>0</v>
      </c>
      <c r="H29" s="486">
        <f>IFERROR(('ввод добавок'!AW27)/('ввод добавок'!AX27),0)</f>
        <v>0</v>
      </c>
    </row>
    <row r="30" spans="2:8" hidden="1">
      <c r="B30" s="571">
        <f t="shared" si="0"/>
        <v>45683</v>
      </c>
      <c r="C30" s="487">
        <f t="shared" si="1"/>
        <v>0</v>
      </c>
      <c r="D30" s="486">
        <f>IFERROR(('ввод добавок'!AR28)/('ввод добавок'!AX28),0)</f>
        <v>0</v>
      </c>
      <c r="E30" s="487">
        <f t="shared" si="2"/>
        <v>0</v>
      </c>
      <c r="F30" s="486">
        <f>IFERROR(('ввод добавок'!AS28)/('ввод добавок'!AX28),0)</f>
        <v>0</v>
      </c>
      <c r="G30" s="487">
        <f t="shared" si="3"/>
        <v>0</v>
      </c>
      <c r="H30" s="486">
        <f>IFERROR(('ввод добавок'!AW28)/('ввод добавок'!AX28),0)</f>
        <v>0</v>
      </c>
    </row>
    <row r="31" spans="2:8" hidden="1">
      <c r="B31" s="571">
        <f t="shared" si="0"/>
        <v>45684</v>
      </c>
      <c r="C31" s="487">
        <f t="shared" si="1"/>
        <v>0</v>
      </c>
      <c r="D31" s="486">
        <f>IFERROR(('ввод добавок'!AR29)/('ввод добавок'!AX29),0)</f>
        <v>0</v>
      </c>
      <c r="E31" s="487">
        <f t="shared" si="2"/>
        <v>0</v>
      </c>
      <c r="F31" s="486">
        <f>IFERROR(('ввод добавок'!AS29)/('ввод добавок'!AX29),0)</f>
        <v>0</v>
      </c>
      <c r="G31" s="487">
        <f t="shared" si="3"/>
        <v>0</v>
      </c>
      <c r="H31" s="486">
        <f>IFERROR(('ввод добавок'!AW29)/('ввод добавок'!AX29),0)</f>
        <v>0</v>
      </c>
    </row>
    <row r="32" spans="2:8" hidden="1">
      <c r="B32" s="571">
        <f t="shared" si="0"/>
        <v>45685</v>
      </c>
      <c r="C32" s="487">
        <f t="shared" si="1"/>
        <v>0</v>
      </c>
      <c r="D32" s="486">
        <f>IFERROR(('ввод добавок'!AR30)/('ввод добавок'!AX30),0)</f>
        <v>0</v>
      </c>
      <c r="E32" s="487">
        <f t="shared" si="2"/>
        <v>0</v>
      </c>
      <c r="F32" s="486">
        <f>IFERROR(('ввод добавок'!AS30)/('ввод добавок'!AX30),0)</f>
        <v>0</v>
      </c>
      <c r="G32" s="487">
        <f t="shared" si="3"/>
        <v>0</v>
      </c>
      <c r="H32" s="486">
        <f>IFERROR(('ввод добавок'!AW30)/('ввод добавок'!AX30),0)</f>
        <v>0</v>
      </c>
    </row>
    <row r="33" spans="2:8" hidden="1">
      <c r="B33" s="571">
        <f t="shared" si="0"/>
        <v>45686</v>
      </c>
      <c r="C33" s="487">
        <f t="shared" si="1"/>
        <v>0</v>
      </c>
      <c r="D33" s="486">
        <f>IFERROR(('ввод добавок'!AR31)/('ввод добавок'!AX31),0)</f>
        <v>0</v>
      </c>
      <c r="E33" s="487">
        <f t="shared" si="2"/>
        <v>0</v>
      </c>
      <c r="F33" s="486">
        <f>IFERROR(('ввод добавок'!AS31)/('ввод добавок'!AX31),0)</f>
        <v>0</v>
      </c>
      <c r="G33" s="487">
        <f t="shared" si="3"/>
        <v>0</v>
      </c>
      <c r="H33" s="486">
        <f>IFERROR(('ввод добавок'!AW31)/('ввод добавок'!AX31),0)</f>
        <v>0</v>
      </c>
    </row>
    <row r="34" spans="2:8" hidden="1">
      <c r="B34" s="571">
        <f t="shared" si="0"/>
        <v>45687</v>
      </c>
      <c r="C34" s="487">
        <f t="shared" si="1"/>
        <v>0</v>
      </c>
      <c r="D34" s="486">
        <f>IFERROR(('ввод добавок'!AR32)/('ввод добавок'!AX32),0)</f>
        <v>0</v>
      </c>
      <c r="E34" s="487">
        <f t="shared" si="2"/>
        <v>0</v>
      </c>
      <c r="F34" s="486">
        <f>IFERROR(('ввод добавок'!AS32)/('ввод добавок'!AX32),0)</f>
        <v>0</v>
      </c>
      <c r="G34" s="487">
        <f t="shared" si="3"/>
        <v>0</v>
      </c>
      <c r="H34" s="486">
        <f>IFERROR(('ввод добавок'!AW32)/('ввод добавок'!AX32),0)</f>
        <v>0</v>
      </c>
    </row>
    <row r="35" spans="2:8" hidden="1">
      <c r="B35" s="571">
        <f t="shared" si="0"/>
        <v>45688</v>
      </c>
      <c r="C35" s="487">
        <f t="shared" si="1"/>
        <v>0</v>
      </c>
      <c r="D35" s="486">
        <f>IFERROR(('ввод добавок'!AR33)/('ввод добавок'!AX33),0)</f>
        <v>0</v>
      </c>
      <c r="E35" s="487">
        <f t="shared" si="2"/>
        <v>0</v>
      </c>
      <c r="F35" s="486">
        <f>IFERROR(('ввод добавок'!AS33)/('ввод добавок'!AX33),0)</f>
        <v>0</v>
      </c>
      <c r="G35" s="487">
        <f t="shared" si="3"/>
        <v>0</v>
      </c>
      <c r="H35" s="486">
        <f>IFERROR(('ввод добавок'!AW33)/('ввод добавок'!AX33),0)</f>
        <v>0</v>
      </c>
    </row>
    <row r="36" spans="2:8">
      <c r="D36" s="486"/>
    </row>
    <row r="37" spans="2:8" ht="30.75" customHeight="1"/>
  </sheetData>
  <autoFilter ref="B4:H35" xr:uid="{00000000-0001-0000-2200-000000000000}">
    <filterColumn colId="2">
      <filters>
        <filter val="90,7%"/>
        <filter val="90,8%"/>
      </filters>
    </filterColumn>
  </autoFilter>
  <mergeCells count="4">
    <mergeCell ref="E3:F3"/>
    <mergeCell ref="G3:H3"/>
    <mergeCell ref="C2:H2"/>
    <mergeCell ref="C3:D3"/>
  </mergeCells>
  <pageMargins left="0.7" right="0.7" top="0.75" bottom="0.75" header="0.3" footer="0.3"/>
  <pageSetup paperSize="9" orientation="portrait" verticalDpi="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A5C6-28C5-4F59-93F6-18F99B19C9A4}">
  <sheetPr filterMode="1"/>
  <dimension ref="B2:H35"/>
  <sheetViews>
    <sheetView workbookViewId="0">
      <selection activeCell="P1" sqref="P1:V2"/>
    </sheetView>
  </sheetViews>
  <sheetFormatPr defaultRowHeight="15"/>
  <cols>
    <col min="2" max="2" width="10.28515625" customWidth="1"/>
  </cols>
  <sheetData>
    <row r="2" spans="2:8" ht="30.75" customHeight="1">
      <c r="B2" s="570" t="s">
        <v>95</v>
      </c>
      <c r="C2" s="1445" t="s">
        <v>159</v>
      </c>
      <c r="D2" s="1445"/>
      <c r="E2" s="1445"/>
      <c r="F2" s="1445"/>
      <c r="G2" s="1445"/>
      <c r="H2" s="1445"/>
    </row>
    <row r="3" spans="2:8" ht="15.75" customHeight="1">
      <c r="B3" s="511" t="s">
        <v>152</v>
      </c>
      <c r="C3" s="1443" t="s">
        <v>99</v>
      </c>
      <c r="D3" s="1443"/>
      <c r="E3" s="1443" t="s">
        <v>42</v>
      </c>
      <c r="F3" s="1443"/>
      <c r="G3" s="1444" t="s">
        <v>59</v>
      </c>
      <c r="H3" s="1444"/>
    </row>
    <row r="4" spans="2:8" ht="15.75">
      <c r="B4" s="511" t="s">
        <v>150</v>
      </c>
      <c r="C4" s="736" t="s">
        <v>151</v>
      </c>
      <c r="D4" s="736" t="s">
        <v>133</v>
      </c>
      <c r="E4" s="736" t="s">
        <v>151</v>
      </c>
      <c r="F4" s="736" t="s">
        <v>133</v>
      </c>
      <c r="G4" s="736" t="s">
        <v>151</v>
      </c>
      <c r="H4" s="736" t="s">
        <v>133</v>
      </c>
    </row>
    <row r="5" spans="2:8" hidden="1">
      <c r="B5" s="571">
        <v>45658</v>
      </c>
      <c r="C5" s="487">
        <v>0.95218178144148524</v>
      </c>
      <c r="D5" s="486">
        <f>IFERROR(('ввод добавок'!AD3)/('ввод добавок'!AJ3),0)</f>
        <v>0</v>
      </c>
      <c r="E5" s="487">
        <v>5.8694078701034727E-2</v>
      </c>
      <c r="F5" s="486">
        <f>IFERROR(('ввод добавок'!AE3)/('ввод добавок'!AJ3),0)</f>
        <v>0</v>
      </c>
      <c r="G5" s="487">
        <v>0</v>
      </c>
      <c r="H5" s="486">
        <f>IFERROR(('ввод добавок'!AW3)/('ввод добавок'!AI3),0)</f>
        <v>0</v>
      </c>
    </row>
    <row r="6" spans="2:8" hidden="1">
      <c r="B6" s="571">
        <f>B5+1</f>
        <v>45659</v>
      </c>
      <c r="C6" s="487">
        <f>$C$5</f>
        <v>0.95218178144148524</v>
      </c>
      <c r="D6" s="486">
        <f>IFERROR(('ввод добавок'!AD4)/('ввод добавок'!AJ4),0)</f>
        <v>0</v>
      </c>
      <c r="E6" s="487">
        <f>$E$5</f>
        <v>5.8694078701034727E-2</v>
      </c>
      <c r="F6" s="486">
        <f>IFERROR(('ввод добавок'!AE4)/('ввод добавок'!AJ4),0)</f>
        <v>0</v>
      </c>
      <c r="G6" s="487">
        <f>$G$5</f>
        <v>0</v>
      </c>
      <c r="H6" s="486">
        <f>IFERROR(('ввод добавок'!AW4)/('ввод добавок'!AI4),0)</f>
        <v>0</v>
      </c>
    </row>
    <row r="7" spans="2:8" hidden="1">
      <c r="B7" s="571">
        <f t="shared" ref="B7:B35" si="0">B6+1</f>
        <v>45660</v>
      </c>
      <c r="C7" s="487">
        <f t="shared" ref="C7:C35" si="1">$C$5</f>
        <v>0.95218178144148524</v>
      </c>
      <c r="D7" s="486">
        <f>IFERROR(('ввод добавок'!AD5)/('ввод добавок'!AJ5),0)</f>
        <v>0</v>
      </c>
      <c r="E7" s="487">
        <f t="shared" ref="E7:E35" si="2">$E$5</f>
        <v>5.8694078701034727E-2</v>
      </c>
      <c r="F7" s="486">
        <f>IFERROR(('ввод добавок'!AE5)/('ввод добавок'!AJ5),0)</f>
        <v>0</v>
      </c>
      <c r="G7" s="487">
        <f t="shared" ref="G7:G35" si="3">$G$5</f>
        <v>0</v>
      </c>
      <c r="H7" s="486">
        <f>IFERROR(('ввод добавок'!AW5)/('ввод добавок'!AI5),0)</f>
        <v>0</v>
      </c>
    </row>
    <row r="8" spans="2:8" hidden="1">
      <c r="B8" s="571">
        <f t="shared" si="0"/>
        <v>45661</v>
      </c>
      <c r="C8" s="487">
        <f t="shared" si="1"/>
        <v>0.95218178144148524</v>
      </c>
      <c r="D8" s="486">
        <f>IFERROR(('ввод добавок'!AD6)/('ввод добавок'!AJ6),0)</f>
        <v>0</v>
      </c>
      <c r="E8" s="487">
        <f t="shared" si="2"/>
        <v>5.8694078701034727E-2</v>
      </c>
      <c r="F8" s="486">
        <f>IFERROR(('ввод добавок'!AE6)/('ввод добавок'!AJ6),0)</f>
        <v>0</v>
      </c>
      <c r="G8" s="487">
        <f t="shared" si="3"/>
        <v>0</v>
      </c>
      <c r="H8" s="486">
        <f>IFERROR(('ввод добавок'!AW6)/('ввод добавок'!AI6),0)</f>
        <v>0</v>
      </c>
    </row>
    <row r="9" spans="2:8" hidden="1">
      <c r="B9" s="571">
        <f t="shared" si="0"/>
        <v>45662</v>
      </c>
      <c r="C9" s="487">
        <f t="shared" si="1"/>
        <v>0.95218178144148524</v>
      </c>
      <c r="D9" s="486">
        <f>IFERROR(('ввод добавок'!AD7)/('ввод добавок'!AJ7),0)</f>
        <v>0</v>
      </c>
      <c r="E9" s="487">
        <f t="shared" si="2"/>
        <v>5.8694078701034727E-2</v>
      </c>
      <c r="F9" s="486">
        <f>IFERROR(('ввод добавок'!AE7)/('ввод добавок'!AJ7),0)</f>
        <v>0</v>
      </c>
      <c r="G9" s="487">
        <f t="shared" si="3"/>
        <v>0</v>
      </c>
      <c r="H9" s="486">
        <f>IFERROR(('ввод добавок'!AW7)/('ввод добавок'!AI7),0)</f>
        <v>0</v>
      </c>
    </row>
    <row r="10" spans="2:8" hidden="1">
      <c r="B10" s="571">
        <f t="shared" si="0"/>
        <v>45663</v>
      </c>
      <c r="C10" s="487">
        <f t="shared" si="1"/>
        <v>0.95218178144148524</v>
      </c>
      <c r="D10" s="486">
        <f>IFERROR(('ввод добавок'!AD8)/('ввод добавок'!AJ8),0)</f>
        <v>0</v>
      </c>
      <c r="E10" s="487">
        <f t="shared" si="2"/>
        <v>5.8694078701034727E-2</v>
      </c>
      <c r="F10" s="486">
        <f>IFERROR(('ввод добавок'!AE8)/('ввод добавок'!AJ8),0)</f>
        <v>0</v>
      </c>
      <c r="G10" s="487">
        <f t="shared" si="3"/>
        <v>0</v>
      </c>
      <c r="H10" s="486">
        <f>IFERROR(('ввод добавок'!AW8)/('ввод добавок'!AI8),0)</f>
        <v>0</v>
      </c>
    </row>
    <row r="11" spans="2:8" hidden="1">
      <c r="B11" s="571">
        <f t="shared" si="0"/>
        <v>45664</v>
      </c>
      <c r="C11" s="487">
        <f t="shared" si="1"/>
        <v>0.95218178144148524</v>
      </c>
      <c r="D11" s="486">
        <f>IFERROR(('ввод добавок'!AD9)/('ввод добавок'!AJ9),0)</f>
        <v>0</v>
      </c>
      <c r="E11" s="487">
        <f t="shared" si="2"/>
        <v>5.8694078701034727E-2</v>
      </c>
      <c r="F11" s="486">
        <f>IFERROR(('ввод добавок'!AE9)/('ввод добавок'!AJ9),0)</f>
        <v>0</v>
      </c>
      <c r="G11" s="487">
        <f t="shared" si="3"/>
        <v>0</v>
      </c>
      <c r="H11" s="486">
        <f>IFERROR(('ввод добавок'!AW9)/('ввод добавок'!AI9),0)</f>
        <v>0</v>
      </c>
    </row>
    <row r="12" spans="2:8">
      <c r="B12" s="571">
        <f t="shared" si="0"/>
        <v>45665</v>
      </c>
      <c r="C12" s="487">
        <f t="shared" si="1"/>
        <v>0.95218178144148524</v>
      </c>
      <c r="D12" s="486">
        <f>IFERROR(('ввод добавок'!AD10)/('ввод добавок'!AJ10),0)</f>
        <v>0</v>
      </c>
      <c r="E12" s="487">
        <f t="shared" si="2"/>
        <v>5.8694078701034727E-2</v>
      </c>
      <c r="F12" s="486">
        <f>IFERROR(('ввод добавок'!AE10)/('ввод добавок'!AJ10),0)</f>
        <v>0</v>
      </c>
      <c r="G12" s="487">
        <f t="shared" si="3"/>
        <v>0</v>
      </c>
      <c r="H12" s="486">
        <f>IFERROR(('ввод добавок'!AW10)/('ввод добавок'!AI10),0)</f>
        <v>0</v>
      </c>
    </row>
    <row r="13" spans="2:8" hidden="1">
      <c r="B13" s="571">
        <f t="shared" si="0"/>
        <v>45666</v>
      </c>
      <c r="C13" s="487">
        <f t="shared" si="1"/>
        <v>0.95218178144148524</v>
      </c>
      <c r="D13" s="486">
        <f>IFERROR(('ввод добавок'!AD11)/('ввод добавок'!AJ11),0)</f>
        <v>0</v>
      </c>
      <c r="E13" s="487">
        <f t="shared" si="2"/>
        <v>5.8694078701034727E-2</v>
      </c>
      <c r="F13" s="486">
        <f>IFERROR(('ввод добавок'!AE11)/('ввод добавок'!AJ11),0)</f>
        <v>0</v>
      </c>
      <c r="G13" s="487">
        <f t="shared" si="3"/>
        <v>0</v>
      </c>
      <c r="H13" s="486">
        <f>IFERROR(('ввод добавок'!AW11)/('ввод добавок'!AI11),0)</f>
        <v>0</v>
      </c>
    </row>
    <row r="14" spans="2:8" hidden="1">
      <c r="B14" s="571">
        <f t="shared" si="0"/>
        <v>45667</v>
      </c>
      <c r="C14" s="487">
        <f t="shared" si="1"/>
        <v>0.95218178144148524</v>
      </c>
      <c r="D14" s="486">
        <f>IFERROR(('ввод добавок'!AD12)/('ввод добавок'!AJ12),0)</f>
        <v>0</v>
      </c>
      <c r="E14" s="487">
        <f t="shared" si="2"/>
        <v>5.8694078701034727E-2</v>
      </c>
      <c r="F14" s="486">
        <f>IFERROR(('ввод добавок'!AE12)/('ввод добавок'!AJ12),0)</f>
        <v>0</v>
      </c>
      <c r="G14" s="487">
        <f t="shared" si="3"/>
        <v>0</v>
      </c>
      <c r="H14" s="486">
        <f>IFERROR(('ввод добавок'!AW12)/('ввод добавок'!AI12),0)</f>
        <v>0</v>
      </c>
    </row>
    <row r="15" spans="2:8">
      <c r="B15" s="571">
        <f t="shared" si="0"/>
        <v>45668</v>
      </c>
      <c r="C15" s="487">
        <f t="shared" si="1"/>
        <v>0.95218178144148524</v>
      </c>
      <c r="D15" s="486">
        <f>IFERROR(('ввод добавок'!AD13)/('ввод добавок'!AJ13),0)</f>
        <v>0</v>
      </c>
      <c r="E15" s="487">
        <f t="shared" si="2"/>
        <v>5.8694078701034727E-2</v>
      </c>
      <c r="F15" s="486">
        <f>IFERROR(('ввод добавок'!AE13)/('ввод добавок'!AJ13),0)</f>
        <v>0</v>
      </c>
      <c r="G15" s="487">
        <f t="shared" si="3"/>
        <v>0</v>
      </c>
      <c r="H15" s="486">
        <f>IFERROR(('ввод добавок'!AW13)/('ввод добавок'!AI13),0)</f>
        <v>0</v>
      </c>
    </row>
    <row r="16" spans="2:8">
      <c r="B16" s="571">
        <f t="shared" si="0"/>
        <v>45669</v>
      </c>
      <c r="C16" s="487">
        <f t="shared" si="1"/>
        <v>0.95218178144148524</v>
      </c>
      <c r="D16" s="486">
        <f>IFERROR(('ввод добавок'!AD14)/('ввод добавок'!AJ14),0)</f>
        <v>0</v>
      </c>
      <c r="E16" s="487">
        <f t="shared" si="2"/>
        <v>5.8694078701034727E-2</v>
      </c>
      <c r="F16" s="486">
        <f>IFERROR(('ввод добавок'!AE14)/('ввод добавок'!AJ14),0)</f>
        <v>0</v>
      </c>
      <c r="G16" s="487">
        <f t="shared" si="3"/>
        <v>0</v>
      </c>
      <c r="H16" s="486">
        <f>IFERROR(('ввод добавок'!AW14)/('ввод добавок'!AI14),0)</f>
        <v>0</v>
      </c>
    </row>
    <row r="17" spans="2:8" hidden="1">
      <c r="B17" s="571">
        <f t="shared" si="0"/>
        <v>45670</v>
      </c>
      <c r="C17" s="487">
        <f t="shared" si="1"/>
        <v>0.95218178144148524</v>
      </c>
      <c r="D17" s="486">
        <f>IFERROR(('ввод добавок'!AD15)/('ввод добавок'!AJ15),0)</f>
        <v>0</v>
      </c>
      <c r="E17" s="487">
        <f t="shared" si="2"/>
        <v>5.8694078701034727E-2</v>
      </c>
      <c r="F17" s="486">
        <f>IFERROR(('ввод добавок'!AE15)/('ввод добавок'!AJ15),0)</f>
        <v>0</v>
      </c>
      <c r="G17" s="487">
        <f t="shared" si="3"/>
        <v>0</v>
      </c>
      <c r="H17" s="486">
        <f>IFERROR(('ввод добавок'!AW15)/('ввод добавок'!AI15),0)</f>
        <v>0</v>
      </c>
    </row>
    <row r="18" spans="2:8">
      <c r="B18" s="571">
        <f t="shared" si="0"/>
        <v>45671</v>
      </c>
      <c r="C18" s="487">
        <f t="shared" si="1"/>
        <v>0.95218178144148524</v>
      </c>
      <c r="D18" s="486">
        <f>IFERROR(('ввод добавок'!AD16)/('ввод добавок'!AJ16),0)</f>
        <v>0</v>
      </c>
      <c r="E18" s="487">
        <f t="shared" si="2"/>
        <v>5.8694078701034727E-2</v>
      </c>
      <c r="F18" s="486">
        <f>IFERROR(('ввод добавок'!AE16)/('ввод добавок'!AJ16),0)</f>
        <v>0</v>
      </c>
      <c r="G18" s="487">
        <f t="shared" si="3"/>
        <v>0</v>
      </c>
      <c r="H18" s="486">
        <f>IFERROR(('ввод добавок'!AW16)/('ввод добавок'!AI16),0)</f>
        <v>0</v>
      </c>
    </row>
    <row r="19" spans="2:8" hidden="1">
      <c r="B19" s="571">
        <f t="shared" si="0"/>
        <v>45672</v>
      </c>
      <c r="C19" s="487">
        <f t="shared" si="1"/>
        <v>0.95218178144148524</v>
      </c>
      <c r="D19" s="486">
        <f>IFERROR(('ввод добавок'!AD17)/('ввод добавок'!AJ17),0)</f>
        <v>0</v>
      </c>
      <c r="E19" s="487">
        <f t="shared" si="2"/>
        <v>5.8694078701034727E-2</v>
      </c>
      <c r="F19" s="486">
        <f>IFERROR(('ввод добавок'!AE17)/('ввод добавок'!AJ17),0)</f>
        <v>0</v>
      </c>
      <c r="G19" s="487">
        <f t="shared" si="3"/>
        <v>0</v>
      </c>
      <c r="H19" s="486">
        <f>IFERROR(('ввод добавок'!AW17)/('ввод добавок'!AI17),0)</f>
        <v>0</v>
      </c>
    </row>
    <row r="20" spans="2:8" hidden="1">
      <c r="B20" s="571">
        <f t="shared" si="0"/>
        <v>45673</v>
      </c>
      <c r="C20" s="487">
        <f t="shared" si="1"/>
        <v>0.95218178144148524</v>
      </c>
      <c r="D20" s="486">
        <f>IFERROR(('ввод добавок'!AD18)/('ввод добавок'!AJ18),0)</f>
        <v>0</v>
      </c>
      <c r="E20" s="487">
        <f t="shared" si="2"/>
        <v>5.8694078701034727E-2</v>
      </c>
      <c r="F20" s="486">
        <f>IFERROR(('ввод добавок'!AE18)/('ввод добавок'!AJ18),0)</f>
        <v>0</v>
      </c>
      <c r="G20" s="487">
        <f t="shared" si="3"/>
        <v>0</v>
      </c>
      <c r="H20" s="486">
        <f>IFERROR(('ввод добавок'!AW18)/('ввод добавок'!AI18),0)</f>
        <v>0</v>
      </c>
    </row>
    <row r="21" spans="2:8" hidden="1">
      <c r="B21" s="571">
        <f t="shared" si="0"/>
        <v>45674</v>
      </c>
      <c r="C21" s="487">
        <f t="shared" si="1"/>
        <v>0.95218178144148524</v>
      </c>
      <c r="D21" s="486">
        <f>IFERROR(('ввод добавок'!AD19)/('ввод добавок'!AJ19),0)</f>
        <v>0</v>
      </c>
      <c r="E21" s="487">
        <f t="shared" si="2"/>
        <v>5.8694078701034727E-2</v>
      </c>
      <c r="F21" s="486">
        <f>IFERROR(('ввод добавок'!AE19)/('ввод добавок'!AJ19),0)</f>
        <v>0</v>
      </c>
      <c r="G21" s="487">
        <f t="shared" si="3"/>
        <v>0</v>
      </c>
      <c r="H21" s="486">
        <f>IFERROR(('ввод добавок'!AW19)/('ввод добавок'!AI19),0)</f>
        <v>0</v>
      </c>
    </row>
    <row r="22" spans="2:8" hidden="1">
      <c r="B22" s="571">
        <f t="shared" si="0"/>
        <v>45675</v>
      </c>
      <c r="C22" s="487">
        <f t="shared" si="1"/>
        <v>0.95218178144148524</v>
      </c>
      <c r="D22" s="486">
        <f>IFERROR(('ввод добавок'!AD20)/('ввод добавок'!AJ20),0)</f>
        <v>0</v>
      </c>
      <c r="E22" s="487">
        <f t="shared" si="2"/>
        <v>5.8694078701034727E-2</v>
      </c>
      <c r="F22" s="486">
        <f>IFERROR(('ввод добавок'!AE20)/('ввод добавок'!AJ20),0)</f>
        <v>0</v>
      </c>
      <c r="G22" s="487">
        <f t="shared" si="3"/>
        <v>0</v>
      </c>
      <c r="H22" s="486">
        <f>IFERROR(('ввод добавок'!AW20)/('ввод добавок'!AI20),0)</f>
        <v>0</v>
      </c>
    </row>
    <row r="23" spans="2:8" hidden="1">
      <c r="B23" s="571">
        <f t="shared" si="0"/>
        <v>45676</v>
      </c>
      <c r="C23" s="487">
        <f t="shared" si="1"/>
        <v>0.95218178144148524</v>
      </c>
      <c r="D23" s="486">
        <f>IFERROR(('ввод добавок'!AD21)/('ввод добавок'!AJ21),0)</f>
        <v>0</v>
      </c>
      <c r="E23" s="487">
        <f t="shared" si="2"/>
        <v>5.8694078701034727E-2</v>
      </c>
      <c r="F23" s="486">
        <f>IFERROR(('ввод добавок'!AE21)/('ввод добавок'!AJ21),0)</f>
        <v>0</v>
      </c>
      <c r="G23" s="487">
        <f t="shared" si="3"/>
        <v>0</v>
      </c>
      <c r="H23" s="486">
        <f>IFERROR(('ввод добавок'!AW21)/('ввод добавок'!AI21),0)</f>
        <v>0</v>
      </c>
    </row>
    <row r="24" spans="2:8" hidden="1">
      <c r="B24" s="571">
        <f t="shared" si="0"/>
        <v>45677</v>
      </c>
      <c r="C24" s="487">
        <f t="shared" si="1"/>
        <v>0.95218178144148524</v>
      </c>
      <c r="D24" s="486">
        <f>IFERROR(('ввод добавок'!AD22)/('ввод добавок'!AJ22),0)</f>
        <v>0</v>
      </c>
      <c r="E24" s="487">
        <f t="shared" si="2"/>
        <v>5.8694078701034727E-2</v>
      </c>
      <c r="F24" s="486">
        <f>IFERROR(('ввод добавок'!AE22)/('ввод добавок'!AJ22),0)</f>
        <v>0</v>
      </c>
      <c r="G24" s="487">
        <f t="shared" si="3"/>
        <v>0</v>
      </c>
      <c r="H24" s="486">
        <f>IFERROR(('ввод добавок'!AW22)/('ввод добавок'!AI22),0)</f>
        <v>0</v>
      </c>
    </row>
    <row r="25" spans="2:8" hidden="1">
      <c r="B25" s="571">
        <f t="shared" si="0"/>
        <v>45678</v>
      </c>
      <c r="C25" s="487">
        <f t="shared" si="1"/>
        <v>0.95218178144148524</v>
      </c>
      <c r="D25" s="486">
        <f>IFERROR(('ввод добавок'!AD23)/('ввод добавок'!AJ23),0)</f>
        <v>0</v>
      </c>
      <c r="E25" s="487">
        <f t="shared" si="2"/>
        <v>5.8694078701034727E-2</v>
      </c>
      <c r="F25" s="486">
        <f>IFERROR(('ввод добавок'!AE23)/('ввод добавок'!AJ23),0)</f>
        <v>0</v>
      </c>
      <c r="G25" s="487">
        <f t="shared" si="3"/>
        <v>0</v>
      </c>
      <c r="H25" s="486">
        <f>IFERROR(('ввод добавок'!AW23)/('ввод добавок'!AI23),0)</f>
        <v>0</v>
      </c>
    </row>
    <row r="26" spans="2:8" hidden="1">
      <c r="B26" s="571">
        <f t="shared" si="0"/>
        <v>45679</v>
      </c>
      <c r="C26" s="487">
        <f t="shared" si="1"/>
        <v>0.95218178144148524</v>
      </c>
      <c r="D26" s="486">
        <f>IFERROR(('ввод добавок'!AD24)/('ввод добавок'!AJ24),0)</f>
        <v>0</v>
      </c>
      <c r="E26" s="487">
        <f t="shared" si="2"/>
        <v>5.8694078701034727E-2</v>
      </c>
      <c r="F26" s="486">
        <f>IFERROR(('ввод добавок'!AE24)/('ввод добавок'!AJ24),0)</f>
        <v>0</v>
      </c>
      <c r="G26" s="487">
        <f t="shared" si="3"/>
        <v>0</v>
      </c>
      <c r="H26" s="486">
        <f>IFERROR(('ввод добавок'!AW24)/('ввод добавок'!AI24),0)</f>
        <v>0</v>
      </c>
    </row>
    <row r="27" spans="2:8" hidden="1">
      <c r="B27" s="571">
        <f t="shared" si="0"/>
        <v>45680</v>
      </c>
      <c r="C27" s="487">
        <f t="shared" si="1"/>
        <v>0.95218178144148524</v>
      </c>
      <c r="D27" s="486">
        <f>IFERROR(('ввод добавок'!AD25)/('ввод добавок'!AJ25),0)</f>
        <v>0</v>
      </c>
      <c r="E27" s="487">
        <f t="shared" si="2"/>
        <v>5.8694078701034727E-2</v>
      </c>
      <c r="F27" s="486">
        <f>IFERROR(('ввод добавок'!AE25)/('ввод добавок'!AJ25),0)</f>
        <v>0</v>
      </c>
      <c r="G27" s="487">
        <f t="shared" si="3"/>
        <v>0</v>
      </c>
      <c r="H27" s="486">
        <f>IFERROR(('ввод добавок'!AW25)/('ввод добавок'!AI25),0)</f>
        <v>0</v>
      </c>
    </row>
    <row r="28" spans="2:8" hidden="1">
      <c r="B28" s="571">
        <f t="shared" si="0"/>
        <v>45681</v>
      </c>
      <c r="C28" s="487">
        <f t="shared" si="1"/>
        <v>0.95218178144148524</v>
      </c>
      <c r="D28" s="486">
        <f>IFERROR(('ввод добавок'!AD26)/('ввод добавок'!AJ26),0)</f>
        <v>0</v>
      </c>
      <c r="E28" s="487">
        <f t="shared" si="2"/>
        <v>5.8694078701034727E-2</v>
      </c>
      <c r="F28" s="486">
        <f>IFERROR(('ввод добавок'!AE26)/('ввод добавок'!AJ26),0)</f>
        <v>0</v>
      </c>
      <c r="G28" s="487">
        <f t="shared" si="3"/>
        <v>0</v>
      </c>
      <c r="H28" s="486">
        <f>IFERROR(('ввод добавок'!AW26)/('ввод добавок'!AI26),0)</f>
        <v>0</v>
      </c>
    </row>
    <row r="29" spans="2:8" hidden="1">
      <c r="B29" s="571">
        <f t="shared" si="0"/>
        <v>45682</v>
      </c>
      <c r="C29" s="487">
        <f t="shared" si="1"/>
        <v>0.95218178144148524</v>
      </c>
      <c r="D29" s="486">
        <f>IFERROR(('ввод добавок'!AD27)/('ввод добавок'!AJ27),0)</f>
        <v>0</v>
      </c>
      <c r="E29" s="487">
        <f t="shared" si="2"/>
        <v>5.8694078701034727E-2</v>
      </c>
      <c r="F29" s="486">
        <f>IFERROR(('ввод добавок'!AE27)/('ввод добавок'!AJ27),0)</f>
        <v>0</v>
      </c>
      <c r="G29" s="487">
        <f t="shared" si="3"/>
        <v>0</v>
      </c>
      <c r="H29" s="486">
        <f>IFERROR(('ввод добавок'!AW27)/('ввод добавок'!AI27),0)</f>
        <v>0</v>
      </c>
    </row>
    <row r="30" spans="2:8" hidden="1">
      <c r="B30" s="571">
        <f t="shared" si="0"/>
        <v>45683</v>
      </c>
      <c r="C30" s="487">
        <f t="shared" si="1"/>
        <v>0.95218178144148524</v>
      </c>
      <c r="D30" s="486">
        <f>IFERROR(('ввод добавок'!AD28)/('ввод добавок'!AJ28),0)</f>
        <v>0</v>
      </c>
      <c r="E30" s="487">
        <f t="shared" si="2"/>
        <v>5.8694078701034727E-2</v>
      </c>
      <c r="F30" s="486">
        <f>IFERROR(('ввод добавок'!AE28)/('ввод добавок'!AJ28),0)</f>
        <v>0</v>
      </c>
      <c r="G30" s="487">
        <f t="shared" si="3"/>
        <v>0</v>
      </c>
      <c r="H30" s="486">
        <f>IFERROR(('ввод добавок'!AW28)/('ввод добавок'!AI28),0)</f>
        <v>0</v>
      </c>
    </row>
    <row r="31" spans="2:8" hidden="1">
      <c r="B31" s="571">
        <f t="shared" si="0"/>
        <v>45684</v>
      </c>
      <c r="C31" s="487">
        <f t="shared" si="1"/>
        <v>0.95218178144148524</v>
      </c>
      <c r="D31" s="486">
        <f>IFERROR(('ввод добавок'!AD29)/('ввод добавок'!AJ29),0)</f>
        <v>0</v>
      </c>
      <c r="E31" s="487">
        <f t="shared" si="2"/>
        <v>5.8694078701034727E-2</v>
      </c>
      <c r="F31" s="486">
        <f>IFERROR(('ввод добавок'!AE29)/('ввод добавок'!AJ29),0)</f>
        <v>0</v>
      </c>
      <c r="G31" s="487">
        <f t="shared" si="3"/>
        <v>0</v>
      </c>
      <c r="H31" s="486">
        <f>IFERROR(('ввод добавок'!AW29)/('ввод добавок'!AI29),0)</f>
        <v>0</v>
      </c>
    </row>
    <row r="32" spans="2:8" hidden="1">
      <c r="B32" s="571">
        <f t="shared" si="0"/>
        <v>45685</v>
      </c>
      <c r="C32" s="487">
        <f t="shared" si="1"/>
        <v>0.95218178144148524</v>
      </c>
      <c r="D32" s="486">
        <f>IFERROR(('ввод добавок'!AD30)/('ввод добавок'!AJ30),0)</f>
        <v>0</v>
      </c>
      <c r="E32" s="487">
        <f t="shared" si="2"/>
        <v>5.8694078701034727E-2</v>
      </c>
      <c r="F32" s="486">
        <f>IFERROR(('ввод добавок'!AE30)/('ввод добавок'!AJ30),0)</f>
        <v>0</v>
      </c>
      <c r="G32" s="487">
        <f t="shared" si="3"/>
        <v>0</v>
      </c>
      <c r="H32" s="486">
        <f>IFERROR(('ввод добавок'!AW30)/('ввод добавок'!AI30),0)</f>
        <v>0</v>
      </c>
    </row>
    <row r="33" spans="2:8" hidden="1">
      <c r="B33" s="571">
        <f t="shared" si="0"/>
        <v>45686</v>
      </c>
      <c r="C33" s="487">
        <f t="shared" si="1"/>
        <v>0.95218178144148524</v>
      </c>
      <c r="D33" s="486">
        <f>IFERROR(('ввод добавок'!AD31)/('ввод добавок'!AJ31),0)</f>
        <v>0</v>
      </c>
      <c r="E33" s="487">
        <f t="shared" si="2"/>
        <v>5.8694078701034727E-2</v>
      </c>
      <c r="F33" s="486">
        <f>IFERROR(('ввод добавок'!AE31)/('ввод добавок'!AJ31),0)</f>
        <v>0</v>
      </c>
      <c r="G33" s="487">
        <f t="shared" si="3"/>
        <v>0</v>
      </c>
      <c r="H33" s="486">
        <f>IFERROR(('ввод добавок'!AW31)/('ввод добавок'!AI31),0)</f>
        <v>0</v>
      </c>
    </row>
    <row r="34" spans="2:8" hidden="1">
      <c r="B34" s="571">
        <f t="shared" si="0"/>
        <v>45687</v>
      </c>
      <c r="C34" s="487">
        <f t="shared" si="1"/>
        <v>0.95218178144148524</v>
      </c>
      <c r="D34" s="486">
        <f>IFERROR(('ввод добавок'!AD32)/('ввод добавок'!AJ32),0)</f>
        <v>0</v>
      </c>
      <c r="E34" s="487">
        <f t="shared" si="2"/>
        <v>5.8694078701034727E-2</v>
      </c>
      <c r="F34" s="486">
        <f>IFERROR(('ввод добавок'!AE32)/('ввод добавок'!AJ32),0)</f>
        <v>0</v>
      </c>
      <c r="G34" s="487">
        <f t="shared" si="3"/>
        <v>0</v>
      </c>
      <c r="H34" s="486">
        <f>IFERROR(('ввод добавок'!AW32)/('ввод добавок'!AI32),0)</f>
        <v>0</v>
      </c>
    </row>
    <row r="35" spans="2:8" hidden="1">
      <c r="B35" s="571">
        <f t="shared" si="0"/>
        <v>45688</v>
      </c>
      <c r="C35" s="487">
        <f t="shared" si="1"/>
        <v>0.95218178144148524</v>
      </c>
      <c r="D35" s="486">
        <f>IFERROR(('ввод добавок'!AD33)/('ввод добавок'!AJ33),0)</f>
        <v>0</v>
      </c>
      <c r="E35" s="487">
        <f t="shared" si="2"/>
        <v>5.8694078701034727E-2</v>
      </c>
      <c r="F35" s="486">
        <f>IFERROR(('ввод добавок'!AE33)/('ввод добавок'!AJ33),0)</f>
        <v>0</v>
      </c>
      <c r="G35" s="487">
        <f t="shared" si="3"/>
        <v>0</v>
      </c>
      <c r="H35" s="486">
        <f>IFERROR(('ввод добавок'!AW33)/('ввод добавок'!AI33),0)</f>
        <v>0</v>
      </c>
    </row>
  </sheetData>
  <autoFilter ref="B4:H35" xr:uid="{CED7A5C6-28C5-4F59-93F6-18F99B19C9A4}">
    <filterColumn colId="2">
      <filters>
        <filter val="94,6%"/>
        <filter val="94,8%"/>
        <filter val="95,3%"/>
      </filters>
    </filterColumn>
  </autoFilter>
  <mergeCells count="4">
    <mergeCell ref="C2:H2"/>
    <mergeCell ref="C3:D3"/>
    <mergeCell ref="E3:F3"/>
    <mergeCell ref="G3:H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6262-1A28-40EF-A6EE-86A79450BFA7}">
  <sheetPr filterMode="1"/>
  <dimension ref="B1:J35"/>
  <sheetViews>
    <sheetView workbookViewId="0">
      <selection activeCell="P1" sqref="P1:V2"/>
    </sheetView>
  </sheetViews>
  <sheetFormatPr defaultRowHeight="15"/>
  <cols>
    <col min="2" max="2" width="10.5703125" customWidth="1"/>
  </cols>
  <sheetData>
    <row r="1" spans="2:10" ht="15.75" thickBot="1"/>
    <row r="2" spans="2:10" ht="27.75" customHeight="1" thickBot="1">
      <c r="B2" s="504" t="s">
        <v>95</v>
      </c>
      <c r="C2" s="1437" t="s">
        <v>85</v>
      </c>
      <c r="D2" s="1438"/>
      <c r="E2" s="1438"/>
      <c r="F2" s="1438"/>
      <c r="G2" s="1438"/>
      <c r="H2" s="1438"/>
      <c r="I2" s="1438"/>
      <c r="J2" s="1439"/>
    </row>
    <row r="3" spans="2:10" ht="15.75" customHeight="1">
      <c r="B3" s="563" t="s">
        <v>152</v>
      </c>
      <c r="C3" s="1433" t="s">
        <v>99</v>
      </c>
      <c r="D3" s="1434"/>
      <c r="E3" s="1433" t="s">
        <v>42</v>
      </c>
      <c r="F3" s="1434"/>
      <c r="G3" s="1435" t="s">
        <v>59</v>
      </c>
      <c r="H3" s="1436"/>
      <c r="I3" s="1435" t="s">
        <v>98</v>
      </c>
      <c r="J3" s="1436"/>
    </row>
    <row r="4" spans="2:10" ht="16.5" thickBot="1">
      <c r="B4" s="564" t="s">
        <v>150</v>
      </c>
      <c r="C4" s="565" t="s">
        <v>151</v>
      </c>
      <c r="D4" s="565" t="s">
        <v>133</v>
      </c>
      <c r="E4" s="565" t="s">
        <v>151</v>
      </c>
      <c r="F4" s="565" t="s">
        <v>133</v>
      </c>
      <c r="G4" s="565" t="s">
        <v>151</v>
      </c>
      <c r="H4" s="565" t="s">
        <v>133</v>
      </c>
      <c r="I4" s="565" t="s">
        <v>151</v>
      </c>
      <c r="J4" s="566" t="s">
        <v>133</v>
      </c>
    </row>
    <row r="5" spans="2:10" hidden="1">
      <c r="B5" s="562">
        <v>45658</v>
      </c>
      <c r="C5" s="503">
        <v>0.71633525321383362</v>
      </c>
      <c r="D5" s="488">
        <f>'01'!$H$142</f>
        <v>0</v>
      </c>
      <c r="E5" s="489">
        <v>6.229433156421426E-2</v>
      </c>
      <c r="F5" s="488">
        <f>'01'!$C$142</f>
        <v>0</v>
      </c>
      <c r="G5" s="489">
        <v>0</v>
      </c>
      <c r="H5" s="488">
        <f>'01'!$F$142</f>
        <v>0</v>
      </c>
      <c r="I5" s="489">
        <v>0.242121</v>
      </c>
      <c r="J5" s="490">
        <f>'01'!$G$142</f>
        <v>0</v>
      </c>
    </row>
    <row r="6" spans="2:10" hidden="1">
      <c r="B6" s="560">
        <f>B5+1</f>
        <v>45659</v>
      </c>
      <c r="C6" s="501">
        <f>$C$5</f>
        <v>0.71633525321383362</v>
      </c>
      <c r="D6" s="486">
        <f>'02'!$H$142</f>
        <v>0</v>
      </c>
      <c r="E6" s="487">
        <f>$E$5</f>
        <v>6.229433156421426E-2</v>
      </c>
      <c r="F6" s="486">
        <f>'02'!$C$142</f>
        <v>0</v>
      </c>
      <c r="G6" s="487">
        <f>$G$5</f>
        <v>0</v>
      </c>
      <c r="H6" s="486">
        <f>'02'!$F$142</f>
        <v>0</v>
      </c>
      <c r="I6" s="487">
        <f>$I$5</f>
        <v>0.242121</v>
      </c>
      <c r="J6" s="491">
        <f>'02'!$G$142</f>
        <v>0</v>
      </c>
    </row>
    <row r="7" spans="2:10" hidden="1">
      <c r="B7" s="560">
        <f t="shared" ref="B7:B35" si="0">B6+1</f>
        <v>45660</v>
      </c>
      <c r="C7" s="501">
        <f t="shared" ref="C7:C35" si="1">$C$5</f>
        <v>0.71633525321383362</v>
      </c>
      <c r="D7" s="486">
        <f>'03'!$H$142</f>
        <v>0</v>
      </c>
      <c r="E7" s="487">
        <f t="shared" ref="E7:E35" si="2">$E$5</f>
        <v>6.229433156421426E-2</v>
      </c>
      <c r="F7" s="486">
        <f>'03'!$C$142</f>
        <v>0</v>
      </c>
      <c r="G7" s="487">
        <f t="shared" ref="G7:G35" si="3">$G$5</f>
        <v>0</v>
      </c>
      <c r="H7" s="486">
        <f>'03'!$F$142</f>
        <v>0</v>
      </c>
      <c r="I7" s="487">
        <f t="shared" ref="I7:I35" si="4">$I$5</f>
        <v>0.242121</v>
      </c>
      <c r="J7" s="491">
        <f>'03'!$G$142</f>
        <v>0</v>
      </c>
    </row>
    <row r="8" spans="2:10">
      <c r="B8" s="560">
        <f t="shared" si="0"/>
        <v>45661</v>
      </c>
      <c r="C8" s="501">
        <f t="shared" si="1"/>
        <v>0.71633525321383362</v>
      </c>
      <c r="D8" s="486">
        <f>'04'!$H$142</f>
        <v>0</v>
      </c>
      <c r="E8" s="487">
        <f t="shared" si="2"/>
        <v>6.229433156421426E-2</v>
      </c>
      <c r="F8" s="486">
        <f>'04'!$C$142</f>
        <v>0</v>
      </c>
      <c r="G8" s="487">
        <f t="shared" si="3"/>
        <v>0</v>
      </c>
      <c r="H8" s="486">
        <f>'04'!$F$142</f>
        <v>0</v>
      </c>
      <c r="I8" s="487">
        <f t="shared" si="4"/>
        <v>0.242121</v>
      </c>
      <c r="J8" s="491">
        <f>'04'!$G$142</f>
        <v>0</v>
      </c>
    </row>
    <row r="9" spans="2:10" hidden="1">
      <c r="B9" s="560">
        <f t="shared" si="0"/>
        <v>45662</v>
      </c>
      <c r="C9" s="501">
        <f t="shared" si="1"/>
        <v>0.71633525321383362</v>
      </c>
      <c r="D9" s="486">
        <f>'05'!$H$142</f>
        <v>0</v>
      </c>
      <c r="E9" s="487">
        <f t="shared" si="2"/>
        <v>6.229433156421426E-2</v>
      </c>
      <c r="F9" s="486">
        <f>'05'!$C$142</f>
        <v>0</v>
      </c>
      <c r="G9" s="487">
        <f t="shared" si="3"/>
        <v>0</v>
      </c>
      <c r="H9" s="486">
        <f>'05'!$F$142</f>
        <v>0</v>
      </c>
      <c r="I9" s="487">
        <f t="shared" si="4"/>
        <v>0.242121</v>
      </c>
      <c r="J9" s="491">
        <f>'05'!$G$142</f>
        <v>0</v>
      </c>
    </row>
    <row r="10" spans="2:10" hidden="1">
      <c r="B10" s="560">
        <f t="shared" si="0"/>
        <v>45663</v>
      </c>
      <c r="C10" s="501">
        <f t="shared" si="1"/>
        <v>0.71633525321383362</v>
      </c>
      <c r="D10" s="486">
        <f>'06'!$H$142</f>
        <v>0</v>
      </c>
      <c r="E10" s="487">
        <f t="shared" si="2"/>
        <v>6.229433156421426E-2</v>
      </c>
      <c r="F10" s="486">
        <f>'06'!$C$142</f>
        <v>0</v>
      </c>
      <c r="G10" s="487">
        <f t="shared" si="3"/>
        <v>0</v>
      </c>
      <c r="H10" s="486">
        <f>'06'!$F$142</f>
        <v>0</v>
      </c>
      <c r="I10" s="487">
        <f t="shared" si="4"/>
        <v>0.242121</v>
      </c>
      <c r="J10" s="491">
        <f>'06'!$G$142</f>
        <v>0</v>
      </c>
    </row>
    <row r="11" spans="2:10" hidden="1">
      <c r="B11" s="560">
        <f t="shared" si="0"/>
        <v>45664</v>
      </c>
      <c r="C11" s="501">
        <f t="shared" si="1"/>
        <v>0.71633525321383362</v>
      </c>
      <c r="D11" s="486">
        <f>'07'!$H$142</f>
        <v>0</v>
      </c>
      <c r="E11" s="487">
        <f t="shared" si="2"/>
        <v>6.229433156421426E-2</v>
      </c>
      <c r="F11" s="486">
        <f>'07'!$C$142</f>
        <v>0</v>
      </c>
      <c r="G11" s="487">
        <f t="shared" si="3"/>
        <v>0</v>
      </c>
      <c r="H11" s="486">
        <f>'07'!$F$142</f>
        <v>0</v>
      </c>
      <c r="I11" s="487">
        <f t="shared" si="4"/>
        <v>0.242121</v>
      </c>
      <c r="J11" s="491">
        <f>'07'!$G$142</f>
        <v>0</v>
      </c>
    </row>
    <row r="12" spans="2:10" hidden="1">
      <c r="B12" s="560">
        <f t="shared" si="0"/>
        <v>45665</v>
      </c>
      <c r="C12" s="501">
        <f t="shared" si="1"/>
        <v>0.71633525321383362</v>
      </c>
      <c r="D12" s="486">
        <f>'08'!$H$142</f>
        <v>0</v>
      </c>
      <c r="E12" s="487">
        <f t="shared" si="2"/>
        <v>6.229433156421426E-2</v>
      </c>
      <c r="F12" s="486">
        <f>'08'!$C$142</f>
        <v>0</v>
      </c>
      <c r="G12" s="487">
        <f t="shared" si="3"/>
        <v>0</v>
      </c>
      <c r="H12" s="486">
        <f>'08'!$F$142</f>
        <v>0</v>
      </c>
      <c r="I12" s="487">
        <f t="shared" si="4"/>
        <v>0.242121</v>
      </c>
      <c r="J12" s="491">
        <f>'08'!$G$142</f>
        <v>0</v>
      </c>
    </row>
    <row r="13" spans="2:10" hidden="1">
      <c r="B13" s="560">
        <f t="shared" si="0"/>
        <v>45666</v>
      </c>
      <c r="C13" s="501">
        <f t="shared" si="1"/>
        <v>0.71633525321383362</v>
      </c>
      <c r="D13" s="486">
        <f>'09'!$H$142</f>
        <v>0</v>
      </c>
      <c r="E13" s="487">
        <f t="shared" si="2"/>
        <v>6.229433156421426E-2</v>
      </c>
      <c r="F13" s="486">
        <f>'09'!$C$142</f>
        <v>0</v>
      </c>
      <c r="G13" s="487">
        <f t="shared" si="3"/>
        <v>0</v>
      </c>
      <c r="H13" s="486">
        <f>'09'!$F$142</f>
        <v>0</v>
      </c>
      <c r="I13" s="487">
        <f t="shared" si="4"/>
        <v>0.242121</v>
      </c>
      <c r="J13" s="491">
        <f>'09'!$G$142</f>
        <v>0</v>
      </c>
    </row>
    <row r="14" spans="2:10">
      <c r="B14" s="560">
        <f t="shared" si="0"/>
        <v>45667</v>
      </c>
      <c r="C14" s="501">
        <f t="shared" si="1"/>
        <v>0.71633525321383362</v>
      </c>
      <c r="D14" s="486">
        <f>'10'!$H$142</f>
        <v>0</v>
      </c>
      <c r="E14" s="487">
        <f t="shared" si="2"/>
        <v>6.229433156421426E-2</v>
      </c>
      <c r="F14" s="486">
        <f>'10'!$C$142</f>
        <v>0</v>
      </c>
      <c r="G14" s="487">
        <f t="shared" si="3"/>
        <v>0</v>
      </c>
      <c r="H14" s="486">
        <f>'10'!$F$142</f>
        <v>0</v>
      </c>
      <c r="I14" s="487">
        <f t="shared" si="4"/>
        <v>0.242121</v>
      </c>
      <c r="J14" s="491">
        <f>'10'!$G$142</f>
        <v>0</v>
      </c>
    </row>
    <row r="15" spans="2:10" hidden="1">
      <c r="B15" s="560">
        <f t="shared" si="0"/>
        <v>45668</v>
      </c>
      <c r="C15" s="501">
        <f t="shared" si="1"/>
        <v>0.71633525321383362</v>
      </c>
      <c r="D15" s="486">
        <f>'11'!$H$142</f>
        <v>0</v>
      </c>
      <c r="E15" s="487">
        <f t="shared" si="2"/>
        <v>6.229433156421426E-2</v>
      </c>
      <c r="F15" s="486">
        <f>'11'!$C$142</f>
        <v>0</v>
      </c>
      <c r="G15" s="487">
        <f t="shared" si="3"/>
        <v>0</v>
      </c>
      <c r="H15" s="486">
        <f>'11'!$F$142</f>
        <v>0</v>
      </c>
      <c r="I15" s="487">
        <f t="shared" si="4"/>
        <v>0.242121</v>
      </c>
      <c r="J15" s="491">
        <f>'11'!$G$142</f>
        <v>0</v>
      </c>
    </row>
    <row r="16" spans="2:10" hidden="1">
      <c r="B16" s="560">
        <f t="shared" si="0"/>
        <v>45669</v>
      </c>
      <c r="C16" s="501">
        <f t="shared" si="1"/>
        <v>0.71633525321383362</v>
      </c>
      <c r="D16" s="486">
        <f>'12'!$H$142</f>
        <v>0</v>
      </c>
      <c r="E16" s="487">
        <f t="shared" si="2"/>
        <v>6.229433156421426E-2</v>
      </c>
      <c r="F16" s="486">
        <f>'12'!$C$142</f>
        <v>0</v>
      </c>
      <c r="G16" s="487">
        <f t="shared" si="3"/>
        <v>0</v>
      </c>
      <c r="H16" s="486">
        <f>'12'!$F$142</f>
        <v>0</v>
      </c>
      <c r="I16" s="487">
        <f t="shared" si="4"/>
        <v>0.242121</v>
      </c>
      <c r="J16" s="491">
        <f>'12'!$G$142</f>
        <v>0</v>
      </c>
    </row>
    <row r="17" spans="2:10" hidden="1">
      <c r="B17" s="560">
        <f t="shared" si="0"/>
        <v>45670</v>
      </c>
      <c r="C17" s="501">
        <f t="shared" si="1"/>
        <v>0.71633525321383362</v>
      </c>
      <c r="D17" s="486">
        <f>'13'!$H$142</f>
        <v>0</v>
      </c>
      <c r="E17" s="487">
        <f t="shared" si="2"/>
        <v>6.229433156421426E-2</v>
      </c>
      <c r="F17" s="486">
        <f>'13'!$C$142</f>
        <v>0</v>
      </c>
      <c r="G17" s="487">
        <f t="shared" si="3"/>
        <v>0</v>
      </c>
      <c r="H17" s="486">
        <f>'13'!$F$142</f>
        <v>0</v>
      </c>
      <c r="I17" s="487">
        <f t="shared" si="4"/>
        <v>0.242121</v>
      </c>
      <c r="J17" s="491">
        <f>'13'!$G$142</f>
        <v>0</v>
      </c>
    </row>
    <row r="18" spans="2:10" hidden="1">
      <c r="B18" s="560">
        <f t="shared" si="0"/>
        <v>45671</v>
      </c>
      <c r="C18" s="501">
        <f t="shared" si="1"/>
        <v>0.71633525321383362</v>
      </c>
      <c r="D18" s="486">
        <f>'14'!$H$142</f>
        <v>0</v>
      </c>
      <c r="E18" s="487">
        <f t="shared" si="2"/>
        <v>6.229433156421426E-2</v>
      </c>
      <c r="F18" s="486">
        <f>'14'!$C$142</f>
        <v>0</v>
      </c>
      <c r="G18" s="487">
        <f t="shared" si="3"/>
        <v>0</v>
      </c>
      <c r="H18" s="486">
        <f>'14'!$F$142</f>
        <v>0</v>
      </c>
      <c r="I18" s="487">
        <f t="shared" si="4"/>
        <v>0.242121</v>
      </c>
      <c r="J18" s="491">
        <f>'14'!$G$142</f>
        <v>0</v>
      </c>
    </row>
    <row r="19" spans="2:10" hidden="1">
      <c r="B19" s="560">
        <f t="shared" si="0"/>
        <v>45672</v>
      </c>
      <c r="C19" s="501">
        <f t="shared" si="1"/>
        <v>0.71633525321383362</v>
      </c>
      <c r="D19" s="486">
        <f>'15'!$H$142</f>
        <v>0</v>
      </c>
      <c r="E19" s="487">
        <f t="shared" si="2"/>
        <v>6.229433156421426E-2</v>
      </c>
      <c r="F19" s="486">
        <f>'15'!$C$142</f>
        <v>0</v>
      </c>
      <c r="G19" s="487">
        <f t="shared" si="3"/>
        <v>0</v>
      </c>
      <c r="H19" s="486">
        <f>'15'!$F$142</f>
        <v>0</v>
      </c>
      <c r="I19" s="487">
        <f t="shared" si="4"/>
        <v>0.242121</v>
      </c>
      <c r="J19" s="491">
        <f>'15'!$G$142</f>
        <v>0</v>
      </c>
    </row>
    <row r="20" spans="2:10">
      <c r="B20" s="560">
        <f t="shared" si="0"/>
        <v>45673</v>
      </c>
      <c r="C20" s="501">
        <f t="shared" si="1"/>
        <v>0.71633525321383362</v>
      </c>
      <c r="D20" s="486">
        <f>'16'!$H$142</f>
        <v>0</v>
      </c>
      <c r="E20" s="487">
        <f t="shared" si="2"/>
        <v>6.229433156421426E-2</v>
      </c>
      <c r="F20" s="486">
        <f>'16'!$C$142</f>
        <v>0</v>
      </c>
      <c r="G20" s="487">
        <f t="shared" si="3"/>
        <v>0</v>
      </c>
      <c r="H20" s="486">
        <f>'16'!$F$142</f>
        <v>0</v>
      </c>
      <c r="I20" s="487">
        <f t="shared" si="4"/>
        <v>0.242121</v>
      </c>
      <c r="J20" s="491">
        <f>'16'!$G$142</f>
        <v>0</v>
      </c>
    </row>
    <row r="21" spans="2:10" hidden="1">
      <c r="B21" s="560">
        <f t="shared" si="0"/>
        <v>45674</v>
      </c>
      <c r="C21" s="501">
        <f t="shared" si="1"/>
        <v>0.71633525321383362</v>
      </c>
      <c r="D21" s="486">
        <f>'17'!$H$142</f>
        <v>0</v>
      </c>
      <c r="E21" s="487">
        <f t="shared" si="2"/>
        <v>6.229433156421426E-2</v>
      </c>
      <c r="F21" s="486">
        <f>'17'!$C$142</f>
        <v>0</v>
      </c>
      <c r="G21" s="487">
        <f t="shared" si="3"/>
        <v>0</v>
      </c>
      <c r="H21" s="486">
        <f>'17'!$F$142</f>
        <v>0</v>
      </c>
      <c r="I21" s="487">
        <f t="shared" si="4"/>
        <v>0.242121</v>
      </c>
      <c r="J21" s="491">
        <f>'17'!$G$142</f>
        <v>0</v>
      </c>
    </row>
    <row r="22" spans="2:10" hidden="1">
      <c r="B22" s="560">
        <f t="shared" si="0"/>
        <v>45675</v>
      </c>
      <c r="C22" s="501">
        <f t="shared" si="1"/>
        <v>0.71633525321383362</v>
      </c>
      <c r="D22" s="486">
        <f>'18'!$H$142</f>
        <v>0</v>
      </c>
      <c r="E22" s="487">
        <f t="shared" si="2"/>
        <v>6.229433156421426E-2</v>
      </c>
      <c r="F22" s="486">
        <f>'18'!$C$142</f>
        <v>0</v>
      </c>
      <c r="G22" s="487">
        <f t="shared" si="3"/>
        <v>0</v>
      </c>
      <c r="H22" s="486">
        <f>'18'!$F$142</f>
        <v>0</v>
      </c>
      <c r="I22" s="487">
        <f t="shared" si="4"/>
        <v>0.242121</v>
      </c>
      <c r="J22" s="491">
        <f>'18'!$G$142</f>
        <v>0</v>
      </c>
    </row>
    <row r="23" spans="2:10" hidden="1">
      <c r="B23" s="560">
        <f t="shared" si="0"/>
        <v>45676</v>
      </c>
      <c r="C23" s="501">
        <f t="shared" si="1"/>
        <v>0.71633525321383362</v>
      </c>
      <c r="D23" s="486">
        <f>'19'!$H$142</f>
        <v>0</v>
      </c>
      <c r="E23" s="487">
        <f t="shared" si="2"/>
        <v>6.229433156421426E-2</v>
      </c>
      <c r="F23" s="486">
        <f>'19'!$C$142</f>
        <v>0</v>
      </c>
      <c r="G23" s="487">
        <f t="shared" si="3"/>
        <v>0</v>
      </c>
      <c r="H23" s="486">
        <f>'19'!$F$142</f>
        <v>0</v>
      </c>
      <c r="I23" s="487">
        <f t="shared" si="4"/>
        <v>0.242121</v>
      </c>
      <c r="J23" s="491">
        <f>'19'!$G$142</f>
        <v>0</v>
      </c>
    </row>
    <row r="24" spans="2:10" hidden="1">
      <c r="B24" s="560">
        <f t="shared" si="0"/>
        <v>45677</v>
      </c>
      <c r="C24" s="501">
        <f t="shared" si="1"/>
        <v>0.71633525321383362</v>
      </c>
      <c r="D24" s="486">
        <f>'20'!$H$142</f>
        <v>0</v>
      </c>
      <c r="E24" s="487">
        <f t="shared" si="2"/>
        <v>6.229433156421426E-2</v>
      </c>
      <c r="F24" s="486">
        <f>'20'!$C$142</f>
        <v>0</v>
      </c>
      <c r="G24" s="487">
        <f t="shared" si="3"/>
        <v>0</v>
      </c>
      <c r="H24" s="486">
        <f>'20'!$F$142</f>
        <v>0</v>
      </c>
      <c r="I24" s="487">
        <f t="shared" si="4"/>
        <v>0.242121</v>
      </c>
      <c r="J24" s="491">
        <f>'20'!$G$142</f>
        <v>0</v>
      </c>
    </row>
    <row r="25" spans="2:10" hidden="1">
      <c r="B25" s="560">
        <f t="shared" si="0"/>
        <v>45678</v>
      </c>
      <c r="C25" s="501">
        <f t="shared" si="1"/>
        <v>0.71633525321383362</v>
      </c>
      <c r="D25" s="486">
        <f>'21'!$H$142</f>
        <v>0</v>
      </c>
      <c r="E25" s="487">
        <f t="shared" si="2"/>
        <v>6.229433156421426E-2</v>
      </c>
      <c r="F25" s="486">
        <f>'21'!$C$142</f>
        <v>0</v>
      </c>
      <c r="G25" s="487">
        <f t="shared" si="3"/>
        <v>0</v>
      </c>
      <c r="H25" s="486">
        <f>'21'!$F$142</f>
        <v>0</v>
      </c>
      <c r="I25" s="487">
        <f t="shared" si="4"/>
        <v>0.242121</v>
      </c>
      <c r="J25" s="491">
        <f>'21'!$G$142</f>
        <v>0</v>
      </c>
    </row>
    <row r="26" spans="2:10" hidden="1">
      <c r="B26" s="560">
        <f t="shared" si="0"/>
        <v>45679</v>
      </c>
      <c r="C26" s="501">
        <f t="shared" si="1"/>
        <v>0.71633525321383362</v>
      </c>
      <c r="D26" s="486">
        <f>'22'!$H$142</f>
        <v>0</v>
      </c>
      <c r="E26" s="487">
        <f t="shared" si="2"/>
        <v>6.229433156421426E-2</v>
      </c>
      <c r="F26" s="486">
        <f>'22'!$C$142</f>
        <v>0</v>
      </c>
      <c r="G26" s="487">
        <f t="shared" si="3"/>
        <v>0</v>
      </c>
      <c r="H26" s="486">
        <f>'22'!$F$142</f>
        <v>0</v>
      </c>
      <c r="I26" s="487">
        <f t="shared" si="4"/>
        <v>0.242121</v>
      </c>
      <c r="J26" s="491">
        <f>'22'!$G$142</f>
        <v>0</v>
      </c>
    </row>
    <row r="27" spans="2:10" hidden="1">
      <c r="B27" s="560">
        <f t="shared" si="0"/>
        <v>45680</v>
      </c>
      <c r="C27" s="501">
        <f t="shared" si="1"/>
        <v>0.71633525321383362</v>
      </c>
      <c r="D27" s="486">
        <f>'23'!$H$142</f>
        <v>0</v>
      </c>
      <c r="E27" s="487">
        <f t="shared" si="2"/>
        <v>6.229433156421426E-2</v>
      </c>
      <c r="F27" s="486">
        <f>'23'!$C$142</f>
        <v>0</v>
      </c>
      <c r="G27" s="487">
        <f t="shared" si="3"/>
        <v>0</v>
      </c>
      <c r="H27" s="486">
        <f>'23'!$F$142</f>
        <v>0</v>
      </c>
      <c r="I27" s="487">
        <f t="shared" si="4"/>
        <v>0.242121</v>
      </c>
      <c r="J27" s="491">
        <f>'23'!$G$142</f>
        <v>0</v>
      </c>
    </row>
    <row r="28" spans="2:10" hidden="1">
      <c r="B28" s="560">
        <f t="shared" si="0"/>
        <v>45681</v>
      </c>
      <c r="C28" s="501">
        <f t="shared" si="1"/>
        <v>0.71633525321383362</v>
      </c>
      <c r="D28" s="486">
        <f>'24'!$H$142</f>
        <v>0</v>
      </c>
      <c r="E28" s="487">
        <f t="shared" si="2"/>
        <v>6.229433156421426E-2</v>
      </c>
      <c r="F28" s="486">
        <f>'24'!$C$142</f>
        <v>0</v>
      </c>
      <c r="G28" s="487">
        <f t="shared" si="3"/>
        <v>0</v>
      </c>
      <c r="H28" s="486">
        <f>'24'!$F$142</f>
        <v>0</v>
      </c>
      <c r="I28" s="487">
        <f t="shared" si="4"/>
        <v>0.242121</v>
      </c>
      <c r="J28" s="491">
        <f>'24'!$G$142</f>
        <v>0</v>
      </c>
    </row>
    <row r="29" spans="2:10" hidden="1">
      <c r="B29" s="560">
        <f t="shared" si="0"/>
        <v>45682</v>
      </c>
      <c r="C29" s="501">
        <f t="shared" si="1"/>
        <v>0.71633525321383362</v>
      </c>
      <c r="D29" s="486">
        <f>'25'!$H$142</f>
        <v>0</v>
      </c>
      <c r="E29" s="487">
        <f t="shared" si="2"/>
        <v>6.229433156421426E-2</v>
      </c>
      <c r="F29" s="486">
        <f>'25'!$C$142</f>
        <v>0</v>
      </c>
      <c r="G29" s="487">
        <f t="shared" si="3"/>
        <v>0</v>
      </c>
      <c r="H29" s="486">
        <f>'25'!$F$142</f>
        <v>0</v>
      </c>
      <c r="I29" s="487">
        <f t="shared" si="4"/>
        <v>0.242121</v>
      </c>
      <c r="J29" s="491">
        <f>'25'!$G$142</f>
        <v>0</v>
      </c>
    </row>
    <row r="30" spans="2:10" hidden="1">
      <c r="B30" s="560">
        <f t="shared" si="0"/>
        <v>45683</v>
      </c>
      <c r="C30" s="501">
        <f t="shared" si="1"/>
        <v>0.71633525321383362</v>
      </c>
      <c r="D30" s="486">
        <f>'26'!$H$142</f>
        <v>0</v>
      </c>
      <c r="E30" s="487">
        <f t="shared" si="2"/>
        <v>6.229433156421426E-2</v>
      </c>
      <c r="F30" s="486">
        <f>'26'!$C$142</f>
        <v>0</v>
      </c>
      <c r="G30" s="487">
        <f t="shared" si="3"/>
        <v>0</v>
      </c>
      <c r="H30" s="486">
        <f>'26'!$F$142</f>
        <v>0</v>
      </c>
      <c r="I30" s="487">
        <f t="shared" si="4"/>
        <v>0.242121</v>
      </c>
      <c r="J30" s="491">
        <f>'26'!$G$142</f>
        <v>0</v>
      </c>
    </row>
    <row r="31" spans="2:10" hidden="1">
      <c r="B31" s="560">
        <f t="shared" si="0"/>
        <v>45684</v>
      </c>
      <c r="C31" s="501">
        <f t="shared" si="1"/>
        <v>0.71633525321383362</v>
      </c>
      <c r="D31" s="486">
        <f>'27'!$H$142</f>
        <v>0</v>
      </c>
      <c r="E31" s="487">
        <f t="shared" si="2"/>
        <v>6.229433156421426E-2</v>
      </c>
      <c r="F31" s="486">
        <f>'27'!$C$142</f>
        <v>0</v>
      </c>
      <c r="G31" s="487">
        <f t="shared" si="3"/>
        <v>0</v>
      </c>
      <c r="H31" s="486">
        <f>'27'!$F$142</f>
        <v>0</v>
      </c>
      <c r="I31" s="487">
        <f t="shared" si="4"/>
        <v>0.242121</v>
      </c>
      <c r="J31" s="491">
        <f>'27'!$G$142</f>
        <v>0</v>
      </c>
    </row>
    <row r="32" spans="2:10" hidden="1">
      <c r="B32" s="560">
        <f t="shared" si="0"/>
        <v>45685</v>
      </c>
      <c r="C32" s="501">
        <f t="shared" si="1"/>
        <v>0.71633525321383362</v>
      </c>
      <c r="D32" s="486">
        <f>'28'!$H$142</f>
        <v>0</v>
      </c>
      <c r="E32" s="487">
        <f t="shared" si="2"/>
        <v>6.229433156421426E-2</v>
      </c>
      <c r="F32" s="486">
        <f>'28'!$C$142</f>
        <v>0</v>
      </c>
      <c r="G32" s="487">
        <f t="shared" si="3"/>
        <v>0</v>
      </c>
      <c r="H32" s="486">
        <f>'28'!$F$142</f>
        <v>0</v>
      </c>
      <c r="I32" s="487">
        <f t="shared" si="4"/>
        <v>0.242121</v>
      </c>
      <c r="J32" s="491">
        <f>'28'!$G$142</f>
        <v>0</v>
      </c>
    </row>
    <row r="33" spans="2:10" hidden="1">
      <c r="B33" s="560">
        <f t="shared" si="0"/>
        <v>45686</v>
      </c>
      <c r="C33" s="501">
        <f t="shared" si="1"/>
        <v>0.71633525321383362</v>
      </c>
      <c r="D33" s="486">
        <f>'29'!$H$142</f>
        <v>0</v>
      </c>
      <c r="E33" s="487">
        <f t="shared" si="2"/>
        <v>6.229433156421426E-2</v>
      </c>
      <c r="F33" s="486">
        <f>'29'!$C$142</f>
        <v>0</v>
      </c>
      <c r="G33" s="487">
        <f t="shared" si="3"/>
        <v>0</v>
      </c>
      <c r="H33" s="486">
        <f>'29'!$F$142</f>
        <v>0</v>
      </c>
      <c r="I33" s="487">
        <f t="shared" si="4"/>
        <v>0.242121</v>
      </c>
      <c r="J33" s="491">
        <f>'29'!$G$142</f>
        <v>0</v>
      </c>
    </row>
    <row r="34" spans="2:10" hidden="1">
      <c r="B34" s="560">
        <f t="shared" si="0"/>
        <v>45687</v>
      </c>
      <c r="C34" s="501">
        <f t="shared" si="1"/>
        <v>0.71633525321383362</v>
      </c>
      <c r="D34" s="486">
        <f>'30'!$H$142</f>
        <v>0</v>
      </c>
      <c r="E34" s="487">
        <f t="shared" si="2"/>
        <v>6.229433156421426E-2</v>
      </c>
      <c r="F34" s="486">
        <f>'30'!$C$142</f>
        <v>0</v>
      </c>
      <c r="G34" s="487">
        <f t="shared" si="3"/>
        <v>0</v>
      </c>
      <c r="H34" s="486">
        <f>'30'!$F$142</f>
        <v>0</v>
      </c>
      <c r="I34" s="487">
        <f t="shared" si="4"/>
        <v>0.242121</v>
      </c>
      <c r="J34" s="491">
        <f>'30'!$G$142</f>
        <v>0</v>
      </c>
    </row>
    <row r="35" spans="2:10" ht="15.75" hidden="1" thickBot="1">
      <c r="B35" s="561">
        <f t="shared" si="0"/>
        <v>45688</v>
      </c>
      <c r="C35" s="502">
        <f t="shared" si="1"/>
        <v>0.71633525321383362</v>
      </c>
      <c r="D35" s="492">
        <f>'31'!$H$142</f>
        <v>0</v>
      </c>
      <c r="E35" s="493">
        <f t="shared" si="2"/>
        <v>6.229433156421426E-2</v>
      </c>
      <c r="F35" s="492">
        <f>'31'!$C$142</f>
        <v>0</v>
      </c>
      <c r="G35" s="493">
        <f t="shared" si="3"/>
        <v>0</v>
      </c>
      <c r="H35" s="492">
        <f>'31'!$F$142</f>
        <v>0</v>
      </c>
      <c r="I35" s="493">
        <f t="shared" si="4"/>
        <v>0.242121</v>
      </c>
      <c r="J35" s="494">
        <f>'31'!$G$142</f>
        <v>0</v>
      </c>
    </row>
  </sheetData>
  <autoFilter ref="B4:J35" xr:uid="{0F156262-1A28-40EF-A6EE-86A79450BFA7}">
    <filterColumn colId="2">
      <filters>
        <filter val="66,5%"/>
        <filter val="69,6%"/>
        <filter val="71,5%"/>
      </filters>
    </filterColumn>
  </autoFilter>
  <mergeCells count="5">
    <mergeCell ref="I3:J3"/>
    <mergeCell ref="C2:J2"/>
    <mergeCell ref="C3:D3"/>
    <mergeCell ref="E3:F3"/>
    <mergeCell ref="G3:H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57AF3-AF39-4C0A-B3AC-237FD3F0EDE5}">
  <sheetPr filterMode="1"/>
  <dimension ref="B1:J35"/>
  <sheetViews>
    <sheetView workbookViewId="0">
      <selection activeCell="P1" sqref="P1:V2"/>
    </sheetView>
  </sheetViews>
  <sheetFormatPr defaultRowHeight="15"/>
  <cols>
    <col min="2" max="2" width="10.7109375" customWidth="1"/>
  </cols>
  <sheetData>
    <row r="1" spans="2:10" ht="15.75" thickBot="1"/>
    <row r="2" spans="2:10" ht="30.75" thickBot="1">
      <c r="B2" s="504" t="s">
        <v>95</v>
      </c>
      <c r="C2" s="1442" t="s">
        <v>86</v>
      </c>
      <c r="D2" s="1442"/>
      <c r="E2" s="1442"/>
      <c r="F2" s="1442"/>
      <c r="G2" s="1442"/>
      <c r="H2" s="1442"/>
      <c r="I2" s="1442"/>
      <c r="J2" s="1446"/>
    </row>
    <row r="3" spans="2:10" ht="15.75">
      <c r="B3" s="505" t="s">
        <v>152</v>
      </c>
      <c r="C3" s="1440" t="s">
        <v>99</v>
      </c>
      <c r="D3" s="1434"/>
      <c r="E3" s="1433" t="s">
        <v>42</v>
      </c>
      <c r="F3" s="1434"/>
      <c r="G3" s="1435" t="s">
        <v>59</v>
      </c>
      <c r="H3" s="1436"/>
      <c r="I3" s="1435" t="s">
        <v>98</v>
      </c>
      <c r="J3" s="1436"/>
    </row>
    <row r="4" spans="2:10" ht="16.5" thickBot="1">
      <c r="B4" s="506" t="s">
        <v>150</v>
      </c>
      <c r="C4" s="507" t="s">
        <v>151</v>
      </c>
      <c r="D4" s="508" t="s">
        <v>133</v>
      </c>
      <c r="E4" s="509" t="s">
        <v>151</v>
      </c>
      <c r="F4" s="508" t="s">
        <v>133</v>
      </c>
      <c r="G4" s="509" t="s">
        <v>151</v>
      </c>
      <c r="H4" s="508" t="s">
        <v>133</v>
      </c>
      <c r="I4" s="509" t="s">
        <v>151</v>
      </c>
      <c r="J4" s="508" t="s">
        <v>133</v>
      </c>
    </row>
    <row r="5" spans="2:10">
      <c r="B5" s="559">
        <v>45658</v>
      </c>
      <c r="C5" s="495">
        <v>0.75712759112548067</v>
      </c>
      <c r="D5" s="488">
        <f>'01'!$H$140</f>
        <v>0</v>
      </c>
      <c r="E5" s="489">
        <v>6.1896050315885812E-2</v>
      </c>
      <c r="F5" s="488">
        <f>'01'!$C$140</f>
        <v>0</v>
      </c>
      <c r="G5" s="489">
        <v>0</v>
      </c>
      <c r="H5" s="488">
        <f>'01'!$F$140</f>
        <v>0</v>
      </c>
      <c r="I5" s="489">
        <v>0.200013</v>
      </c>
      <c r="J5" s="490">
        <f>'01'!$G$140</f>
        <v>0</v>
      </c>
    </row>
    <row r="6" spans="2:10">
      <c r="B6" s="560">
        <f>B5+1</f>
        <v>45659</v>
      </c>
      <c r="C6" s="496">
        <f>$C$5</f>
        <v>0.75712759112548067</v>
      </c>
      <c r="D6" s="486">
        <f>'02'!$H$140</f>
        <v>0</v>
      </c>
      <c r="E6" s="487">
        <f>$E$5</f>
        <v>6.1896050315885812E-2</v>
      </c>
      <c r="F6" s="486">
        <f>'02'!$C$140</f>
        <v>0</v>
      </c>
      <c r="G6" s="487">
        <f>$G$5</f>
        <v>0</v>
      </c>
      <c r="H6" s="486">
        <f>'02'!$F$140</f>
        <v>0</v>
      </c>
      <c r="I6" s="487">
        <f>$I$5</f>
        <v>0.200013</v>
      </c>
      <c r="J6" s="491">
        <f>'02'!$G$140</f>
        <v>0</v>
      </c>
    </row>
    <row r="7" spans="2:10" hidden="1">
      <c r="B7" s="560">
        <f t="shared" ref="B7:B35" si="0">B6+1</f>
        <v>45660</v>
      </c>
      <c r="C7" s="496">
        <f t="shared" ref="C7:C35" si="1">$C$5</f>
        <v>0.75712759112548067</v>
      </c>
      <c r="D7" s="486">
        <f>'03'!$H$140</f>
        <v>0</v>
      </c>
      <c r="E7" s="487">
        <f t="shared" ref="E7:E35" si="2">$E$5</f>
        <v>6.1896050315885812E-2</v>
      </c>
      <c r="F7" s="486">
        <f>'03'!$C$140</f>
        <v>0</v>
      </c>
      <c r="G7" s="487">
        <f t="shared" ref="G7:G35" si="3">$G$5</f>
        <v>0</v>
      </c>
      <c r="H7" s="486">
        <f>'03'!$F$140</f>
        <v>0</v>
      </c>
      <c r="I7" s="487">
        <f t="shared" ref="I7:I35" si="4">$I$5</f>
        <v>0.200013</v>
      </c>
      <c r="J7" s="491">
        <f>'03'!$G$140</f>
        <v>0</v>
      </c>
    </row>
    <row r="8" spans="2:10">
      <c r="B8" s="560">
        <f t="shared" si="0"/>
        <v>45661</v>
      </c>
      <c r="C8" s="496">
        <f t="shared" si="1"/>
        <v>0.75712759112548067</v>
      </c>
      <c r="D8" s="486">
        <f>'04'!$H$140</f>
        <v>0</v>
      </c>
      <c r="E8" s="487">
        <f t="shared" si="2"/>
        <v>6.1896050315885812E-2</v>
      </c>
      <c r="F8" s="486">
        <f>'04'!$C$140</f>
        <v>0</v>
      </c>
      <c r="G8" s="487">
        <f t="shared" si="3"/>
        <v>0</v>
      </c>
      <c r="H8" s="486">
        <f>'04'!$F$140</f>
        <v>0</v>
      </c>
      <c r="I8" s="487">
        <f t="shared" si="4"/>
        <v>0.200013</v>
      </c>
      <c r="J8" s="491">
        <f>'04'!$G$140</f>
        <v>0</v>
      </c>
    </row>
    <row r="9" spans="2:10">
      <c r="B9" s="560">
        <f t="shared" si="0"/>
        <v>45662</v>
      </c>
      <c r="C9" s="496">
        <f t="shared" si="1"/>
        <v>0.75712759112548067</v>
      </c>
      <c r="D9" s="486">
        <f>'05'!$H$140</f>
        <v>0</v>
      </c>
      <c r="E9" s="487">
        <f t="shared" si="2"/>
        <v>6.1896050315885812E-2</v>
      </c>
      <c r="F9" s="486">
        <f>'05'!$C$140</f>
        <v>0</v>
      </c>
      <c r="G9" s="487">
        <f t="shared" si="3"/>
        <v>0</v>
      </c>
      <c r="H9" s="486">
        <f>'05'!$F$140</f>
        <v>0</v>
      </c>
      <c r="I9" s="487">
        <f t="shared" si="4"/>
        <v>0.200013</v>
      </c>
      <c r="J9" s="491">
        <f>'05'!$G$140</f>
        <v>0</v>
      </c>
    </row>
    <row r="10" spans="2:10" hidden="1">
      <c r="B10" s="560">
        <f t="shared" si="0"/>
        <v>45663</v>
      </c>
      <c r="C10" s="496">
        <f t="shared" si="1"/>
        <v>0.75712759112548067</v>
      </c>
      <c r="D10" s="486">
        <f>'06'!$H$140</f>
        <v>0</v>
      </c>
      <c r="E10" s="487">
        <f t="shared" si="2"/>
        <v>6.1896050315885812E-2</v>
      </c>
      <c r="F10" s="486">
        <f>'06'!$C$140</f>
        <v>0</v>
      </c>
      <c r="G10" s="487">
        <f t="shared" si="3"/>
        <v>0</v>
      </c>
      <c r="H10" s="486">
        <f>'06'!$F$140</f>
        <v>0</v>
      </c>
      <c r="I10" s="487">
        <f t="shared" si="4"/>
        <v>0.200013</v>
      </c>
      <c r="J10" s="491">
        <f>'06'!$G$140</f>
        <v>0</v>
      </c>
    </row>
    <row r="11" spans="2:10">
      <c r="B11" s="560">
        <f t="shared" si="0"/>
        <v>45664</v>
      </c>
      <c r="C11" s="496">
        <f t="shared" si="1"/>
        <v>0.75712759112548067</v>
      </c>
      <c r="D11" s="486">
        <f>'07'!$H$140</f>
        <v>0</v>
      </c>
      <c r="E11" s="487">
        <f t="shared" si="2"/>
        <v>6.1896050315885812E-2</v>
      </c>
      <c r="F11" s="486">
        <f>'07'!$C$140</f>
        <v>0</v>
      </c>
      <c r="G11" s="487">
        <f t="shared" si="3"/>
        <v>0</v>
      </c>
      <c r="H11" s="486">
        <f>'07'!$F$140</f>
        <v>0</v>
      </c>
      <c r="I11" s="487">
        <f t="shared" si="4"/>
        <v>0.200013</v>
      </c>
      <c r="J11" s="491">
        <f>'07'!$G$140</f>
        <v>0</v>
      </c>
    </row>
    <row r="12" spans="2:10" hidden="1">
      <c r="B12" s="560">
        <f t="shared" si="0"/>
        <v>45665</v>
      </c>
      <c r="C12" s="496">
        <f t="shared" si="1"/>
        <v>0.75712759112548067</v>
      </c>
      <c r="D12" s="486">
        <f>'08'!$H$140</f>
        <v>0</v>
      </c>
      <c r="E12" s="487">
        <f t="shared" si="2"/>
        <v>6.1896050315885812E-2</v>
      </c>
      <c r="F12" s="486">
        <f>'08'!$C$140</f>
        <v>0</v>
      </c>
      <c r="G12" s="487">
        <f t="shared" si="3"/>
        <v>0</v>
      </c>
      <c r="H12" s="486">
        <f>'08'!$F$140</f>
        <v>0</v>
      </c>
      <c r="I12" s="487">
        <f t="shared" si="4"/>
        <v>0.200013</v>
      </c>
      <c r="J12" s="491">
        <f>'08'!$G$140</f>
        <v>0</v>
      </c>
    </row>
    <row r="13" spans="2:10">
      <c r="B13" s="560">
        <f t="shared" si="0"/>
        <v>45666</v>
      </c>
      <c r="C13" s="496">
        <f t="shared" si="1"/>
        <v>0.75712759112548067</v>
      </c>
      <c r="D13" s="486">
        <f>'09'!$H$140</f>
        <v>0</v>
      </c>
      <c r="E13" s="487">
        <f t="shared" si="2"/>
        <v>6.1896050315885812E-2</v>
      </c>
      <c r="F13" s="486">
        <f>'09'!$C$140</f>
        <v>0</v>
      </c>
      <c r="G13" s="487">
        <f t="shared" si="3"/>
        <v>0</v>
      </c>
      <c r="H13" s="486">
        <f>'09'!$F$140</f>
        <v>0</v>
      </c>
      <c r="I13" s="487">
        <f t="shared" si="4"/>
        <v>0.200013</v>
      </c>
      <c r="J13" s="491">
        <f>'09'!$G$140</f>
        <v>0</v>
      </c>
    </row>
    <row r="14" spans="2:10">
      <c r="B14" s="560">
        <f t="shared" si="0"/>
        <v>45667</v>
      </c>
      <c r="C14" s="496">
        <f t="shared" si="1"/>
        <v>0.75712759112548067</v>
      </c>
      <c r="D14" s="486">
        <f>'10'!$H$140</f>
        <v>0</v>
      </c>
      <c r="E14" s="487">
        <f t="shared" si="2"/>
        <v>6.1896050315885812E-2</v>
      </c>
      <c r="F14" s="486">
        <f>'10'!$C$140</f>
        <v>0</v>
      </c>
      <c r="G14" s="487">
        <f t="shared" si="3"/>
        <v>0</v>
      </c>
      <c r="H14" s="486">
        <f>'10'!$F$140</f>
        <v>0</v>
      </c>
      <c r="I14" s="487">
        <f t="shared" si="4"/>
        <v>0.200013</v>
      </c>
      <c r="J14" s="491">
        <f>'10'!$G$140</f>
        <v>0</v>
      </c>
    </row>
    <row r="15" spans="2:10" hidden="1">
      <c r="B15" s="560">
        <f t="shared" si="0"/>
        <v>45668</v>
      </c>
      <c r="C15" s="496">
        <f t="shared" si="1"/>
        <v>0.75712759112548067</v>
      </c>
      <c r="D15" s="486">
        <f>'11'!$H$140</f>
        <v>0</v>
      </c>
      <c r="E15" s="487">
        <f t="shared" si="2"/>
        <v>6.1896050315885812E-2</v>
      </c>
      <c r="F15" s="486">
        <f>'11'!$C$140</f>
        <v>0</v>
      </c>
      <c r="G15" s="487">
        <f t="shared" si="3"/>
        <v>0</v>
      </c>
      <c r="H15" s="486">
        <f>'11'!$F$140</f>
        <v>0</v>
      </c>
      <c r="I15" s="487">
        <f t="shared" si="4"/>
        <v>0.200013</v>
      </c>
      <c r="J15" s="491">
        <f>'11'!$G$140</f>
        <v>0</v>
      </c>
    </row>
    <row r="16" spans="2:10" hidden="1">
      <c r="B16" s="560">
        <f t="shared" si="0"/>
        <v>45669</v>
      </c>
      <c r="C16" s="496">
        <f t="shared" si="1"/>
        <v>0.75712759112548067</v>
      </c>
      <c r="D16" s="486">
        <f>'12'!$H$140</f>
        <v>0</v>
      </c>
      <c r="E16" s="487">
        <f t="shared" si="2"/>
        <v>6.1896050315885812E-2</v>
      </c>
      <c r="F16" s="486">
        <f>'12'!$C$140</f>
        <v>0</v>
      </c>
      <c r="G16" s="487">
        <f t="shared" si="3"/>
        <v>0</v>
      </c>
      <c r="H16" s="486">
        <f>'12'!$F$140</f>
        <v>0</v>
      </c>
      <c r="I16" s="487">
        <f t="shared" si="4"/>
        <v>0.200013</v>
      </c>
      <c r="J16" s="491">
        <f>'12'!$G$140</f>
        <v>0</v>
      </c>
    </row>
    <row r="17" spans="2:10">
      <c r="B17" s="560">
        <f t="shared" si="0"/>
        <v>45670</v>
      </c>
      <c r="C17" s="496">
        <f t="shared" si="1"/>
        <v>0.75712759112548067</v>
      </c>
      <c r="D17" s="486">
        <f>'13'!$H$140</f>
        <v>0</v>
      </c>
      <c r="E17" s="487">
        <f t="shared" si="2"/>
        <v>6.1896050315885812E-2</v>
      </c>
      <c r="F17" s="486">
        <f>'13'!$C$140</f>
        <v>0</v>
      </c>
      <c r="G17" s="487">
        <f t="shared" si="3"/>
        <v>0</v>
      </c>
      <c r="H17" s="486">
        <f>'13'!$F$140</f>
        <v>0</v>
      </c>
      <c r="I17" s="487">
        <f t="shared" si="4"/>
        <v>0.200013</v>
      </c>
      <c r="J17" s="491">
        <f>'13'!$G$140</f>
        <v>0</v>
      </c>
    </row>
    <row r="18" spans="2:10" hidden="1">
      <c r="B18" s="560">
        <f t="shared" si="0"/>
        <v>45671</v>
      </c>
      <c r="C18" s="496">
        <f t="shared" si="1"/>
        <v>0.75712759112548067</v>
      </c>
      <c r="D18" s="486">
        <f>'14'!$H$140</f>
        <v>0</v>
      </c>
      <c r="E18" s="487">
        <f t="shared" si="2"/>
        <v>6.1896050315885812E-2</v>
      </c>
      <c r="F18" s="486">
        <f>'14'!$C$140</f>
        <v>0</v>
      </c>
      <c r="G18" s="487">
        <f t="shared" si="3"/>
        <v>0</v>
      </c>
      <c r="H18" s="486">
        <f>'14'!$F$140</f>
        <v>0</v>
      </c>
      <c r="I18" s="487">
        <f t="shared" si="4"/>
        <v>0.200013</v>
      </c>
      <c r="J18" s="491">
        <f>'14'!$G$140</f>
        <v>0</v>
      </c>
    </row>
    <row r="19" spans="2:10">
      <c r="B19" s="560">
        <f t="shared" si="0"/>
        <v>45672</v>
      </c>
      <c r="C19" s="496">
        <f t="shared" si="1"/>
        <v>0.75712759112548067</v>
      </c>
      <c r="D19" s="486">
        <f>'15'!$H$140</f>
        <v>0</v>
      </c>
      <c r="E19" s="487">
        <f t="shared" si="2"/>
        <v>6.1896050315885812E-2</v>
      </c>
      <c r="F19" s="486">
        <f>'15'!$C$140</f>
        <v>0</v>
      </c>
      <c r="G19" s="487">
        <f t="shared" si="3"/>
        <v>0</v>
      </c>
      <c r="H19" s="486">
        <f>'15'!$F$140</f>
        <v>0</v>
      </c>
      <c r="I19" s="487">
        <f t="shared" si="4"/>
        <v>0.200013</v>
      </c>
      <c r="J19" s="491">
        <f>'15'!$G$140</f>
        <v>0</v>
      </c>
    </row>
    <row r="20" spans="2:10" hidden="1">
      <c r="B20" s="560">
        <f t="shared" si="0"/>
        <v>45673</v>
      </c>
      <c r="C20" s="496">
        <f t="shared" si="1"/>
        <v>0.75712759112548067</v>
      </c>
      <c r="D20" s="486">
        <f>'16'!$H$140</f>
        <v>0</v>
      </c>
      <c r="E20" s="487">
        <f t="shared" si="2"/>
        <v>6.1896050315885812E-2</v>
      </c>
      <c r="F20" s="486">
        <f>'16'!$C$140</f>
        <v>0</v>
      </c>
      <c r="G20" s="487">
        <f t="shared" si="3"/>
        <v>0</v>
      </c>
      <c r="H20" s="486">
        <f>'16'!$F$140</f>
        <v>0</v>
      </c>
      <c r="I20" s="487">
        <f t="shared" si="4"/>
        <v>0.200013</v>
      </c>
      <c r="J20" s="491">
        <f>'16'!$G$140</f>
        <v>0</v>
      </c>
    </row>
    <row r="21" spans="2:10" hidden="1">
      <c r="B21" s="560">
        <f t="shared" si="0"/>
        <v>45674</v>
      </c>
      <c r="C21" s="496">
        <f t="shared" si="1"/>
        <v>0.75712759112548067</v>
      </c>
      <c r="D21" s="486">
        <f>'17'!$H$140</f>
        <v>0</v>
      </c>
      <c r="E21" s="487">
        <f t="shared" si="2"/>
        <v>6.1896050315885812E-2</v>
      </c>
      <c r="F21" s="486">
        <f>'17'!$C$140</f>
        <v>0</v>
      </c>
      <c r="G21" s="487">
        <f t="shared" si="3"/>
        <v>0</v>
      </c>
      <c r="H21" s="486">
        <f>'17'!$F$140</f>
        <v>0</v>
      </c>
      <c r="I21" s="487">
        <f t="shared" si="4"/>
        <v>0.200013</v>
      </c>
      <c r="J21" s="491">
        <f>'17'!$G$140</f>
        <v>0</v>
      </c>
    </row>
    <row r="22" spans="2:10" hidden="1">
      <c r="B22" s="560">
        <f t="shared" si="0"/>
        <v>45675</v>
      </c>
      <c r="C22" s="496">
        <f t="shared" si="1"/>
        <v>0.75712759112548067</v>
      </c>
      <c r="D22" s="486">
        <f>'18'!$H$140</f>
        <v>0</v>
      </c>
      <c r="E22" s="487">
        <f t="shared" si="2"/>
        <v>6.1896050315885812E-2</v>
      </c>
      <c r="F22" s="486">
        <f>'18'!$C$140</f>
        <v>0</v>
      </c>
      <c r="G22" s="487">
        <f t="shared" si="3"/>
        <v>0</v>
      </c>
      <c r="H22" s="486">
        <f>'18'!$F$140</f>
        <v>0</v>
      </c>
      <c r="I22" s="487">
        <f t="shared" si="4"/>
        <v>0.200013</v>
      </c>
      <c r="J22" s="491">
        <f>'18'!$G$140</f>
        <v>0</v>
      </c>
    </row>
    <row r="23" spans="2:10" hidden="1">
      <c r="B23" s="560">
        <f t="shared" si="0"/>
        <v>45676</v>
      </c>
      <c r="C23" s="496">
        <f t="shared" si="1"/>
        <v>0.75712759112548067</v>
      </c>
      <c r="D23" s="486">
        <f>'19'!$H$140</f>
        <v>0</v>
      </c>
      <c r="E23" s="487">
        <f t="shared" si="2"/>
        <v>6.1896050315885812E-2</v>
      </c>
      <c r="F23" s="486">
        <f>'19'!$C$140</f>
        <v>0</v>
      </c>
      <c r="G23" s="487">
        <f t="shared" si="3"/>
        <v>0</v>
      </c>
      <c r="H23" s="486">
        <f>'19'!$F$140</f>
        <v>0</v>
      </c>
      <c r="I23" s="487">
        <f t="shared" si="4"/>
        <v>0.200013</v>
      </c>
      <c r="J23" s="491">
        <f>'19'!$G$140</f>
        <v>0</v>
      </c>
    </row>
    <row r="24" spans="2:10" hidden="1">
      <c r="B24" s="560">
        <f t="shared" si="0"/>
        <v>45677</v>
      </c>
      <c r="C24" s="496">
        <f t="shared" si="1"/>
        <v>0.75712759112548067</v>
      </c>
      <c r="D24" s="486">
        <f>'20'!$H$140</f>
        <v>0</v>
      </c>
      <c r="E24" s="487">
        <f t="shared" si="2"/>
        <v>6.1896050315885812E-2</v>
      </c>
      <c r="F24" s="486">
        <f>'20'!$C$140</f>
        <v>0</v>
      </c>
      <c r="G24" s="487">
        <f t="shared" si="3"/>
        <v>0</v>
      </c>
      <c r="H24" s="486">
        <f>'20'!$F$140</f>
        <v>0</v>
      </c>
      <c r="I24" s="487">
        <f t="shared" si="4"/>
        <v>0.200013</v>
      </c>
      <c r="J24" s="491">
        <f>'20'!$G$140</f>
        <v>0</v>
      </c>
    </row>
    <row r="25" spans="2:10" hidden="1">
      <c r="B25" s="560">
        <f t="shared" si="0"/>
        <v>45678</v>
      </c>
      <c r="C25" s="496">
        <f t="shared" si="1"/>
        <v>0.75712759112548067</v>
      </c>
      <c r="D25" s="486">
        <f>'21'!$H$140</f>
        <v>0</v>
      </c>
      <c r="E25" s="487">
        <f t="shared" si="2"/>
        <v>6.1896050315885812E-2</v>
      </c>
      <c r="F25" s="486">
        <f>'21'!$C$140</f>
        <v>0</v>
      </c>
      <c r="G25" s="487">
        <f t="shared" si="3"/>
        <v>0</v>
      </c>
      <c r="H25" s="486">
        <f>'21'!$F$140</f>
        <v>0</v>
      </c>
      <c r="I25" s="487">
        <f t="shared" si="4"/>
        <v>0.200013</v>
      </c>
      <c r="J25" s="491">
        <f>'21'!$G$140</f>
        <v>0</v>
      </c>
    </row>
    <row r="26" spans="2:10" hidden="1">
      <c r="B26" s="560">
        <f t="shared" si="0"/>
        <v>45679</v>
      </c>
      <c r="C26" s="496">
        <f t="shared" si="1"/>
        <v>0.75712759112548067</v>
      </c>
      <c r="D26" s="486">
        <f>'22'!$H$140</f>
        <v>0</v>
      </c>
      <c r="E26" s="487">
        <f t="shared" si="2"/>
        <v>6.1896050315885812E-2</v>
      </c>
      <c r="F26" s="486">
        <f>'22'!$C$140</f>
        <v>0</v>
      </c>
      <c r="G26" s="487">
        <f t="shared" si="3"/>
        <v>0</v>
      </c>
      <c r="H26" s="486">
        <f>'22'!$F$140</f>
        <v>0</v>
      </c>
      <c r="I26" s="487">
        <f t="shared" si="4"/>
        <v>0.200013</v>
      </c>
      <c r="J26" s="491">
        <f>'22'!$G$140</f>
        <v>0</v>
      </c>
    </row>
    <row r="27" spans="2:10" hidden="1">
      <c r="B27" s="560">
        <f t="shared" si="0"/>
        <v>45680</v>
      </c>
      <c r="C27" s="496">
        <f t="shared" si="1"/>
        <v>0.75712759112548067</v>
      </c>
      <c r="D27" s="486">
        <f>'23'!$H$140</f>
        <v>0</v>
      </c>
      <c r="E27" s="487">
        <f t="shared" si="2"/>
        <v>6.1896050315885812E-2</v>
      </c>
      <c r="F27" s="486">
        <f>'23'!$C$140</f>
        <v>0</v>
      </c>
      <c r="G27" s="487">
        <f t="shared" si="3"/>
        <v>0</v>
      </c>
      <c r="H27" s="486">
        <f>'23'!$F$140</f>
        <v>0</v>
      </c>
      <c r="I27" s="487">
        <f t="shared" si="4"/>
        <v>0.200013</v>
      </c>
      <c r="J27" s="491">
        <f>'23'!$G$140</f>
        <v>0</v>
      </c>
    </row>
    <row r="28" spans="2:10" hidden="1">
      <c r="B28" s="560">
        <f t="shared" si="0"/>
        <v>45681</v>
      </c>
      <c r="C28" s="496">
        <f t="shared" si="1"/>
        <v>0.75712759112548067</v>
      </c>
      <c r="D28" s="486">
        <f>'24'!$H$140</f>
        <v>0</v>
      </c>
      <c r="E28" s="487">
        <f t="shared" si="2"/>
        <v>6.1896050315885812E-2</v>
      </c>
      <c r="F28" s="486">
        <f>'24'!$C$140</f>
        <v>0</v>
      </c>
      <c r="G28" s="487">
        <f t="shared" si="3"/>
        <v>0</v>
      </c>
      <c r="H28" s="486">
        <f>'24'!$F$140</f>
        <v>0</v>
      </c>
      <c r="I28" s="487">
        <f t="shared" si="4"/>
        <v>0.200013</v>
      </c>
      <c r="J28" s="491">
        <f>'24'!$G$140</f>
        <v>0</v>
      </c>
    </row>
    <row r="29" spans="2:10" hidden="1">
      <c r="B29" s="560">
        <f t="shared" si="0"/>
        <v>45682</v>
      </c>
      <c r="C29" s="496">
        <f t="shared" si="1"/>
        <v>0.75712759112548067</v>
      </c>
      <c r="D29" s="486">
        <f>'25'!$H$140</f>
        <v>0</v>
      </c>
      <c r="E29" s="487">
        <f t="shared" si="2"/>
        <v>6.1896050315885812E-2</v>
      </c>
      <c r="F29" s="486">
        <f>'25'!$C$140</f>
        <v>0</v>
      </c>
      <c r="G29" s="487">
        <f t="shared" si="3"/>
        <v>0</v>
      </c>
      <c r="H29" s="486">
        <f>'25'!$F$140</f>
        <v>0</v>
      </c>
      <c r="I29" s="487">
        <f t="shared" si="4"/>
        <v>0.200013</v>
      </c>
      <c r="J29" s="491">
        <f>'25'!$G$140</f>
        <v>0</v>
      </c>
    </row>
    <row r="30" spans="2:10" hidden="1">
      <c r="B30" s="560">
        <f t="shared" si="0"/>
        <v>45683</v>
      </c>
      <c r="C30" s="496">
        <f t="shared" si="1"/>
        <v>0.75712759112548067</v>
      </c>
      <c r="D30" s="486">
        <f>'26'!$H$140</f>
        <v>0</v>
      </c>
      <c r="E30" s="487">
        <f t="shared" si="2"/>
        <v>6.1896050315885812E-2</v>
      </c>
      <c r="F30" s="486">
        <f>'26'!$C$140</f>
        <v>0</v>
      </c>
      <c r="G30" s="487">
        <f t="shared" si="3"/>
        <v>0</v>
      </c>
      <c r="H30" s="486">
        <f>'26'!$F$140</f>
        <v>0</v>
      </c>
      <c r="I30" s="487">
        <f t="shared" si="4"/>
        <v>0.200013</v>
      </c>
      <c r="J30" s="491">
        <f>'26'!$G$140</f>
        <v>0</v>
      </c>
    </row>
    <row r="31" spans="2:10" hidden="1">
      <c r="B31" s="560">
        <f t="shared" si="0"/>
        <v>45684</v>
      </c>
      <c r="C31" s="496">
        <f t="shared" si="1"/>
        <v>0.75712759112548067</v>
      </c>
      <c r="D31" s="486">
        <f>'27'!$H$140</f>
        <v>0</v>
      </c>
      <c r="E31" s="487">
        <f t="shared" si="2"/>
        <v>6.1896050315885812E-2</v>
      </c>
      <c r="F31" s="486">
        <f>'27'!$C$140</f>
        <v>0</v>
      </c>
      <c r="G31" s="487">
        <f t="shared" si="3"/>
        <v>0</v>
      </c>
      <c r="H31" s="486">
        <f>'27'!$F$140</f>
        <v>0</v>
      </c>
      <c r="I31" s="487">
        <f t="shared" si="4"/>
        <v>0.200013</v>
      </c>
      <c r="J31" s="491">
        <f>'27'!$G$140</f>
        <v>0</v>
      </c>
    </row>
    <row r="32" spans="2:10" hidden="1">
      <c r="B32" s="560">
        <f t="shared" si="0"/>
        <v>45685</v>
      </c>
      <c r="C32" s="496">
        <f t="shared" si="1"/>
        <v>0.75712759112548067</v>
      </c>
      <c r="D32" s="486">
        <f>'28'!$H$140</f>
        <v>0</v>
      </c>
      <c r="E32" s="487">
        <f t="shared" si="2"/>
        <v>6.1896050315885812E-2</v>
      </c>
      <c r="F32" s="486">
        <f>'28'!$C$140</f>
        <v>0</v>
      </c>
      <c r="G32" s="487">
        <f t="shared" si="3"/>
        <v>0</v>
      </c>
      <c r="H32" s="486">
        <f>'28'!$F$140</f>
        <v>0</v>
      </c>
      <c r="I32" s="487">
        <f t="shared" si="4"/>
        <v>0.200013</v>
      </c>
      <c r="J32" s="491">
        <f>'28'!$G$140</f>
        <v>0</v>
      </c>
    </row>
    <row r="33" spans="2:10" hidden="1">
      <c r="B33" s="560">
        <f t="shared" si="0"/>
        <v>45686</v>
      </c>
      <c r="C33" s="496">
        <f t="shared" si="1"/>
        <v>0.75712759112548067</v>
      </c>
      <c r="D33" s="486">
        <f>'29'!$H$140</f>
        <v>0</v>
      </c>
      <c r="E33" s="487">
        <f t="shared" si="2"/>
        <v>6.1896050315885812E-2</v>
      </c>
      <c r="F33" s="486">
        <f>'29'!$C$140</f>
        <v>0</v>
      </c>
      <c r="G33" s="487">
        <f t="shared" si="3"/>
        <v>0</v>
      </c>
      <c r="H33" s="486">
        <f>'29'!$F$140</f>
        <v>0</v>
      </c>
      <c r="I33" s="487">
        <f t="shared" si="4"/>
        <v>0.200013</v>
      </c>
      <c r="J33" s="491">
        <f>'29'!$G$140</f>
        <v>0</v>
      </c>
    </row>
    <row r="34" spans="2:10" hidden="1">
      <c r="B34" s="560">
        <f t="shared" si="0"/>
        <v>45687</v>
      </c>
      <c r="C34" s="496">
        <f t="shared" si="1"/>
        <v>0.75712759112548067</v>
      </c>
      <c r="D34" s="486">
        <f>'30'!$H$140</f>
        <v>0</v>
      </c>
      <c r="E34" s="487">
        <f t="shared" si="2"/>
        <v>6.1896050315885812E-2</v>
      </c>
      <c r="F34" s="486">
        <f>'30'!$C$140</f>
        <v>0</v>
      </c>
      <c r="G34" s="487">
        <f t="shared" si="3"/>
        <v>0</v>
      </c>
      <c r="H34" s="486">
        <f>'30'!$F$140</f>
        <v>0</v>
      </c>
      <c r="I34" s="487">
        <f t="shared" si="4"/>
        <v>0.200013</v>
      </c>
      <c r="J34" s="491">
        <f>'30'!$G$140</f>
        <v>0</v>
      </c>
    </row>
    <row r="35" spans="2:10" ht="15.75" hidden="1" thickBot="1">
      <c r="B35" s="560">
        <f t="shared" si="0"/>
        <v>45688</v>
      </c>
      <c r="C35" s="497">
        <f t="shared" si="1"/>
        <v>0.75712759112548067</v>
      </c>
      <c r="D35" s="492">
        <f>'31'!$H$140</f>
        <v>0</v>
      </c>
      <c r="E35" s="493">
        <f t="shared" si="2"/>
        <v>6.1896050315885812E-2</v>
      </c>
      <c r="F35" s="492">
        <f>'31'!$C$140</f>
        <v>0</v>
      </c>
      <c r="G35" s="493">
        <f t="shared" si="3"/>
        <v>0</v>
      </c>
      <c r="H35" s="492">
        <f>'31'!$F$140</f>
        <v>0</v>
      </c>
      <c r="I35" s="493">
        <f t="shared" si="4"/>
        <v>0.200013</v>
      </c>
      <c r="J35" s="494">
        <f>'31'!$G$140</f>
        <v>0</v>
      </c>
    </row>
  </sheetData>
  <autoFilter ref="B4:J35" xr:uid="{94A57AF3-AF39-4C0A-B3AC-237FD3F0EDE5}">
    <filterColumn colId="2">
      <filters>
        <filter val="76,8%"/>
        <filter val="83,1%"/>
        <filter val="84,2%"/>
        <filter val="84,4%"/>
        <filter val="85,2%"/>
        <filter val="85,3%"/>
        <filter val="85,4%"/>
        <filter val="85,9%"/>
      </filters>
    </filterColumn>
  </autoFilter>
  <mergeCells count="5">
    <mergeCell ref="C2:J2"/>
    <mergeCell ref="C3:D3"/>
    <mergeCell ref="E3:F3"/>
    <mergeCell ref="G3:H3"/>
    <mergeCell ref="I3:J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E6CAA4C-FC6F-42B9-BE49-E2F2EFD76C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38</vt:i4>
      </vt:variant>
      <vt:variant>
        <vt:lpstr>Именованные диапазоны</vt:lpstr>
      </vt:variant>
      <vt:variant>
        <vt:i4>31</vt:i4>
      </vt:variant>
    </vt:vector>
  </HeadingPairs>
  <TitlesOfParts>
    <vt:vector size="69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свод приход</vt:lpstr>
      <vt:lpstr>график</vt:lpstr>
      <vt:lpstr>ввод добавок</vt:lpstr>
      <vt:lpstr>ЦЕМ I 42.5Н</vt:lpstr>
      <vt:lpstr>ЦЕМ I 52.5Н</vt:lpstr>
      <vt:lpstr>ЦEМ II B-K(З-И) 32,5H</vt:lpstr>
      <vt:lpstr>ЦЕМ II А-К 42,5Н</vt:lpstr>
      <vt:lpstr>'01'!Область_печати</vt:lpstr>
      <vt:lpstr>'02'!Область_печати</vt:lpstr>
      <vt:lpstr>'03'!Область_печати</vt:lpstr>
      <vt:lpstr>'04'!Область_печати</vt:lpstr>
      <vt:lpstr>'05'!Область_печати</vt:lpstr>
      <vt:lpstr>'06'!Область_печати</vt:lpstr>
      <vt:lpstr>'07'!Область_печати</vt:lpstr>
      <vt:lpstr>'08'!Область_печати</vt:lpstr>
      <vt:lpstr>'09'!Область_печати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'20'!Область_печати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'27'!Область_печати</vt:lpstr>
      <vt:lpstr>'28'!Область_печати</vt:lpstr>
      <vt:lpstr>'29'!Область_печати</vt:lpstr>
      <vt:lpstr>'30'!Область_печати</vt:lpstr>
      <vt:lpstr>'31'!Область_печати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2026-08-04T04:29:22Z</dcterms:modified>
</cp:coreProperties>
</file>