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qi\OneDrive\Desktop\motorkawanku-be\storage\"/>
    </mc:Choice>
  </mc:AlternateContent>
  <xr:revisionPtr revIDLastSave="0" documentId="13_ncr:1_{8C2C9C5E-AD69-418C-8ED9-2EF9A08C772B}" xr6:coauthVersionLast="47" xr6:coauthVersionMax="47" xr10:uidLastSave="{00000000-0000-0000-0000-000000000000}"/>
  <bookViews>
    <workbookView xWindow="0" yWindow="0" windowWidth="28800" windowHeight="16200" xr2:uid="{D43C3B05-5343-47FE-994A-9761FB850A7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35" i="1"/>
  <c r="H34" i="1"/>
  <c r="H32" i="1"/>
  <c r="H31" i="1"/>
  <c r="H29" i="1"/>
  <c r="H28" i="1"/>
  <c r="H26" i="1"/>
  <c r="H25" i="1"/>
  <c r="H24" i="1"/>
  <c r="H22" i="1"/>
  <c r="H21" i="1"/>
  <c r="H19" i="1"/>
  <c r="H18" i="1"/>
  <c r="H16" i="1"/>
  <c r="H15" i="1"/>
  <c r="H14" i="1"/>
  <c r="C35" i="1"/>
  <c r="C34" i="1"/>
  <c r="C32" i="1"/>
  <c r="C31" i="1"/>
  <c r="C29" i="1"/>
  <c r="C28" i="1"/>
  <c r="C26" i="1"/>
  <c r="C25" i="1"/>
  <c r="C24" i="1"/>
  <c r="C22" i="1"/>
  <c r="C21" i="1"/>
  <c r="C19" i="1"/>
  <c r="C18" i="1"/>
  <c r="C16" i="1"/>
  <c r="C15" i="1"/>
  <c r="C14" i="1"/>
  <c r="J35" i="1"/>
  <c r="J34" i="1"/>
  <c r="J32" i="1"/>
  <c r="J31" i="1"/>
  <c r="J29" i="1"/>
  <c r="J28" i="1"/>
  <c r="J26" i="1"/>
  <c r="J25" i="1"/>
  <c r="J24" i="1"/>
  <c r="J22" i="1"/>
  <c r="J21" i="1"/>
  <c r="J19" i="1"/>
  <c r="J18" i="1"/>
  <c r="J16" i="1"/>
  <c r="J15" i="1"/>
  <c r="J14" i="1" l="1"/>
  <c r="E3" i="1"/>
  <c r="E9" i="1"/>
  <c r="E8" i="1"/>
  <c r="E7" i="1"/>
  <c r="E6" i="1"/>
  <c r="E15" i="1" s="1"/>
  <c r="E5" i="1"/>
  <c r="E4" i="1"/>
  <c r="E24" i="1" s="1"/>
  <c r="B6" i="1"/>
  <c r="B5" i="1"/>
  <c r="E34" i="1" l="1"/>
  <c r="E35" i="1"/>
  <c r="E22" i="1"/>
  <c r="E16" i="1"/>
  <c r="E28" i="1"/>
  <c r="E29" i="1"/>
  <c r="E31" i="1"/>
  <c r="E21" i="1"/>
  <c r="E32" i="1"/>
  <c r="E14" i="1"/>
  <c r="L19" i="1"/>
  <c r="E18" i="1"/>
  <c r="E19" i="1"/>
  <c r="L18" i="1"/>
  <c r="E25" i="1"/>
  <c r="E26" i="1"/>
  <c r="L26" i="1"/>
  <c r="L25" i="1"/>
  <c r="L24" i="1" l="1"/>
  <c r="M24" i="1" s="1"/>
  <c r="F24" i="1" l="1"/>
  <c r="M26" i="1" l="1"/>
  <c r="L32" i="1" l="1"/>
  <c r="M32" i="1" s="1"/>
  <c r="F21" i="1"/>
  <c r="L21" i="1"/>
  <c r="M21" i="1" s="1"/>
  <c r="F26" i="1"/>
  <c r="L31" i="1"/>
  <c r="M31" i="1" s="1"/>
  <c r="L33" i="1" l="1"/>
  <c r="L28" i="1"/>
  <c r="M28" i="1" s="1"/>
  <c r="L15" i="1"/>
  <c r="M15" i="1" s="1"/>
  <c r="F31" i="1"/>
  <c r="F32" i="1"/>
  <c r="E33" i="1" l="1"/>
  <c r="L34" i="1"/>
  <c r="M34" i="1" s="1"/>
  <c r="F15" i="1"/>
  <c r="F28" i="1"/>
  <c r="F34" i="1"/>
  <c r="M25" i="1" l="1"/>
  <c r="L27" i="1" s="1"/>
  <c r="L16" i="1"/>
  <c r="M16" i="1" s="1"/>
  <c r="L35" i="1" l="1"/>
  <c r="M35" i="1" s="1"/>
  <c r="L36" i="1" s="1"/>
  <c r="F16" i="1"/>
  <c r="M18" i="1"/>
  <c r="F25" i="1"/>
  <c r="E27" i="1" s="1"/>
  <c r="F35" i="1"/>
  <c r="E36" i="1" s="1"/>
  <c r="F18" i="1" l="1"/>
  <c r="M19" i="1" l="1"/>
  <c r="L20" i="1" s="1"/>
  <c r="L22" i="1"/>
  <c r="M22" i="1" s="1"/>
  <c r="L23" i="1" s="1"/>
  <c r="F22" i="1" l="1"/>
  <c r="E23" i="1" s="1"/>
  <c r="L29" i="1"/>
  <c r="M29" i="1" s="1"/>
  <c r="L30" i="1" s="1"/>
  <c r="F19" i="1"/>
  <c r="E20" i="1" s="1"/>
  <c r="F29" i="1" l="1"/>
  <c r="E30" i="1" s="1"/>
  <c r="L14" i="1" l="1"/>
  <c r="M14" i="1" s="1"/>
  <c r="F14" i="1" l="1"/>
  <c r="E17" i="1" s="1"/>
  <c r="L17" i="1"/>
  <c r="M41" i="1" s="1"/>
  <c r="M37" i="1"/>
  <c r="M39" i="1" l="1"/>
  <c r="F41" i="1"/>
  <c r="M42" i="1" s="1"/>
  <c r="F37" i="1"/>
  <c r="F39" i="1" s="1"/>
</calcChain>
</file>

<file path=xl/sharedStrings.xml><?xml version="1.0" encoding="utf-8"?>
<sst xmlns="http://schemas.openxmlformats.org/spreadsheetml/2006/main" count="185" uniqueCount="107">
  <si>
    <t>PERHITUNGAN TINGKAT KEKUMUHAN AKHIR/PERHITUNGAN OUTCOME PENINGKATAN KUALITAS PERMUKIMAN KUMUH</t>
  </si>
  <si>
    <t>Provinsi</t>
  </si>
  <si>
    <t>Luas Flag</t>
  </si>
  <si>
    <t>Ha</t>
  </si>
  <si>
    <t>Kab/Kota</t>
  </si>
  <si>
    <t>Luas Verifikasi</t>
  </si>
  <si>
    <t>Kecamatan</t>
  </si>
  <si>
    <t>Jumlah Bangunan</t>
  </si>
  <si>
    <t>Unit</t>
  </si>
  <si>
    <t>Kawasan</t>
  </si>
  <si>
    <t>Jumlah Penduduk</t>
  </si>
  <si>
    <t>Jiwa</t>
  </si>
  <si>
    <t>KK</t>
  </si>
  <si>
    <t>ASPEK</t>
  </si>
  <si>
    <t>KRITERIA</t>
  </si>
  <si>
    <t>KONDISI AWAL (BASELINE)</t>
  </si>
  <si>
    <t>OUTPUT - OUTCOME</t>
  </si>
  <si>
    <t>KONDISI AKHIR</t>
  </si>
  <si>
    <t>OUTPUT</t>
  </si>
  <si>
    <t>VOLUME</t>
  </si>
  <si>
    <t>SATUAN</t>
  </si>
  <si>
    <t>PROSEN (%)</t>
  </si>
  <si>
    <t>NILAI</t>
  </si>
  <si>
    <t>INFRASTRUKTUR</t>
  </si>
  <si>
    <t>NUMERIK</t>
  </si>
  <si>
    <t>PROSEN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</si>
  <si>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</si>
  <si>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</si>
  <si>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</si>
  <si>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</si>
  <si>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</si>
  <si>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</si>
  <si>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</si>
  <si>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Meter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</si>
  <si>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</si>
  <si>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</si>
  <si>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</si>
  <si>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</si>
  <si>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</si>
  <si>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</si>
  <si>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</si>
  <si>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</si>
  <si>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</si>
  <si>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</si>
  <si>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</si>
  <si>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</si>
  <si>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</si>
  <si>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</si>
  <si>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</si>
  <si>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</si>
  <si>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</si>
  <si>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</si>
  <si>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</si>
  <si>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</si>
  <si>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</si>
  <si>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</si>
  <si>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</si>
  <si>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</si>
  <si>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</si>
  <si>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</si>
  <si>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</si>
  <si>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</si>
  <si>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</si>
  <si>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</si>
  <si>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</si>
  <si>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</si>
  <si>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Panjang Jalan Ideal</t>
  </si>
  <si>
    <t>rtrw</t>
  </si>
  <si>
    <t>tahun</t>
  </si>
  <si>
    <t>Panjang Drainase Ideal</t>
  </si>
  <si>
    <t>m</t>
  </si>
  <si>
    <t>kecamatan</t>
  </si>
  <si>
    <t>kawasan</t>
  </si>
  <si>
    <t>rt-rw</t>
  </si>
  <si>
    <t>luasFlag</t>
  </si>
  <si>
    <t>jumlahBangunan</t>
  </si>
  <si>
    <t>jumlahPenduduk</t>
  </si>
  <si>
    <t>jumlahKK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</si>
  <si>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</si>
  <si>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</si>
  <si>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</si>
  <si>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</si>
  <si>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</si>
  <si>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</si>
  <si>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</si>
  <si>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</si>
  <si>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</si>
  <si>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</si>
  <si>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</si>
  <si>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</si>
  <si>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</si>
  <si>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</si>
  <si>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</si>
  <si>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</si>
  <si>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</si>
  <si>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</si>
  <si>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pilih rt</t>
  </si>
  <si>
    <t>Jumlah KK</t>
  </si>
  <si>
    <t>volume</t>
  </si>
  <si>
    <t>kegiatan</t>
  </si>
  <si>
    <t>kriteria</t>
  </si>
  <si>
    <t>3c</t>
  </si>
  <si>
    <t>investasi</t>
  </si>
  <si>
    <t>kumuh</t>
  </si>
  <si>
    <t>JAWA TENGAH</t>
  </si>
  <si>
    <t>KOTA PEKALONGAN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</si>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</sst>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000000000000000%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charset val="1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/>
      <bottom style="thin">
        <color auto="1"/>
      </bottom>
      <diagonal/>
    </border>
    <border>
      <left/>
      <right style="medium">
        <color rgb="FF0070C0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3300"/>
      </left>
      <right style="thin">
        <color rgb="FFFF3300"/>
      </right>
      <top style="medium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medium">
        <color rgb="FFFF0000"/>
      </top>
      <bottom style="thin">
        <color rgb="FFFF3300"/>
      </bottom>
      <diagonal/>
    </border>
    <border>
      <left style="medium">
        <color rgb="FFFF330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medium">
        <color auto="1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medium">
        <color rgb="FF0070C0"/>
      </right>
      <top style="thin">
        <color rgb="FF0070C0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FF3300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70C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3300"/>
      </left>
      <right style="thin">
        <color rgb="FFFF3300"/>
      </right>
      <top/>
      <bottom style="thin">
        <color rgb="FFFF330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medium">
        <color rgb="FFFF3300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/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/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69">
    <xf numFmtId="0" fontId="0" fillId="0" borderId="0" xfId="0"/>
    <xf numFmtId="0" fontId="3" fillId="0" borderId="0" xfId="0" applyFont="1" applyAlignment="1">
      <alignment horizontal="center" wrapText="1"/>
    </xf>
    <xf numFmtId="10" fontId="5" fillId="0" borderId="0" xfId="2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3" fontId="6" fillId="0" borderId="1" xfId="1" applyFont="1" applyFill="1" applyBorder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7" fontId="12" fillId="6" borderId="1" xfId="1" applyNumberFormat="1" applyFont="1" applyFill="1" applyBorder="1" applyAlignment="1">
      <alignment horizontal="center" vertical="center"/>
    </xf>
    <xf numFmtId="37" fontId="12" fillId="6" borderId="2" xfId="1" applyNumberFormat="1" applyFont="1" applyFill="1" applyBorder="1" applyAlignment="1">
      <alignment horizontal="center" vertical="center"/>
    </xf>
    <xf numFmtId="37" fontId="12" fillId="7" borderId="39" xfId="1" applyNumberFormat="1" applyFont="1" applyFill="1" applyBorder="1" applyAlignment="1">
      <alignment horizontal="center" vertical="center"/>
    </xf>
    <xf numFmtId="37" fontId="12" fillId="6" borderId="42" xfId="1" applyNumberFormat="1" applyFont="1" applyFill="1" applyBorder="1" applyAlignment="1">
      <alignment horizontal="center" vertical="center"/>
    </xf>
    <xf numFmtId="37" fontId="6" fillId="6" borderId="0" xfId="1" applyNumberFormat="1" applyFont="1" applyFill="1" applyBorder="1" applyAlignment="1">
      <alignment horizontal="center" vertical="center"/>
    </xf>
    <xf numFmtId="0" fontId="6" fillId="6" borderId="0" xfId="1" applyNumberFormat="1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 applyAlignment="1">
      <alignment horizontal="left" wrapText="1"/>
    </xf>
    <xf numFmtId="0" fontId="4" fillId="0" borderId="0" xfId="3"/>
    <xf numFmtId="0" fontId="4" fillId="13" borderId="60" xfId="3" applyFill="1" applyBorder="1"/>
    <xf numFmtId="0" fontId="0" fillId="13" borderId="61" xfId="0" applyFill="1" applyBorder="1"/>
    <xf numFmtId="0" fontId="0" fillId="0" borderId="61" xfId="0" applyBorder="1"/>
    <xf numFmtId="0" fontId="0" fillId="13" borderId="0" xfId="0" applyFill="1"/>
    <xf numFmtId="0" fontId="15" fillId="0" borderId="0" xfId="0" applyFont="1"/>
    <xf numFmtId="43" fontId="16" fillId="6" borderId="26" xfId="1" applyFont="1" applyFill="1" applyBorder="1" applyAlignment="1">
      <alignment horizontal="center" vertical="center"/>
    </xf>
    <xf numFmtId="37" fontId="16" fillId="6" borderId="27" xfId="1" applyNumberFormat="1" applyFont="1" applyFill="1" applyBorder="1" applyAlignment="1">
      <alignment horizontal="center" vertical="center"/>
    </xf>
    <xf numFmtId="10" fontId="16" fillId="6" borderId="27" xfId="2" applyNumberFormat="1" applyFont="1" applyFill="1" applyBorder="1" applyAlignment="1">
      <alignment horizontal="center" vertical="center"/>
    </xf>
    <xf numFmtId="37" fontId="17" fillId="6" borderId="31" xfId="1" applyNumberFormat="1" applyFont="1" applyFill="1" applyBorder="1" applyAlignment="1">
      <alignment horizontal="center" vertical="center"/>
    </xf>
    <xf numFmtId="10" fontId="18" fillId="6" borderId="31" xfId="2" applyNumberFormat="1" applyFont="1" applyFill="1" applyBorder="1" applyAlignment="1">
      <alignment horizontal="center" vertical="center"/>
    </xf>
    <xf numFmtId="37" fontId="16" fillId="6" borderId="35" xfId="1" applyNumberFormat="1" applyFont="1" applyFill="1" applyBorder="1" applyAlignment="1">
      <alignment horizontal="center" vertical="center"/>
    </xf>
    <xf numFmtId="10" fontId="16" fillId="6" borderId="35" xfId="2" applyNumberFormat="1" applyFont="1" applyFill="1" applyBorder="1" applyAlignment="1">
      <alignment horizontal="center" vertical="center"/>
    </xf>
    <xf numFmtId="43" fontId="16" fillId="7" borderId="40" xfId="1" applyFont="1" applyFill="1" applyBorder="1" applyAlignment="1">
      <alignment horizontal="center" vertical="center"/>
    </xf>
    <xf numFmtId="10" fontId="16" fillId="7" borderId="38" xfId="2" applyNumberFormat="1" applyFont="1" applyFill="1" applyBorder="1" applyAlignment="1">
      <alignment horizontal="center" vertical="center"/>
    </xf>
    <xf numFmtId="10" fontId="19" fillId="8" borderId="38" xfId="2" applyNumberFormat="1" applyFont="1" applyFill="1" applyBorder="1" applyAlignment="1">
      <alignment horizontal="center" vertical="center" wrapText="1"/>
    </xf>
    <xf numFmtId="37" fontId="17" fillId="6" borderId="44" xfId="1" applyNumberFormat="1" applyFont="1" applyFill="1" applyBorder="1" applyAlignment="1">
      <alignment horizontal="center" vertical="center"/>
    </xf>
    <xf numFmtId="10" fontId="18" fillId="6" borderId="44" xfId="2" applyNumberFormat="1" applyFont="1" applyFill="1" applyBorder="1" applyAlignment="1">
      <alignment horizontal="center" vertical="center"/>
    </xf>
    <xf numFmtId="37" fontId="14" fillId="6" borderId="31" xfId="1" applyNumberFormat="1" applyFont="1" applyFill="1" applyBorder="1" applyAlignment="1">
      <alignment horizontal="center" vertical="center"/>
    </xf>
    <xf numFmtId="10" fontId="14" fillId="6" borderId="31" xfId="2" applyNumberFormat="1" applyFont="1" applyFill="1" applyBorder="1" applyAlignment="1">
      <alignment horizontal="center" vertical="center"/>
    </xf>
    <xf numFmtId="43" fontId="14" fillId="7" borderId="40" xfId="1" applyFont="1" applyFill="1" applyBorder="1" applyAlignment="1">
      <alignment horizontal="center" vertical="center"/>
    </xf>
    <xf numFmtId="10" fontId="14" fillId="7" borderId="38" xfId="2" applyNumberFormat="1" applyFont="1" applyFill="1" applyBorder="1" applyAlignment="1">
      <alignment horizontal="center" vertical="center"/>
    </xf>
    <xf numFmtId="10" fontId="7" fillId="8" borderId="38" xfId="2" applyNumberFormat="1" applyFont="1" applyFill="1" applyBorder="1" applyAlignment="1">
      <alignment horizontal="center" vertical="center" wrapText="1"/>
    </xf>
    <xf numFmtId="37" fontId="17" fillId="6" borderId="35" xfId="1" applyNumberFormat="1" applyFont="1" applyFill="1" applyBorder="1" applyAlignment="1">
      <alignment horizontal="center" vertical="center"/>
    </xf>
    <xf numFmtId="10" fontId="18" fillId="6" borderId="35" xfId="2" applyNumberFormat="1" applyFont="1" applyFill="1" applyBorder="1" applyAlignment="1">
      <alignment horizontal="center" vertical="center"/>
    </xf>
    <xf numFmtId="43" fontId="20" fillId="7" borderId="40" xfId="1" applyFont="1" applyFill="1" applyBorder="1" applyAlignment="1">
      <alignment horizontal="center" vertical="center"/>
    </xf>
    <xf numFmtId="10" fontId="20" fillId="7" borderId="38" xfId="2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22" fillId="0" borderId="0" xfId="0" applyFont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left" vertical="center" wrapText="1"/>
    </xf>
    <xf numFmtId="164" fontId="14" fillId="6" borderId="2" xfId="0" applyNumberFormat="1" applyFont="1" applyFill="1" applyBorder="1" applyAlignment="1">
      <alignment horizontal="center" vertical="center" wrapText="1"/>
    </xf>
    <xf numFmtId="10" fontId="14" fillId="6" borderId="2" xfId="2" applyNumberFormat="1" applyFont="1" applyFill="1" applyBorder="1" applyAlignment="1">
      <alignment horizontal="center" vertical="center"/>
    </xf>
    <xf numFmtId="0" fontId="5" fillId="0" borderId="0" xfId="0" applyFont="1"/>
    <xf numFmtId="37" fontId="16" fillId="6" borderId="25" xfId="1" applyNumberFormat="1" applyFont="1" applyFill="1" applyBorder="1" applyAlignment="1">
      <alignment horizontal="center" vertical="center"/>
    </xf>
    <xf numFmtId="37" fontId="16" fillId="6" borderId="29" xfId="1" applyNumberFormat="1" applyFont="1" applyFill="1" applyBorder="1" applyAlignment="1">
      <alignment horizontal="left" vertical="center" wrapText="1"/>
    </xf>
    <xf numFmtId="37" fontId="16" fillId="6" borderId="30" xfId="1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 wrapText="1"/>
    </xf>
    <xf numFmtId="37" fontId="16" fillId="6" borderId="33" xfId="1" applyNumberFormat="1" applyFont="1" applyFill="1" applyBorder="1" applyAlignment="1">
      <alignment horizontal="left" vertical="center" wrapText="1"/>
    </xf>
    <xf numFmtId="37" fontId="16" fillId="6" borderId="34" xfId="1" applyNumberFormat="1" applyFont="1" applyFill="1" applyBorder="1" applyAlignment="1">
      <alignment horizontal="center" vertical="center"/>
    </xf>
    <xf numFmtId="37" fontId="16" fillId="7" borderId="40" xfId="1" applyNumberFormat="1" applyFont="1" applyFill="1" applyBorder="1" applyAlignment="1">
      <alignment horizontal="center" vertical="center"/>
    </xf>
    <xf numFmtId="37" fontId="16" fillId="7" borderId="38" xfId="1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left" vertical="center" wrapText="1"/>
    </xf>
    <xf numFmtId="43" fontId="14" fillId="6" borderId="11" xfId="1" applyFont="1" applyFill="1" applyBorder="1" applyAlignment="1">
      <alignment horizontal="center" vertical="center" wrapText="1"/>
    </xf>
    <xf numFmtId="37" fontId="16" fillId="6" borderId="43" xfId="1" applyNumberFormat="1" applyFont="1" applyFill="1" applyBorder="1" applyAlignment="1">
      <alignment horizontal="center" vertical="center"/>
    </xf>
    <xf numFmtId="43" fontId="14" fillId="6" borderId="2" xfId="1" applyFont="1" applyFill="1" applyBorder="1" applyAlignment="1">
      <alignment horizontal="center" vertical="center" wrapText="1"/>
    </xf>
    <xf numFmtId="10" fontId="14" fillId="6" borderId="2" xfId="1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 wrapText="1"/>
    </xf>
    <xf numFmtId="10" fontId="14" fillId="6" borderId="2" xfId="2" applyNumberFormat="1" applyFont="1" applyFill="1" applyBorder="1" applyAlignment="1">
      <alignment horizontal="center" vertical="center" wrapText="1"/>
    </xf>
    <xf numFmtId="37" fontId="14" fillId="7" borderId="40" xfId="1" applyNumberFormat="1" applyFont="1" applyFill="1" applyBorder="1" applyAlignment="1">
      <alignment horizontal="center" vertical="center"/>
    </xf>
    <xf numFmtId="37" fontId="14" fillId="7" borderId="38" xfId="1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left" vertical="center" wrapText="1"/>
    </xf>
    <xf numFmtId="37" fontId="16" fillId="6" borderId="46" xfId="1" applyNumberFormat="1" applyFont="1" applyFill="1" applyBorder="1" applyAlignment="1">
      <alignment horizontal="center" vertical="center"/>
    </xf>
    <xf numFmtId="37" fontId="20" fillId="7" borderId="40" xfId="1" applyNumberFormat="1" applyFont="1" applyFill="1" applyBorder="1" applyAlignment="1">
      <alignment horizontal="center" vertical="center"/>
    </xf>
    <xf numFmtId="37" fontId="20" fillId="7" borderId="38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5" xfId="0" applyFont="1" applyBorder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7" borderId="55" xfId="0" applyFont="1" applyFill="1" applyBorder="1" applyAlignment="1">
      <alignment vertical="center"/>
    </xf>
    <xf numFmtId="0" fontId="5" fillId="7" borderId="56" xfId="0" applyFont="1" applyFill="1" applyBorder="1" applyAlignment="1">
      <alignment vertical="center"/>
    </xf>
    <xf numFmtId="0" fontId="7" fillId="7" borderId="23" xfId="0" applyFont="1" applyFill="1" applyBorder="1" applyAlignment="1">
      <alignment horizontal="right" vertical="center"/>
    </xf>
    <xf numFmtId="10" fontId="7" fillId="7" borderId="1" xfId="2" quotePrefix="1" applyNumberFormat="1" applyFont="1" applyFill="1" applyBorder="1" applyAlignment="1">
      <alignment horizontal="right" vertical="center"/>
    </xf>
    <xf numFmtId="0" fontId="5" fillId="4" borderId="55" xfId="0" applyFont="1" applyFill="1" applyBorder="1" applyAlignment="1">
      <alignment vertical="center"/>
    </xf>
    <xf numFmtId="0" fontId="5" fillId="4" borderId="56" xfId="0" applyFont="1" applyFill="1" applyBorder="1" applyAlignment="1">
      <alignment vertical="center"/>
    </xf>
    <xf numFmtId="0" fontId="7" fillId="4" borderId="23" xfId="0" applyFont="1" applyFill="1" applyBorder="1" applyAlignment="1">
      <alignment horizontal="right" vertical="center"/>
    </xf>
    <xf numFmtId="10" fontId="7" fillId="4" borderId="1" xfId="2" quotePrefix="1" applyNumberFormat="1" applyFont="1" applyFill="1" applyBorder="1" applyAlignment="1">
      <alignment horizontal="right" vertical="center"/>
    </xf>
    <xf numFmtId="37" fontId="23" fillId="7" borderId="40" xfId="1" applyNumberFormat="1" applyFont="1" applyFill="1" applyBorder="1" applyAlignment="1">
      <alignment horizontal="center" vertical="center"/>
    </xf>
    <xf numFmtId="10" fontId="24" fillId="7" borderId="38" xfId="2" applyNumberFormat="1" applyFont="1" applyFill="1" applyBorder="1" applyAlignment="1">
      <alignment horizontal="center" vertical="center"/>
    </xf>
    <xf numFmtId="37" fontId="13" fillId="7" borderId="40" xfId="1" applyNumberFormat="1" applyFont="1" applyFill="1" applyBorder="1" applyAlignment="1">
      <alignment horizontal="center" vertical="center"/>
    </xf>
    <xf numFmtId="37" fontId="23" fillId="6" borderId="24" xfId="1" applyNumberFormat="1" applyFont="1" applyFill="1" applyBorder="1" applyAlignment="1">
      <alignment horizontal="center" vertical="center" wrapText="1"/>
    </xf>
    <xf numFmtId="37" fontId="21" fillId="7" borderId="39" xfId="1" applyNumberFormat="1" applyFont="1" applyFill="1" applyBorder="1" applyAlignment="1">
      <alignment horizontal="center" vertical="center"/>
    </xf>
    <xf numFmtId="37" fontId="23" fillId="6" borderId="28" xfId="1" applyNumberFormat="1" applyFont="1" applyFill="1" applyBorder="1" applyAlignment="1">
      <alignment horizontal="center" vertical="center"/>
    </xf>
    <xf numFmtId="37" fontId="23" fillId="6" borderId="32" xfId="1" applyNumberFormat="1" applyFont="1" applyFill="1" applyBorder="1" applyAlignment="1">
      <alignment horizontal="center" vertical="center"/>
    </xf>
    <xf numFmtId="37" fontId="23" fillId="6" borderId="36" xfId="1" applyNumberFormat="1" applyFont="1" applyFill="1" applyBorder="1" applyAlignment="1">
      <alignment horizontal="center" vertical="center"/>
    </xf>
    <xf numFmtId="37" fontId="23" fillId="7" borderId="41" xfId="1" applyNumberFormat="1" applyFont="1" applyFill="1" applyBorder="1" applyAlignment="1">
      <alignment horizontal="center" vertical="center"/>
    </xf>
    <xf numFmtId="37" fontId="23" fillId="6" borderId="45" xfId="1" applyNumberFormat="1" applyFont="1" applyFill="1" applyBorder="1" applyAlignment="1">
      <alignment horizontal="center" vertical="center"/>
    </xf>
    <xf numFmtId="37" fontId="13" fillId="7" borderId="41" xfId="1" applyNumberFormat="1" applyFont="1" applyFill="1" applyBorder="1" applyAlignment="1">
      <alignment horizontal="center" vertical="center"/>
    </xf>
    <xf numFmtId="37" fontId="25" fillId="7" borderId="41" xfId="1" applyNumberFormat="1" applyFont="1" applyFill="1" applyBorder="1" applyAlignment="1">
      <alignment horizontal="center" vertical="center"/>
    </xf>
    <xf numFmtId="0" fontId="4" fillId="13" borderId="61" xfId="3" applyFill="1" applyBorder="1"/>
    <xf numFmtId="43" fontId="10" fillId="0" borderId="0" xfId="1" applyFont="1" applyFill="1" applyBorder="1" applyAlignment="1">
      <alignment horizontal="center"/>
    </xf>
    <xf numFmtId="37" fontId="3" fillId="4" borderId="49" xfId="1" applyNumberFormat="1" applyFont="1" applyFill="1" applyBorder="1" applyAlignment="1">
      <alignment horizontal="center" vertical="center"/>
    </xf>
    <xf numFmtId="0" fontId="3" fillId="4" borderId="51" xfId="1" applyNumberFormat="1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2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54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37" fontId="3" fillId="9" borderId="2" xfId="1" applyNumberFormat="1" applyFont="1" applyFill="1" applyBorder="1" applyAlignment="1">
      <alignment horizontal="center" vertical="center"/>
    </xf>
    <xf numFmtId="0" fontId="3" fillId="9" borderId="42" xfId="1" applyNumberFormat="1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3" borderId="58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C0369E10-F6D3-4944-9DCF-96EBF0A53374}"/>
    <cellStyle name="Percent" xfId="2" builtinId="5"/>
  </cellStyles>
  <dxfs count="19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9ADFB-8339-4FBE-9529-B441A2A1E770}" name="kawasan" displayName="kawasan" ref="C4:J130" totalsRowShown="0">
  <autoFilter ref="C4:J130" xr:uid="{43D9ADFB-8339-4FBE-9529-B441A2A1E770}"/>
  <tableColumns count="8">
    <tableColumn id="1" xr3:uid="{1247341A-62ED-4295-895C-4E33053A6A6A}" name="id"/>
    <tableColumn id="4" xr3:uid="{5C47BC8D-8528-4976-8417-75B54EBC4FE6}" name="rt-rw"/>
    <tableColumn id="5" xr3:uid="{07ECB07E-E2DD-4A34-B1E6-810F1F23E5A1}" name="luasFlag"/>
    <tableColumn id="6" xr3:uid="{D06AF8C1-9485-4414-86AD-02ABBFE5CA24}" name="jumlahBangunan"/>
    <tableColumn id="7" xr3:uid="{826CA5B8-CEE9-4FA4-8ED3-24F172040FFC}" name="jumlahPenduduk"/>
    <tableColumn id="8" xr3:uid="{0D2F8F1C-B30E-43EA-959E-EC5F4E6EB178}" name="jumlahKK"/>
    <tableColumn id="9" xr3:uid="{6CE5FF9D-45DD-4FB2-AA26-D509D93782A2}" name="panjangJalanIdeal"/>
    <tableColumn id="10" xr3:uid="{0785D98B-71FF-49D9-B360-CDFF320C1BB8}" name="panjangDrainaseId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1D031-6511-4C98-941B-630B4A697A50}" name="kumuh" displayName="kumuh" ref="L4:AC1400" totalsRowShown="0">
  <autoFilter ref="L4:AC1400" xr:uid="{3721D031-6511-4C98-941B-630B4A697A50}"/>
  <tableColumns count="18">
    <tableColumn id="19" xr3:uid="{1AA9712F-F7F6-4836-BEF4-1FD2C2D43B93}" name="rt-rw"/>
    <tableColumn id="2" xr3:uid="{37AC15F4-A3EC-405A-8D3E-7BED5AFF8A0D}" name="tahun"/>
    <tableColumn id="3" xr3:uid="{C9E2A17A-5656-4578-B165-965594F214AA}" name="1a"/>
    <tableColumn id="4" xr3:uid="{CFC61472-0698-4CEF-9F09-D43FE6ED508E}" name="1b"/>
    <tableColumn id="5" xr3:uid="{9F746197-6EB7-4F39-A24C-040466E143C5}" name="1c"/>
    <tableColumn id="6" xr3:uid="{A2B172B7-EA8D-4AE0-B121-EF3392C29DFB}" name="2a"/>
    <tableColumn id="7" xr3:uid="{D60288CA-6FD4-46F2-9CBD-5D5D02CBFB7E}" name="2b"/>
    <tableColumn id="8" xr3:uid="{88BEE31A-85DF-4122-BD8E-CAF343D6F536}" name="3a"/>
    <tableColumn id="9" xr3:uid="{901E0247-0926-48C3-AA72-AE3CF71E687D}" name="3b"/>
    <tableColumn id="10" xr3:uid="{776B228F-15AE-4B6A-A922-403B3133F183}" name="4a"/>
    <tableColumn id="11" xr3:uid="{F5338E26-B955-4499-85DA-A4C009E682EA}" name="4b"/>
    <tableColumn id="12" xr3:uid="{0882F1E4-824C-4EF9-BF89-C2D38AAD4507}" name="4c"/>
    <tableColumn id="13" xr3:uid="{93168994-2801-45B6-9240-122951095E24}" name="5a"/>
    <tableColumn id="14" xr3:uid="{CC240F00-089D-4C74-B984-348C7FA85C3C}" name="5b"/>
    <tableColumn id="15" xr3:uid="{53080F8A-F623-401A-8CD6-00F9C0972624}" name="6a"/>
    <tableColumn id="16" xr3:uid="{A26E28A6-3443-4B05-8B31-4EEA309120FC}" name="6b"/>
    <tableColumn id="17" xr3:uid="{03E2F935-971B-4101-8000-284EEB23BF1D}" name="7a"/>
    <tableColumn id="18" xr3:uid="{DE91B85F-6B6B-4D3E-8D92-FB23AE3A72BC}" name="7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16A6DD-2B0F-4D88-A98C-A9A38BE9C8E7}" name="tahun" displayName="tahun" ref="AE4:AE9" totalsRowShown="0">
  <autoFilter ref="AE4:AE9" xr:uid="{E016A6DD-2B0F-4D88-A98C-A9A38BE9C8E7}"/>
  <tableColumns count="1">
    <tableColumn id="1" xr3:uid="{182DFC5C-8F6E-4F3E-9D24-2CB5DB23FADE}" name="tahu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70F57A-F371-4747-8994-45F7628D14E0}" name="investasi" displayName="investasi" ref="AG4:AK260" totalsRowShown="0">
  <autoFilter ref="AG4:AK260" xr:uid="{8170F57A-F371-4747-8994-45F7628D14E0}"/>
  <tableColumns count="5">
    <tableColumn id="1" xr3:uid="{B043E30C-0A4F-4D1E-9C8C-71DA7E8183DE}" name="volume"/>
    <tableColumn id="2" xr3:uid="{47C4A5FC-C732-439F-952F-768C536F5BD4}" name="kegiatan"/>
    <tableColumn id="3" xr3:uid="{869E9653-F997-461D-B765-06C120178BB9}" name="tahun"/>
    <tableColumn id="4" xr3:uid="{94596553-7AA1-4929-83E1-5BD6B90F12D3}" name="rt-rw" dataDxfId="18" dataCellStyle="Normal 2"/>
    <tableColumn id="5" xr3:uid="{CFA5CD28-B9D8-483D-9C2C-E73769543F3B}" name="krite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ACEC-C78A-4F61-96D8-734CE705DD26}">
  <dimension ref="A1:N42"/>
  <sheetViews>
    <sheetView tabSelected="1" zoomScaleNormal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0" sqref="B10"/>
    </sheetView>
  </sheetViews>
  <sheetFormatPr defaultRowHeight="15" x14ac:dyDescent="0.25"/>
  <cols>
    <col min="1" max="1" width="16.85546875" customWidth="1"/>
    <col min="2" max="2" width="46.85546875" bestFit="1" customWidth="1"/>
    <col min="3" max="3" width="15" customWidth="1"/>
    <col min="5" max="5" width="19" customWidth="1"/>
    <col min="6" max="6" width="15.140625" bestFit="1" customWidth="1"/>
    <col min="7" max="7" width="38.85546875" bestFit="1" customWidth="1"/>
    <col min="8" max="8" width="9.42578125" bestFit="1" customWidth="1"/>
    <col min="9" max="9" width="9.140625" bestFit="1" customWidth="1"/>
    <col min="10" max="10" width="12.140625" bestFit="1" customWidth="1"/>
    <col min="11" max="11" width="9.140625" bestFit="1" customWidth="1"/>
    <col min="12" max="12" width="17" customWidth="1"/>
    <col min="13" max="13" width="15.140625" bestFit="1" customWidth="1"/>
    <col min="14" max="14" width="3.28515625" style="24" bestFit="1" customWidth="1"/>
  </cols>
  <sheetData>
    <row r="1" spans="1:14" ht="18.75" x14ac:dyDescent="0.3">
      <c r="A1" s="158" t="s">
        <v>0</v>
      </c>
      <c r="B1" s="158"/>
      <c r="C1" s="158"/>
      <c r="D1" s="158"/>
      <c r="E1" s="158"/>
      <c r="F1" s="158"/>
      <c r="G1" s="1"/>
      <c r="H1" s="1"/>
      <c r="I1" s="1"/>
      <c r="J1" s="1"/>
      <c r="K1" s="1"/>
      <c r="L1" s="1"/>
      <c r="M1" s="2"/>
    </row>
    <row r="2" spans="1:14" ht="15.75" x14ac:dyDescent="0.25">
      <c r="A2" s="159"/>
      <c r="B2" s="159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ht="15.75" x14ac:dyDescent="0.25">
      <c r="A3" s="4" t="s">
        <v>1</v>
      </c>
      <c r="B3" s="5" t="s">
        <v>104</v>
      </c>
      <c r="C3" s="6" t="s">
        <v>2</v>
      </c>
      <c r="D3" s="7"/>
      <c r="E3" s="8">
        <f>SUMIFS(kawasan[luasFlag],kawasan[rt-rw],$B$8)</f>
        <v>0</v>
      </c>
      <c r="F3" t="s">
        <v>3</v>
      </c>
      <c r="M3" s="9">
        <v>2</v>
      </c>
    </row>
    <row r="4" spans="1:14" ht="15.75" x14ac:dyDescent="0.25">
      <c r="A4" s="4" t="s">
        <v>4</v>
      </c>
      <c r="B4" s="5" t="s">
        <v>105</v>
      </c>
      <c r="C4" s="6" t="s">
        <v>5</v>
      </c>
      <c r="D4" s="7"/>
      <c r="E4" s="8">
        <f>SUMIFS(kawasan[luasFlag],kawasan[rt-rw],$B$8)</f>
        <v>0</v>
      </c>
      <c r="F4" t="s">
        <v>3</v>
      </c>
    </row>
    <row r="5" spans="1:14" ht="15.75" x14ac:dyDescent="0.25">
      <c r="A5" s="10" t="s">
        <v>6</v>
      </c>
      <c r="B5" s="11">
        <f>Sheet2!B1</f>
        <v>0</v>
      </c>
      <c r="C5" s="6" t="s">
        <v>7</v>
      </c>
      <c r="D5" s="7"/>
      <c r="E5" s="8">
        <f>SUMIFS(kawasan[jumlahBangunan],kawasan[rt-rw],$B$8)</f>
        <v>0</v>
      </c>
      <c r="F5" t="s">
        <v>8</v>
      </c>
    </row>
    <row r="6" spans="1:14" ht="15.75" x14ac:dyDescent="0.25">
      <c r="A6" s="10" t="s">
        <v>9</v>
      </c>
      <c r="B6" s="11">
        <f>Sheet2!$B$2</f>
        <v>0</v>
      </c>
      <c r="C6" s="6" t="s">
        <v>10</v>
      </c>
      <c r="D6" s="7"/>
      <c r="E6" s="8">
        <f>SUMIFS(kawasan[jumlahPenduduk],kawasan[rt-rw],$B$8)</f>
        <v>0</v>
      </c>
      <c r="F6" t="s">
        <v>11</v>
      </c>
      <c r="M6" s="12"/>
    </row>
    <row r="7" spans="1:14" ht="15.75" x14ac:dyDescent="0.25">
      <c r="A7" s="10"/>
      <c r="B7" s="13"/>
      <c r="C7" s="6" t="s">
        <v>97</v>
      </c>
      <c r="D7" s="7"/>
      <c r="E7" s="8">
        <f>SUMIFS(kawasan[jumlahKK],kawasan[rt-rw],$B$8)</f>
        <v>0</v>
      </c>
      <c r="F7" t="s">
        <v>12</v>
      </c>
    </row>
    <row r="8" spans="1:14" ht="15.75" x14ac:dyDescent="0.25">
      <c r="A8" s="25" t="s">
        <v>67</v>
      </c>
      <c r="B8" s="25" t="s">
        <v>96</v>
      </c>
      <c r="C8" s="6" t="s">
        <v>66</v>
      </c>
      <c r="D8" s="7"/>
      <c r="E8" s="8">
        <f>SUMIFS(kawasan[panjangJalanIdeal],kawasan[rt-rw],$B$8)</f>
        <v>0</v>
      </c>
      <c r="F8" t="s">
        <v>70</v>
      </c>
      <c r="G8" s="9"/>
      <c r="H8" s="9"/>
      <c r="I8" s="9"/>
      <c r="J8" s="9"/>
      <c r="K8" s="9"/>
      <c r="L8" s="9"/>
      <c r="M8" s="9"/>
    </row>
    <row r="9" spans="1:14" ht="15.75" x14ac:dyDescent="0.25">
      <c r="A9" s="25" t="s">
        <v>68</v>
      </c>
      <c r="B9" s="25">
        <v>2022</v>
      </c>
      <c r="C9" s="6" t="s">
        <v>69</v>
      </c>
      <c r="D9" s="7"/>
      <c r="E9" s="8">
        <f>SUMIFS(kawasan[panjangDrainaseIdeal],kawasan[rt-rw],$B$8)</f>
        <v>0</v>
      </c>
      <c r="F9" t="s">
        <v>70</v>
      </c>
      <c r="G9" s="9"/>
      <c r="H9" s="9"/>
      <c r="I9" s="9"/>
      <c r="J9" s="9"/>
      <c r="K9" s="9"/>
      <c r="L9" s="9"/>
      <c r="M9" s="9"/>
    </row>
    <row r="10" spans="1:14" ht="16.5" thickBot="1" x14ac:dyDescent="0.3">
      <c r="A10" s="14"/>
      <c r="B10" s="113">
        <f>SUMIFS(kawasan[id],kawasan[rt-rw],$B$8)</f>
        <v>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 ht="15.75" x14ac:dyDescent="0.25">
      <c r="A11" s="160" t="s">
        <v>13</v>
      </c>
      <c r="B11" s="162" t="s">
        <v>14</v>
      </c>
      <c r="C11" s="163" t="s">
        <v>15</v>
      </c>
      <c r="D11" s="164"/>
      <c r="E11" s="164"/>
      <c r="F11" s="165"/>
      <c r="G11" s="155" t="s">
        <v>16</v>
      </c>
      <c r="H11" s="156"/>
      <c r="I11" s="157"/>
      <c r="J11" s="144" t="s">
        <v>17</v>
      </c>
      <c r="K11" s="145"/>
      <c r="L11" s="145"/>
      <c r="M11" s="146"/>
      <c r="N11" s="54"/>
    </row>
    <row r="12" spans="1:14" ht="15.75" x14ac:dyDescent="0.25">
      <c r="A12" s="161"/>
      <c r="B12" s="162"/>
      <c r="C12" s="166"/>
      <c r="D12" s="167"/>
      <c r="E12" s="167"/>
      <c r="F12" s="168"/>
      <c r="G12" s="150" t="s">
        <v>18</v>
      </c>
      <c r="H12" s="151"/>
      <c r="I12" s="152"/>
      <c r="J12" s="147"/>
      <c r="K12" s="148"/>
      <c r="L12" s="148"/>
      <c r="M12" s="149"/>
      <c r="N12" s="54"/>
    </row>
    <row r="13" spans="1:14" ht="16.5" thickBot="1" x14ac:dyDescent="0.3">
      <c r="A13" s="161"/>
      <c r="B13" s="162"/>
      <c r="C13" s="16" t="s">
        <v>19</v>
      </c>
      <c r="D13" s="16" t="s">
        <v>20</v>
      </c>
      <c r="E13" s="16" t="s">
        <v>21</v>
      </c>
      <c r="F13" s="17" t="s">
        <v>22</v>
      </c>
      <c r="G13" s="55" t="s">
        <v>23</v>
      </c>
      <c r="H13" s="56" t="s">
        <v>19</v>
      </c>
      <c r="I13" s="56" t="s">
        <v>20</v>
      </c>
      <c r="J13" s="57" t="s">
        <v>24</v>
      </c>
      <c r="K13" s="58" t="s">
        <v>20</v>
      </c>
      <c r="L13" s="58" t="s">
        <v>25</v>
      </c>
      <c r="M13" s="59" t="s">
        <v>22</v>
      </c>
      <c r="N13" s="54"/>
    </row>
    <row r="14" spans="1:14" ht="19.5" thickBot="1" x14ac:dyDescent="0.3">
      <c r="A14" s="132" t="s">
        <v>26</v>
      </c>
      <c r="B14" s="60" t="s">
        <v>27</v>
      </c>
      <c r="C14" s="32">
        <f>SUMIFS(kumuh[1a],kumuh[tahun],($B$9-1),kumuh[rt-rw],$B$8)</f>
        <v>0</v>
      </c>
      <c r="D14" s="61" t="s">
        <v>8</v>
      </c>
      <c r="E14" s="62" t="e">
        <f>C14/E7*100%</f>
        <v>#DIV/0!</v>
      </c>
      <c r="F14" s="18" t="e">
        <f>IF(AND(E14&gt;=24.995%,E14&lt;50.995%),1,IF(AND(E14&gt;=50.995%,E14&lt;75.995%),3,IF(E14&gt;=75.995%,5,0)))</f>
        <v>#DIV/0!</v>
      </c>
      <c r="G14" s="63"/>
      <c r="H14" s="103">
        <f>IF($B$8 = "pilih rt",SUMIFS(investasi[volume],investasi[tahun],$B$9,investasi[kriteria],N14),SUMIFS(investasi[volume],investasi[tahun],$B$9,investasi[rt-rw],$B$10,investasi[kriteria],N14))</f>
        <v>0</v>
      </c>
      <c r="I14" s="64" t="s">
        <v>8</v>
      </c>
      <c r="J14" s="32">
        <f>SUMIFS(kumuh[1a],kumuh[tahun],$B$9,kumuh[rt-rw],$B$8)</f>
        <v>0</v>
      </c>
      <c r="K14" s="33" t="s">
        <v>8</v>
      </c>
      <c r="L14" s="34" t="e">
        <f>J14/E$5*100%</f>
        <v>#DIV/0!</v>
      </c>
      <c r="M14" s="105" t="e">
        <f t="shared" ref="M14:M35" si="0">IF(AND(L14&gt;=24.995%,L14&lt;50.995%),1,IF(AND(L14&gt;=50.995%,L14&lt;75.995%),3,IF(L14&gt;=75.995%,5,0)))</f>
        <v>#DIV/0!</v>
      </c>
      <c r="N14" s="54" t="s">
        <v>80</v>
      </c>
    </row>
    <row r="15" spans="1:14" ht="19.5" thickBot="1" x14ac:dyDescent="0.3">
      <c r="A15" s="132"/>
      <c r="B15" s="60" t="s">
        <v>28</v>
      </c>
      <c r="C15" s="32">
        <f>SUMIFS(kumuh[1b],kumuh[tahun],($B$9-1),kumuh[rt-rw],$B$8)</f>
        <v>0</v>
      </c>
      <c r="D15" s="61" t="s">
        <v>3</v>
      </c>
      <c r="E15" s="62" t="e">
        <f>C15/E6*100%</f>
        <v>#DIV/0!</v>
      </c>
      <c r="F15" s="18" t="e">
        <f>IF(AND(E15&gt;=24.995%,E15&lt;50.995%),1,IF(AND(E15&gt;=50.995%,E15&lt;75.995%),3,IF(E15&gt;=75.995%,5,0)))</f>
        <v>#DIV/0!</v>
      </c>
      <c r="G15" s="65"/>
      <c r="H15" s="103">
        <f>IF($B$8 = "pilih rt",SUMIFS(investasi[volume],investasi[tahun],$B$9,investasi[kriteria],N15),SUMIFS(investasi[volume],investasi[tahun],$B$9,investasi[rt-rw],$B$10,investasi[kriteria],N15))</f>
        <v>0</v>
      </c>
      <c r="I15" s="66" t="s">
        <v>3</v>
      </c>
      <c r="J15" s="32">
        <f>SUMIFS(kumuh[1b],kumuh[tahun],$B$9,kumuh[rt-rw],$B$8)</f>
        <v>0</v>
      </c>
      <c r="K15" s="35" t="s">
        <v>3</v>
      </c>
      <c r="L15" s="36" t="e">
        <f>J15/E$4*100%</f>
        <v>#DIV/0!</v>
      </c>
      <c r="M15" s="106" t="e">
        <f t="shared" si="0"/>
        <v>#DIV/0!</v>
      </c>
      <c r="N15" s="54" t="s">
        <v>81</v>
      </c>
    </row>
    <row r="16" spans="1:14" ht="32.25" thickBot="1" x14ac:dyDescent="0.3">
      <c r="A16" s="153"/>
      <c r="B16" s="67" t="s">
        <v>29</v>
      </c>
      <c r="C16" s="32">
        <f>SUMIFS(kumuh[1c],kumuh[tahun],($B$9-1),kumuh[rt-rw],$B$8)</f>
        <v>0</v>
      </c>
      <c r="D16" s="61" t="s">
        <v>8</v>
      </c>
      <c r="E16" s="62" t="e">
        <f>C16/E7*100%</f>
        <v>#DIV/0!</v>
      </c>
      <c r="F16" s="19" t="e">
        <f>IF(AND(E16&gt;=24.995%,E16&lt;50.995%),1,IF(AND(E16&gt;=50.995%,E16&lt;75.995%),3,IF(E16&gt;=75.995%,5,0)))</f>
        <v>#DIV/0!</v>
      </c>
      <c r="G16" s="68"/>
      <c r="H16" s="103">
        <f>IF($B$8 = "pilih rt",SUMIFS(investasi[volume],investasi[tahun],$B$9,investasi[kriteria],N16),SUMIFS(investasi[volume],investasi[tahun],$B$9,investasi[rt-rw],$B$10,investasi[kriteria],N16))</f>
        <v>0</v>
      </c>
      <c r="I16" s="69" t="s">
        <v>8</v>
      </c>
      <c r="J16" s="32">
        <f>SUMIFS(kumuh[1c],kumuh[tahun],$B$9,kumuh[rt-rw],$B$8)</f>
        <v>0</v>
      </c>
      <c r="K16" s="37" t="s">
        <v>8</v>
      </c>
      <c r="L16" s="38" t="e">
        <f>J16/E$5*100%</f>
        <v>#DIV/0!</v>
      </c>
      <c r="M16" s="107" t="e">
        <f t="shared" si="0"/>
        <v>#DIV/0!</v>
      </c>
      <c r="N16" s="54" t="s">
        <v>82</v>
      </c>
    </row>
    <row r="17" spans="1:14" ht="19.5" thickBot="1" x14ac:dyDescent="0.3">
      <c r="A17" s="128" t="s">
        <v>30</v>
      </c>
      <c r="B17" s="129"/>
      <c r="C17" s="129"/>
      <c r="D17" s="129"/>
      <c r="E17" s="48" t="e">
        <f>IF(SUM(F14:F16)&gt;0,(SUMIF(F14:F16,"&gt;0",E14:E16)/3),0)</f>
        <v>#DIV/0!</v>
      </c>
      <c r="F17" s="20"/>
      <c r="G17" s="70"/>
      <c r="H17" s="100"/>
      <c r="I17" s="71"/>
      <c r="J17" s="39"/>
      <c r="K17" s="40"/>
      <c r="L17" s="41" t="e">
        <f>IF(SUM(M14:M16)&gt;0,(SUMIF(M14:M16,"&gt;0",L14:L16)/3),0)</f>
        <v>#DIV/0!</v>
      </c>
      <c r="M17" s="108"/>
      <c r="N17" s="54"/>
    </row>
    <row r="18" spans="1:14" ht="19.5" thickBot="1" x14ac:dyDescent="0.3">
      <c r="A18" s="154" t="s">
        <v>31</v>
      </c>
      <c r="B18" s="72" t="s">
        <v>32</v>
      </c>
      <c r="C18" s="32">
        <f>SUMIFS(kumuh[2a],kumuh[tahun],($B$9-1),kumuh[rt-rw],$B$8)</f>
        <v>0</v>
      </c>
      <c r="D18" s="73" t="s">
        <v>33</v>
      </c>
      <c r="E18" s="62" t="e">
        <f>C18/$E$8*100%</f>
        <v>#DIV/0!</v>
      </c>
      <c r="F18" s="21" t="e">
        <f>IF(AND(E18&gt;=24.995%,E18&lt;50.995%),1,IF(AND(E18&gt;=50.995%,E18&lt;75.995%),3,IF(E18&gt;=75.995%,5,0)))</f>
        <v>#DIV/0!</v>
      </c>
      <c r="G18" s="65"/>
      <c r="H18" s="103">
        <f>IF($B$8 = "pilih rt",SUMIFS(investasi[volume],investasi[tahun],$B$9,investasi[kriteria],N18),SUMIFS(investasi[volume],investasi[tahun],$B$9,investasi[rt-rw],$B$10,investasi[kriteria],N18))</f>
        <v>0</v>
      </c>
      <c r="I18" s="74" t="s">
        <v>33</v>
      </c>
      <c r="J18" s="32">
        <f>SUMIFS(kumuh[2a],kumuh[tahun],$B$9,kumuh[rt-rw],$B$8)</f>
        <v>0</v>
      </c>
      <c r="K18" s="42" t="s">
        <v>33</v>
      </c>
      <c r="L18" s="43" t="e">
        <f>J18/$E$8*100%</f>
        <v>#DIV/0!</v>
      </c>
      <c r="M18" s="109" t="e">
        <f t="shared" si="0"/>
        <v>#DIV/0!</v>
      </c>
      <c r="N18" s="54" t="s">
        <v>83</v>
      </c>
    </row>
    <row r="19" spans="1:14" ht="19.5" thickBot="1" x14ac:dyDescent="0.3">
      <c r="A19" s="133"/>
      <c r="B19" s="60" t="s">
        <v>34</v>
      </c>
      <c r="C19" s="32">
        <f>SUMIFS(kumuh[2b],kumuh[tahun],($B$9-1),kumuh[rt-rw],$B$8)</f>
        <v>0</v>
      </c>
      <c r="D19" s="75" t="s">
        <v>33</v>
      </c>
      <c r="E19" s="62" t="e">
        <f>C19/$E$8*100%</f>
        <v>#DIV/0!</v>
      </c>
      <c r="F19" s="18" t="e">
        <f>IF(AND(E19&gt;=24.995%,E19&lt;50.995%),1,IF(AND(E19&gt;=50.995%,E19&lt;75.995%),3,IF(E19&gt;=75.995%,5,0)))</f>
        <v>#DIV/0!</v>
      </c>
      <c r="G19" s="68"/>
      <c r="H19" s="103">
        <f>IF($B$8 = "pilih rt",SUMIFS(investasi[volume],investasi[tahun],$B$9,investasi[kriteria],N19),SUMIFS(investasi[volume],investasi[tahun],$B$9,investasi[rt-rw],$B$10,investasi[kriteria],N19))</f>
        <v>0</v>
      </c>
      <c r="I19" s="66" t="s">
        <v>33</v>
      </c>
      <c r="J19" s="32">
        <f>SUMIFS(kumuh[2b],kumuh[tahun],$B$9,kumuh[rt-rw],$B$8)</f>
        <v>0</v>
      </c>
      <c r="K19" s="35" t="s">
        <v>33</v>
      </c>
      <c r="L19" s="43" t="e">
        <f>J19/$E$8*100%</f>
        <v>#DIV/0!</v>
      </c>
      <c r="M19" s="106" t="e">
        <f t="shared" si="0"/>
        <v>#DIV/0!</v>
      </c>
      <c r="N19" s="54" t="s">
        <v>84</v>
      </c>
    </row>
    <row r="20" spans="1:14" ht="19.5" thickBot="1" x14ac:dyDescent="0.3">
      <c r="A20" s="128" t="s">
        <v>35</v>
      </c>
      <c r="B20" s="129"/>
      <c r="C20" s="129"/>
      <c r="D20" s="129"/>
      <c r="E20" s="48" t="e">
        <f>IF(SUM(F18:F19)&gt;0,(SUMIF(F18:F19,"&gt;0",E18:E19)/2),0)</f>
        <v>#DIV/0!</v>
      </c>
      <c r="F20" s="20"/>
      <c r="G20" s="70"/>
      <c r="H20" s="100"/>
      <c r="I20" s="71"/>
      <c r="J20" s="39"/>
      <c r="K20" s="40"/>
      <c r="L20" s="41" t="e">
        <f>IF(SUM(M18:M19)&gt;0,(SUMIF(M18:M19,"&gt;0",L18:L19)/2),0)</f>
        <v>#DIV/0!</v>
      </c>
      <c r="M20" s="108"/>
      <c r="N20" s="54"/>
    </row>
    <row r="21" spans="1:14" ht="19.5" thickBot="1" x14ac:dyDescent="0.3">
      <c r="A21" s="132" t="s">
        <v>36</v>
      </c>
      <c r="B21" s="60" t="s">
        <v>37</v>
      </c>
      <c r="C21" s="32">
        <f>SUMIFS(kumuh[3a],kumuh[tahun],($B$9-1),kumuh[rt-rw],$B$8)</f>
        <v>0</v>
      </c>
      <c r="D21" s="75" t="s">
        <v>12</v>
      </c>
      <c r="E21" s="76" t="e">
        <f>C21/E$7*100%</f>
        <v>#DIV/0!</v>
      </c>
      <c r="F21" s="18" t="e">
        <f>IF(AND(E21&gt;=24.995%,E21&lt;50.995%),1,IF(AND(E21&gt;=50.995%,E21&lt;75.995%),3,IF(E21&gt;=75.995%,5,0)))</f>
        <v>#DIV/0!</v>
      </c>
      <c r="G21" s="65"/>
      <c r="H21" s="103">
        <f>IF($B$8 = "pilih rt",SUMIFS(investasi[volume],investasi[tahun],$B$9,investasi[kriteria],N21),SUMIFS(investasi[volume],investasi[tahun],$B$9,investasi[rt-rw],$B$10,investasi[kriteria],N21))</f>
        <v>0</v>
      </c>
      <c r="I21" s="66" t="s">
        <v>12</v>
      </c>
      <c r="J21" s="32">
        <f>SUMIFS(kumuh[3a],kumuh[tahun],$B$9,kumuh[rt-rw],$B$8)</f>
        <v>0</v>
      </c>
      <c r="K21" s="44" t="s">
        <v>12</v>
      </c>
      <c r="L21" s="45" t="e">
        <f>J21/E$7*100%</f>
        <v>#DIV/0!</v>
      </c>
      <c r="M21" s="106" t="e">
        <f t="shared" si="0"/>
        <v>#DIV/0!</v>
      </c>
      <c r="N21" s="54" t="s">
        <v>85</v>
      </c>
    </row>
    <row r="22" spans="1:14" ht="19.5" thickBot="1" x14ac:dyDescent="0.3">
      <c r="A22" s="132"/>
      <c r="B22" s="60" t="s">
        <v>38</v>
      </c>
      <c r="C22" s="32">
        <f>SUMIFS(kumuh[3b],kumuh[tahun],($B$9-1),kumuh[rt-rw],$B$8)</f>
        <v>0</v>
      </c>
      <c r="D22" s="75" t="s">
        <v>12</v>
      </c>
      <c r="E22" s="76" t="e">
        <f>C22/E$7*100%</f>
        <v>#DIV/0!</v>
      </c>
      <c r="F22" s="18" t="e">
        <f>IF(AND(E22&gt;=24.995%,E22&lt;50.995%),1,IF(AND(E22&gt;=50.995%,E22&lt;75.995%),3,IF(E22&gt;=75.995%,5,0)))</f>
        <v>#DIV/0!</v>
      </c>
      <c r="G22" s="68"/>
      <c r="H22" s="103">
        <f>IF($B$8 = "pilih rt",SUMIFS(investasi[volume],investasi[tahun],$B$9,investasi[kriteria],N22),SUMIFS(investasi[volume],investasi[tahun],$B$9,investasi[rt-rw],$B$10,investasi[kriteria],N22))</f>
        <v>0</v>
      </c>
      <c r="I22" s="66" t="s">
        <v>12</v>
      </c>
      <c r="J22" s="32">
        <f>SUMIFS(kumuh[3b],kumuh[tahun],$B$9,kumuh[rt-rw],$B$8)</f>
        <v>0</v>
      </c>
      <c r="K22" s="44" t="s">
        <v>12</v>
      </c>
      <c r="L22" s="45" t="e">
        <f>J22/E$7*100%</f>
        <v>#DIV/0!</v>
      </c>
      <c r="M22" s="106" t="e">
        <f t="shared" si="0"/>
        <v>#DIV/0!</v>
      </c>
      <c r="N22" s="54" t="s">
        <v>101</v>
      </c>
    </row>
    <row r="23" spans="1:14" ht="19.5" thickBot="1" x14ac:dyDescent="0.3">
      <c r="A23" s="128" t="s">
        <v>39</v>
      </c>
      <c r="B23" s="129"/>
      <c r="C23" s="129"/>
      <c r="D23" s="129"/>
      <c r="E23" s="48" t="e">
        <f>IF(SUM(F21:F22)&gt;0,(SUMIF(F21:F22,"&gt;0",E21:E22)/2),0)</f>
        <v>#DIV/0!</v>
      </c>
      <c r="F23" s="20"/>
      <c r="G23" s="70"/>
      <c r="H23" s="100"/>
      <c r="I23" s="71"/>
      <c r="J23" s="39"/>
      <c r="K23" s="40"/>
      <c r="L23" s="41" t="e">
        <f>IF(SUM(M21:M22)&gt;0,(SUMIF(M21:M22,"&gt;0",L21:L22)/2),0)</f>
        <v>#DIV/0!</v>
      </c>
      <c r="M23" s="108"/>
      <c r="N23" s="54"/>
    </row>
    <row r="24" spans="1:14" ht="19.5" thickBot="1" x14ac:dyDescent="0.3">
      <c r="A24" s="133" t="s">
        <v>40</v>
      </c>
      <c r="B24" s="77" t="s">
        <v>41</v>
      </c>
      <c r="C24" s="32">
        <f>SUMIFS(kumuh[4a],kumuh[tahun],($B$9-1),kumuh[rt-rw],$B$8)</f>
        <v>0</v>
      </c>
      <c r="D24" s="75" t="s">
        <v>3</v>
      </c>
      <c r="E24" s="78" t="e">
        <f>C24/E$4*100%</f>
        <v>#DIV/0!</v>
      </c>
      <c r="F24" s="18" t="e">
        <f>IF(AND(E24&gt;=24.995%,E24&lt;50.995%),1,IF(AND(E24&gt;=50.995%,E24&lt;75.995%),3,IF(E24&gt;=75.995%,5,0)))</f>
        <v>#DIV/0!</v>
      </c>
      <c r="G24" s="65"/>
      <c r="H24" s="103">
        <f>IF($B$8 = "pilih rt",SUMIFS(investasi[volume],investasi[tahun],$B$9,investasi[kriteria],N24),SUMIFS(investasi[volume],investasi[tahun],$B$9,investasi[rt-rw],$B$10,investasi[kriteria],N24))</f>
        <v>0</v>
      </c>
      <c r="I24" s="66" t="s">
        <v>3</v>
      </c>
      <c r="J24" s="32">
        <f>SUMIFS(kumuh[4a],kumuh[tahun],$B$9,kumuh[rt-rw],$B$8)</f>
        <v>0</v>
      </c>
      <c r="K24" s="35" t="s">
        <v>3</v>
      </c>
      <c r="L24" s="36" t="e">
        <f>J24/E$4*100%</f>
        <v>#DIV/0!</v>
      </c>
      <c r="M24" s="106" t="e">
        <f t="shared" si="0"/>
        <v>#DIV/0!</v>
      </c>
      <c r="N24" s="54" t="s">
        <v>87</v>
      </c>
    </row>
    <row r="25" spans="1:14" ht="19.5" thickBot="1" x14ac:dyDescent="0.3">
      <c r="A25" s="133"/>
      <c r="B25" s="60" t="s">
        <v>42</v>
      </c>
      <c r="C25" s="32">
        <f>SUMIFS(kumuh[4b],kumuh[tahun],($B$9-1),kumuh[rt-rw],$B$8)</f>
        <v>0</v>
      </c>
      <c r="D25" s="75" t="s">
        <v>33</v>
      </c>
      <c r="E25" s="78" t="e">
        <f>C25/$E9*100%</f>
        <v>#DIV/0!</v>
      </c>
      <c r="F25" s="18" t="e">
        <f>IF(AND(E25&gt;=24.995%,E25&lt;50.995%),1,IF(AND(E25&gt;=50.995%,E25&lt;75.995%),3,IF(E25&gt;=75.995%,5,0)))</f>
        <v>#DIV/0!</v>
      </c>
      <c r="G25" s="65"/>
      <c r="H25" s="103">
        <f>IF($B$8 = "pilih rt",SUMIFS(investasi[volume],investasi[tahun],$B$9,investasi[kriteria],N25),SUMIFS(investasi[volume],investasi[tahun],$B$9,investasi[rt-rw],$B$10,investasi[kriteria],N25))</f>
        <v>0</v>
      </c>
      <c r="I25" s="66" t="s">
        <v>33</v>
      </c>
      <c r="J25" s="32">
        <f>SUMIFS(kumuh[4b],kumuh[tahun],$B$9,kumuh[rt-rw],$B$8)</f>
        <v>0</v>
      </c>
      <c r="K25" s="35" t="s">
        <v>33</v>
      </c>
      <c r="L25" s="36" t="e">
        <f>J25/E$9*100%</f>
        <v>#DIV/0!</v>
      </c>
      <c r="M25" s="106" t="e">
        <f t="shared" si="0"/>
        <v>#DIV/0!</v>
      </c>
      <c r="N25" s="54" t="s">
        <v>88</v>
      </c>
    </row>
    <row r="26" spans="1:14" ht="19.5" thickBot="1" x14ac:dyDescent="0.3">
      <c r="A26" s="133"/>
      <c r="B26" s="77" t="s">
        <v>43</v>
      </c>
      <c r="C26" s="32">
        <f>SUMIFS(kumuh[4c],kumuh[tahun],($B$9-1),kumuh[rt-rw],$B$8)</f>
        <v>0</v>
      </c>
      <c r="D26" s="75" t="s">
        <v>33</v>
      </c>
      <c r="E26" s="78" t="e">
        <f>C26/$E9*100%</f>
        <v>#DIV/0!</v>
      </c>
      <c r="F26" s="18" t="e">
        <f>IF(AND(E26&gt;=24.995%,E26&lt;50.995%),1,IF(AND(E26&gt;=50.995%,E26&lt;75.995%),3,IF(E26&gt;=75.995%,5,0)))</f>
        <v>#DIV/0!</v>
      </c>
      <c r="G26" s="65"/>
      <c r="H26" s="103">
        <f>IF($B$8 = "pilih rt",SUMIFS(investasi[volume],investasi[tahun],$B$9,investasi[kriteria],N26),SUMIFS(investasi[volume],investasi[tahun],$B$9,investasi[rt-rw],$B$10,investasi[kriteria],N26))</f>
        <v>0</v>
      </c>
      <c r="I26" s="66" t="s">
        <v>33</v>
      </c>
      <c r="J26" s="32">
        <f>SUMIFS(kumuh[4c],kumuh[tahun],$B$9,kumuh[rt-rw],$B$8)</f>
        <v>0</v>
      </c>
      <c r="K26" s="35" t="s">
        <v>33</v>
      </c>
      <c r="L26" s="36" t="e">
        <f>J26/E$9*100%</f>
        <v>#DIV/0!</v>
      </c>
      <c r="M26" s="106" t="e">
        <f t="shared" si="0"/>
        <v>#DIV/0!</v>
      </c>
      <c r="N26" s="54" t="s">
        <v>89</v>
      </c>
    </row>
    <row r="27" spans="1:14" ht="19.5" thickBot="1" x14ac:dyDescent="0.3">
      <c r="A27" s="130" t="s">
        <v>44</v>
      </c>
      <c r="B27" s="131"/>
      <c r="C27" s="131"/>
      <c r="D27" s="131"/>
      <c r="E27" s="48" t="e">
        <f>IF(SUM(F24:F26)&gt;0,(SUMIF(F24:F26,"&gt;0",E24:E26)/3),0)</f>
        <v>#DIV/0!</v>
      </c>
      <c r="F27" s="20"/>
      <c r="G27" s="70"/>
      <c r="H27" s="101"/>
      <c r="I27" s="71"/>
      <c r="J27" s="46"/>
      <c r="K27" s="47"/>
      <c r="L27" s="48" t="e">
        <f>IF(SUM(M24:M26)&gt;0,(SUMIF(M24:M26,"&gt;0",L24:L26)/3),0)</f>
        <v>#DIV/0!</v>
      </c>
      <c r="M27" s="110"/>
      <c r="N27" s="54"/>
    </row>
    <row r="28" spans="1:14" ht="32.25" thickBot="1" x14ac:dyDescent="0.3">
      <c r="A28" s="132" t="s">
        <v>45</v>
      </c>
      <c r="B28" s="60" t="s">
        <v>46</v>
      </c>
      <c r="C28" s="32">
        <f>SUMIFS(kumuh[5a],kumuh[tahun],($B$9-1),kumuh[rt-rw],$B$8)</f>
        <v>0</v>
      </c>
      <c r="D28" s="75" t="s">
        <v>12</v>
      </c>
      <c r="E28" s="78" t="e">
        <f>C28/E$7*100%</f>
        <v>#DIV/0!</v>
      </c>
      <c r="F28" s="18" t="e">
        <f>IF(AND(E28&gt;=24.995%,E28&lt;50.995%),1,IF(AND(E28&gt;=50.995%,E28&lt;75.995%),3,IF(E28&gt;=75.995%,5,0)))</f>
        <v>#DIV/0!</v>
      </c>
      <c r="G28" s="65"/>
      <c r="H28" s="103">
        <f>IF($B$8 = "pilih rt",SUMIFS(investasi[volume],investasi[tahun],$B$9,investasi[kriteria],N28),SUMIFS(investasi[volume],investasi[tahun],$B$9,investasi[rt-rw],$B$10,investasi[kriteria],N28))</f>
        <v>0</v>
      </c>
      <c r="I28" s="66" t="s">
        <v>12</v>
      </c>
      <c r="J28" s="32">
        <f>SUMIFS(kumuh[5a],kumuh[tahun],$B$9,kumuh[rt-rw],$B$8)</f>
        <v>0</v>
      </c>
      <c r="K28" s="35" t="s">
        <v>12</v>
      </c>
      <c r="L28" s="36" t="e">
        <f>J28/E$7*100%</f>
        <v>#DIV/0!</v>
      </c>
      <c r="M28" s="106" t="e">
        <f t="shared" si="0"/>
        <v>#DIV/0!</v>
      </c>
      <c r="N28" s="54" t="s">
        <v>90</v>
      </c>
    </row>
    <row r="29" spans="1:14" ht="32.25" thickBot="1" x14ac:dyDescent="0.3">
      <c r="A29" s="132"/>
      <c r="B29" s="60" t="s">
        <v>47</v>
      </c>
      <c r="C29" s="32">
        <f>SUMIFS(kumuh[5b],kumuh[tahun],($B$9-1),kumuh[rt-rw],$B$8)</f>
        <v>0</v>
      </c>
      <c r="D29" s="75" t="s">
        <v>12</v>
      </c>
      <c r="E29" s="78" t="e">
        <f>C29/E$7*100%</f>
        <v>#DIV/0!</v>
      </c>
      <c r="F29" s="18" t="e">
        <f>IF(AND(E29&gt;=24.995%,E29&lt;50.995%),1,IF(AND(E29&gt;=50.995%,E29&lt;75.995%),3,IF(E29&gt;=75.995%,5,0)))</f>
        <v>#DIV/0!</v>
      </c>
      <c r="G29" s="68"/>
      <c r="H29" s="103">
        <f>IF($B$8 = "pilih rt",SUMIFS(investasi[volume],investasi[tahun],$B$9,investasi[kriteria],N29),SUMIFS(investasi[volume],investasi[tahun],$B$9,investasi[rt-rw],$B$10,investasi[kriteria],N29))</f>
        <v>0</v>
      </c>
      <c r="I29" s="66" t="s">
        <v>12</v>
      </c>
      <c r="J29" s="32">
        <f>SUMIFS(kumuh[5b],kumuh[tahun],$B$9,kumuh[rt-rw],$B$8)</f>
        <v>0</v>
      </c>
      <c r="K29" s="35" t="s">
        <v>12</v>
      </c>
      <c r="L29" s="36" t="e">
        <f>J29/E$7*100%</f>
        <v>#DIV/0!</v>
      </c>
      <c r="M29" s="106" t="e">
        <f t="shared" si="0"/>
        <v>#DIV/0!</v>
      </c>
      <c r="N29" s="54" t="s">
        <v>91</v>
      </c>
    </row>
    <row r="30" spans="1:14" ht="19.5" thickBot="1" x14ac:dyDescent="0.3">
      <c r="A30" s="130" t="s">
        <v>48</v>
      </c>
      <c r="B30" s="131"/>
      <c r="C30" s="131"/>
      <c r="D30" s="131"/>
      <c r="E30" s="48" t="e">
        <f>IF(SUM(F28:F29)&gt;0,(SUMIF(F28:F29,"&gt;0",E28:E29)/2),0)</f>
        <v>#DIV/0!</v>
      </c>
      <c r="F30" s="20"/>
      <c r="G30" s="79"/>
      <c r="H30" s="102"/>
      <c r="I30" s="80"/>
      <c r="J30" s="46"/>
      <c r="K30" s="47"/>
      <c r="L30" s="48" t="e">
        <f>IF(SUM(M28:M29)&gt;0,(SUMIF(M28:M29,"&gt;0",L28:L29)/2),0)</f>
        <v>#DIV/0!</v>
      </c>
      <c r="M30" s="110"/>
      <c r="N30" s="54"/>
    </row>
    <row r="31" spans="1:14" ht="32.25" thickBot="1" x14ac:dyDescent="0.3">
      <c r="A31" s="133" t="s">
        <v>49</v>
      </c>
      <c r="B31" s="60" t="s">
        <v>50</v>
      </c>
      <c r="C31" s="32">
        <f>SUMIFS(kumuh[6a],kumuh[tahun],($B$9-1),kumuh[rt-rw],$B$8)</f>
        <v>0</v>
      </c>
      <c r="D31" s="81" t="s">
        <v>12</v>
      </c>
      <c r="E31" s="78" t="e">
        <f>C31/E$7*100%</f>
        <v>#DIV/0!</v>
      </c>
      <c r="F31" s="18" t="e">
        <f>IF(AND(E31&gt;=24.995%,E31&lt;50.995%),1,IF(AND(E31&gt;=50.995%,E31&lt;75.995%),3,IF(E31&gt;=75.995%,5,0)))</f>
        <v>#DIV/0!</v>
      </c>
      <c r="G31" s="65"/>
      <c r="H31" s="103">
        <f>IF($B$8 = "pilih rt",SUMIFS(investasi[volume],investasi[tahun],$B$9,investasi[kriteria],N31),SUMIFS(investasi[volume],investasi[tahun],$B$9,investasi[rt-rw],$B$10,investasi[kriteria],N31))</f>
        <v>0</v>
      </c>
      <c r="I31" s="66" t="s">
        <v>12</v>
      </c>
      <c r="J31" s="32">
        <f>SUMIFS(kumuh[6a],kumuh[tahun],$B$9,kumuh[rt-rw],$B$8)</f>
        <v>0</v>
      </c>
      <c r="K31" s="35" t="s">
        <v>12</v>
      </c>
      <c r="L31" s="36" t="e">
        <f>J31/E$7*100%</f>
        <v>#DIV/0!</v>
      </c>
      <c r="M31" s="106" t="e">
        <f t="shared" si="0"/>
        <v>#DIV/0!</v>
      </c>
      <c r="N31" s="54" t="s">
        <v>92</v>
      </c>
    </row>
    <row r="32" spans="1:14" ht="32.25" thickBot="1" x14ac:dyDescent="0.3">
      <c r="A32" s="133"/>
      <c r="B32" s="60" t="s">
        <v>51</v>
      </c>
      <c r="C32" s="32">
        <f>SUMIFS(kumuh[6b],kumuh[tahun],($B$9-1),kumuh[rt-rw],$B$8)</f>
        <v>0</v>
      </c>
      <c r="D32" s="81" t="s">
        <v>12</v>
      </c>
      <c r="E32" s="78" t="e">
        <f>C32/E$7*100%</f>
        <v>#DIV/0!</v>
      </c>
      <c r="F32" s="18" t="e">
        <f>IF(AND(E32&gt;=24.995%,E32&lt;50.995%),1,IF(AND(E32&gt;=50.995%,E32&lt;75.995%),3,IF(E32&gt;=75.995%,5,0)))</f>
        <v>#DIV/0!</v>
      </c>
      <c r="G32" s="65"/>
      <c r="H32" s="103">
        <f>IF($B$8 = "pilih rt",SUMIFS(investasi[volume],investasi[tahun],$B$9,investasi[kriteria],N32),SUMIFS(investasi[volume],investasi[tahun],$B$9,investasi[rt-rw],$B$10,investasi[kriteria],N32))</f>
        <v>0</v>
      </c>
      <c r="I32" s="66" t="s">
        <v>12</v>
      </c>
      <c r="J32" s="32">
        <f>SUMIFS(kumuh[6b],kumuh[tahun],$B$9,kumuh[rt-rw],$B$8)</f>
        <v>0</v>
      </c>
      <c r="K32" s="35" t="s">
        <v>12</v>
      </c>
      <c r="L32" s="36" t="e">
        <f>J32/E$7*100%</f>
        <v>#DIV/0!</v>
      </c>
      <c r="M32" s="106" t="e">
        <f t="shared" si="0"/>
        <v>#DIV/0!</v>
      </c>
      <c r="N32" s="54" t="s">
        <v>93</v>
      </c>
    </row>
    <row r="33" spans="1:14" ht="19.5" thickBot="1" x14ac:dyDescent="0.3">
      <c r="A33" s="130" t="s">
        <v>52</v>
      </c>
      <c r="B33" s="131"/>
      <c r="C33" s="131"/>
      <c r="D33" s="131"/>
      <c r="E33" s="48" t="e">
        <f>IF(SUM(F31:F32)&gt;0,(SUMIF(F31:F32,"&gt;0",E31:E32)/2),0)</f>
        <v>#DIV/0!</v>
      </c>
      <c r="F33" s="20"/>
      <c r="G33" s="79"/>
      <c r="H33" s="102"/>
      <c r="I33" s="80"/>
      <c r="J33" s="46"/>
      <c r="K33" s="47"/>
      <c r="L33" s="48" t="e">
        <f>IF(SUM(M31:M32)&gt;0,(SUMIF(M31:M32,"&gt;0",L31:L32)/2),0)</f>
        <v>#DIV/0!</v>
      </c>
      <c r="M33" s="110"/>
      <c r="N33" s="54"/>
    </row>
    <row r="34" spans="1:14" ht="32.25" thickBot="1" x14ac:dyDescent="0.3">
      <c r="A34" s="132" t="s">
        <v>53</v>
      </c>
      <c r="B34" s="82" t="s">
        <v>54</v>
      </c>
      <c r="C34" s="32">
        <f>SUMIFS(kumuh[7a],kumuh[tahun],($B$9-1),kumuh[rt-rw],$B$8)</f>
        <v>0</v>
      </c>
      <c r="D34" s="81" t="s">
        <v>8</v>
      </c>
      <c r="E34" s="78" t="e">
        <f>C34/E$5*100%</f>
        <v>#DIV/0!</v>
      </c>
      <c r="F34" s="18" t="e">
        <f>IF(AND(E34&gt;=24.995%,E34&lt;50.995%),1,IF(AND(E34&gt;=50.995%,E34&lt;75.995%),3,IF(E34&gt;=75.995%,5,0)))</f>
        <v>#DIV/0!</v>
      </c>
      <c r="G34" s="65"/>
      <c r="H34" s="103">
        <f>IF($B$8 = "pilih rt",SUMIFS(investasi[volume],investasi[tahun],$B$9,investasi[kriteria],N34),SUMIFS(investasi[volume],investasi[tahun],$B$9,investasi[rt-rw],$B$10,investasi[kriteria],N34))</f>
        <v>0</v>
      </c>
      <c r="I34" s="66" t="s">
        <v>8</v>
      </c>
      <c r="J34" s="32">
        <f>SUMIFS(kumuh[7a],kumuh[tahun],$B$9,kumuh[rt-rw],$B$8)</f>
        <v>0</v>
      </c>
      <c r="K34" s="35" t="s">
        <v>8</v>
      </c>
      <c r="L34" s="36" t="e">
        <f>J34/E$5*100%</f>
        <v>#DIV/0!</v>
      </c>
      <c r="M34" s="106" t="e">
        <f t="shared" si="0"/>
        <v>#DIV/0!</v>
      </c>
      <c r="N34" s="54" t="s">
        <v>94</v>
      </c>
    </row>
    <row r="35" spans="1:14" ht="19.5" thickBot="1" x14ac:dyDescent="0.3">
      <c r="A35" s="132"/>
      <c r="B35" s="82" t="s">
        <v>55</v>
      </c>
      <c r="C35" s="32">
        <f>SUMIFS(kumuh[7b],kumuh[tahun],($B$9-1),kumuh[rt-rw],$B$8)</f>
        <v>0</v>
      </c>
      <c r="D35" s="81" t="s">
        <v>8</v>
      </c>
      <c r="E35" s="78" t="e">
        <f>C35/E$5*100%</f>
        <v>#DIV/0!</v>
      </c>
      <c r="F35" s="18" t="e">
        <f>IF(AND(E35&gt;=24.995%,E35&lt;50.995%),1,IF(AND(E35&gt;=50.995%,E35&lt;75.995%),3,IF(E35&gt;=75.995%,5,0)))</f>
        <v>#DIV/0!</v>
      </c>
      <c r="G35" s="65"/>
      <c r="H35" s="103">
        <f>IF($B$8 = "pilih rt",SUMIFS(investasi[volume],investasi[tahun],$B$9,investasi[kriteria],N35),SUMIFS(investasi[volume],investasi[tahun],$B$9,investasi[rt-rw],$B$10,investasi[kriteria],N35))</f>
        <v>0</v>
      </c>
      <c r="I35" s="83" t="s">
        <v>8</v>
      </c>
      <c r="J35" s="32">
        <f>SUMIFS(kumuh[7b],kumuh[tahun],$B$9,kumuh[rt-rw],$B$8)</f>
        <v>0</v>
      </c>
      <c r="K35" s="49" t="s">
        <v>8</v>
      </c>
      <c r="L35" s="50" t="e">
        <f>J35/E$5*100%</f>
        <v>#DIV/0!</v>
      </c>
      <c r="M35" s="107" t="e">
        <f t="shared" si="0"/>
        <v>#DIV/0!</v>
      </c>
      <c r="N35" s="54" t="s">
        <v>95</v>
      </c>
    </row>
    <row r="36" spans="1:14" ht="19.5" thickBot="1" x14ac:dyDescent="0.3">
      <c r="A36" s="130" t="s">
        <v>56</v>
      </c>
      <c r="B36" s="131"/>
      <c r="C36" s="131"/>
      <c r="D36" s="131"/>
      <c r="E36" s="48" t="e">
        <f>IF(SUM(F34:F35)&gt;0,(SUMIF(F34:F35,"&gt;0",E34:E35)/2),0)</f>
        <v>#DIV/0!</v>
      </c>
      <c r="F36" s="104"/>
      <c r="G36" s="84"/>
      <c r="H36" s="85"/>
      <c r="I36" s="85"/>
      <c r="J36" s="51"/>
      <c r="K36" s="52"/>
      <c r="L36" s="48" t="e">
        <f>IF(SUM(M34:M35)&gt;0,(SUMIF(M34:M35,"&gt;0",L34:L35)/2),0)</f>
        <v>#DIV/0!</v>
      </c>
      <c r="M36" s="111"/>
      <c r="N36" s="54"/>
    </row>
    <row r="37" spans="1:14" ht="15.75" x14ac:dyDescent="0.25">
      <c r="A37" s="86"/>
      <c r="B37" s="87" t="s">
        <v>57</v>
      </c>
      <c r="C37" s="63"/>
      <c r="D37" s="134" t="s">
        <v>58</v>
      </c>
      <c r="E37" s="135"/>
      <c r="F37" s="138" t="e">
        <f>SUM(F14:F16,F18:F19,F21:F22,F24:F25,F26,F28:F29,F31:F32,F34:F35)</f>
        <v>#DIV/0!</v>
      </c>
      <c r="G37" s="22"/>
      <c r="H37" s="22"/>
      <c r="I37" s="22"/>
      <c r="J37" s="22"/>
      <c r="K37" s="140" t="s">
        <v>58</v>
      </c>
      <c r="L37" s="141"/>
      <c r="M37" s="114" t="e">
        <f>SUM(M14:M16,M18:M19,M21:M22,M24:M25,M26,M28:M29,M31:M32,M34:M35)</f>
        <v>#DIV/0!</v>
      </c>
      <c r="N37" s="54"/>
    </row>
    <row r="38" spans="1:14" ht="15.75" x14ac:dyDescent="0.25">
      <c r="A38" s="86"/>
      <c r="B38" s="88" t="s">
        <v>59</v>
      </c>
      <c r="C38" s="63"/>
      <c r="D38" s="136"/>
      <c r="E38" s="137"/>
      <c r="F38" s="139"/>
      <c r="G38" s="23"/>
      <c r="H38" s="23"/>
      <c r="I38" s="23"/>
      <c r="J38" s="23"/>
      <c r="K38" s="142"/>
      <c r="L38" s="143"/>
      <c r="M38" s="115"/>
      <c r="N38" s="54"/>
    </row>
    <row r="39" spans="1:14" ht="15.75" x14ac:dyDescent="0.25">
      <c r="A39" s="86"/>
      <c r="B39" s="89" t="s">
        <v>60</v>
      </c>
      <c r="C39" s="63"/>
      <c r="D39" s="116" t="s">
        <v>61</v>
      </c>
      <c r="E39" s="117"/>
      <c r="F39" s="120" t="e">
        <f>IF(F37="N/A","TIDAK KUMUH",IF(F37&gt;=60,"KUMUH BERAT",IF(AND(F37&lt;=59,F37&gt;=38),"KUMUH SEDANG",IF(AND(F37&lt;=37,F37&gt;=16),"KUMUH RINGAN","TIDAK KUMUH"))))</f>
        <v>#DIV/0!</v>
      </c>
      <c r="G39" s="53"/>
      <c r="H39" s="53"/>
      <c r="I39" s="53"/>
      <c r="J39" s="53"/>
      <c r="K39" s="122" t="s">
        <v>61</v>
      </c>
      <c r="L39" s="123"/>
      <c r="M39" s="126" t="e">
        <f>IF(M37="N/A","TIDAK KUMUH",IF(M37&gt;=60,"KUMUH BERAT",IF(AND(M37&lt;=59,M37&gt;=38),"KUMUH SEDANG",IF(AND(M37&lt;=37,M37&gt;=16),"KUMUH RINGAN","TIDAK KUMUH"))))</f>
        <v>#DIV/0!</v>
      </c>
      <c r="N39" s="54"/>
    </row>
    <row r="40" spans="1:14" ht="16.5" thickBot="1" x14ac:dyDescent="0.3">
      <c r="A40" s="86"/>
      <c r="B40" s="90" t="s">
        <v>62</v>
      </c>
      <c r="C40" s="63"/>
      <c r="D40" s="118"/>
      <c r="E40" s="119"/>
      <c r="F40" s="121"/>
      <c r="G40" s="53"/>
      <c r="H40" s="53"/>
      <c r="I40" s="53"/>
      <c r="J40" s="53"/>
      <c r="K40" s="124"/>
      <c r="L40" s="125"/>
      <c r="M40" s="127"/>
      <c r="N40" s="54"/>
    </row>
    <row r="41" spans="1:14" ht="15.75" x14ac:dyDescent="0.25">
      <c r="A41" s="63"/>
      <c r="B41" s="91" t="s">
        <v>63</v>
      </c>
      <c r="C41" s="92"/>
      <c r="D41" s="93"/>
      <c r="E41" s="94" t="s">
        <v>64</v>
      </c>
      <c r="F41" s="95" t="e">
        <f>AVERAGE(E17,E20,E23,E27,E30,E33,E36)</f>
        <v>#DIV/0!</v>
      </c>
      <c r="G41" s="63"/>
      <c r="H41" s="63"/>
      <c r="I41" s="63"/>
      <c r="J41" s="96"/>
      <c r="K41" s="97"/>
      <c r="L41" s="98" t="s">
        <v>64</v>
      </c>
      <c r="M41" s="99" t="e">
        <f>AVERAGE(L17,L20,L23,L27,L30,L33,L36)</f>
        <v>#DIV/0!</v>
      </c>
      <c r="N41" s="54"/>
    </row>
    <row r="42" spans="1:14" ht="15.75" x14ac:dyDescent="0.25">
      <c r="A42" s="63"/>
      <c r="B42" s="13"/>
      <c r="C42" s="92"/>
      <c r="D42" s="93"/>
      <c r="E42" s="94" t="s">
        <v>65</v>
      </c>
      <c r="F42" s="95">
        <v>0</v>
      </c>
      <c r="G42" s="63"/>
      <c r="H42" s="63"/>
      <c r="I42" s="63"/>
      <c r="J42" s="96"/>
      <c r="K42" s="97"/>
      <c r="L42" s="98" t="s">
        <v>65</v>
      </c>
      <c r="M42" s="99" t="e">
        <f>IF($M$37 &lt;16,100%,(F41-M41)/(F41-24.99%))</f>
        <v>#DIV/0!</v>
      </c>
      <c r="N42" s="54"/>
    </row>
  </sheetData>
  <mergeCells count="30">
    <mergeCell ref="A1:F1"/>
    <mergeCell ref="A2:B2"/>
    <mergeCell ref="A11:A13"/>
    <mergeCell ref="B11:B13"/>
    <mergeCell ref="C11:F12"/>
    <mergeCell ref="J11:M12"/>
    <mergeCell ref="G12:I12"/>
    <mergeCell ref="A14:A16"/>
    <mergeCell ref="A18:A19"/>
    <mergeCell ref="A21:A22"/>
    <mergeCell ref="G11:I11"/>
    <mergeCell ref="A17:D17"/>
    <mergeCell ref="A20:D20"/>
    <mergeCell ref="A31:A32"/>
    <mergeCell ref="A34:A35"/>
    <mergeCell ref="D37:E38"/>
    <mergeCell ref="F37:F38"/>
    <mergeCell ref="K37:L38"/>
    <mergeCell ref="A33:D33"/>
    <mergeCell ref="A36:D36"/>
    <mergeCell ref="A23:D23"/>
    <mergeCell ref="A27:D27"/>
    <mergeCell ref="A30:D30"/>
    <mergeCell ref="A28:A29"/>
    <mergeCell ref="A24:A26"/>
    <mergeCell ref="M37:M38"/>
    <mergeCell ref="D39:E40"/>
    <mergeCell ref="F39:F40"/>
    <mergeCell ref="K39:L40"/>
    <mergeCell ref="M39:M40"/>
  </mergeCells>
  <conditionalFormatting sqref="F39:F40">
    <cfRule type="expression" dxfId="17" priority="22">
      <formula>F39="KUMUH SEDANG"</formula>
    </cfRule>
    <cfRule type="expression" dxfId="16" priority="23">
      <formula>F39="TIDAK KUMUH"</formula>
    </cfRule>
    <cfRule type="expression" dxfId="15" priority="24">
      <formula>F39="KUMUH BERAT"</formula>
    </cfRule>
    <cfRule type="expression" dxfId="14" priority="25">
      <formula>F39="KUMUH RINGAN"</formula>
    </cfRule>
  </conditionalFormatting>
  <conditionalFormatting sqref="G15:G16">
    <cfRule type="cellIs" dxfId="13" priority="30" operator="equal">
      <formula>", , , , , , , , , , , , , "</formula>
    </cfRule>
  </conditionalFormatting>
  <conditionalFormatting sqref="G18:H19">
    <cfRule type="cellIs" dxfId="12" priority="6" operator="equal">
      <formula>", , , , , , , , , , , , , "</formula>
    </cfRule>
  </conditionalFormatting>
  <conditionalFormatting sqref="G21:H22">
    <cfRule type="cellIs" dxfId="11" priority="5" operator="equal">
      <formula>", , , , , , , , , , , , , "</formula>
    </cfRule>
  </conditionalFormatting>
  <conditionalFormatting sqref="G24:H26">
    <cfRule type="cellIs" dxfId="10" priority="4" operator="equal">
      <formula>", , , , , , , , , , , , , "</formula>
    </cfRule>
  </conditionalFormatting>
  <conditionalFormatting sqref="G28:H29">
    <cfRule type="cellIs" dxfId="9" priority="3" operator="equal">
      <formula>", , , , , , , , , , , , , "</formula>
    </cfRule>
  </conditionalFormatting>
  <conditionalFormatting sqref="G31:H32">
    <cfRule type="cellIs" dxfId="8" priority="2" operator="equal">
      <formula>", , , , , , , , , , , , , "</formula>
    </cfRule>
  </conditionalFormatting>
  <conditionalFormatting sqref="G34:H35">
    <cfRule type="cellIs" dxfId="7" priority="1" operator="equal">
      <formula>", , , , , , , , , , , , , "</formula>
    </cfRule>
  </conditionalFormatting>
  <conditionalFormatting sqref="G39:J40 M39:M40">
    <cfRule type="expression" dxfId="6" priority="26">
      <formula>#REF!="KUMUH SEDANG"</formula>
    </cfRule>
    <cfRule type="expression" dxfId="5" priority="27">
      <formula>#REF!="TIDAK KUMUH"</formula>
    </cfRule>
    <cfRule type="expression" dxfId="4" priority="28">
      <formula>#REF!="KUMUH BERAT"</formula>
    </cfRule>
    <cfRule type="expression" dxfId="3" priority="29">
      <formula>#REF!="KUMUH RINGAN"</formula>
    </cfRule>
  </conditionalFormatting>
  <conditionalFormatting sqref="H14:H16">
    <cfRule type="cellIs" dxfId="2" priority="14" operator="equal">
      <formula>", , , , , , , , , , , , , "</formula>
    </cfRule>
  </conditionalFormatting>
  <conditionalFormatting sqref="H14:H35">
    <cfRule type="cellIs" dxfId="1" priority="15" operator="equal">
      <formula>0</formula>
    </cfRule>
    <cfRule type="containsErrors" dxfId="0" priority="16">
      <formula>ISERROR(H14)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tahun tidak dipilih" promptTitle="pilih tahun" prompt="pilih tahun" xr:uid="{0ED0680D-E81F-4B9A-9E3B-6B1E9343DC0B}">
          <x14:formula1>
            <xm:f>Sheet2!$AE$5:$AE$90</xm:f>
          </x14:formula1>
          <xm:sqref>B9</xm:sqref>
        </x14:dataValidation>
        <x14:dataValidation type="list" allowBlank="1" showInputMessage="1" showErrorMessage="1" errorTitle="ERROR" error="RTRW BELUM DIPILIH" promptTitle="PILIH RTRW" prompt="PILIH RTRW" xr:uid="{8F40FE8F-7054-49D5-80B9-B260FE89CEBC}">
          <x14:formula1>
            <xm:f>Sheet2!$D$5:$D$1300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2C6C-60D2-46A7-AB23-4FC7C01C3FFD}">
  <dimension ref="A1:AK260"/>
  <sheetViews>
    <sheetView workbookViewId="0">
      <selection activeCell="B8" sqref="B8"/>
    </sheetView>
  </sheetViews>
  <sheetFormatPr defaultRowHeight="15" x14ac:dyDescent="0.25"/>
  <cols>
    <col min="2" max="2" width="10.7109375" customWidth="1"/>
    <col min="3" max="3" width="10" customWidth="1"/>
    <col min="4" max="4" width="12.85546875" bestFit="1" customWidth="1"/>
    <col min="5" max="5" width="10.28515625" customWidth="1"/>
    <col min="6" max="6" width="18" customWidth="1"/>
    <col min="7" max="7" width="18.28515625" customWidth="1"/>
    <col min="8" max="8" width="11.5703125" customWidth="1"/>
    <col min="9" max="9" width="19" customWidth="1"/>
    <col min="10" max="10" width="22.28515625" customWidth="1"/>
    <col min="12" max="12" width="12.85546875" bestFit="1" customWidth="1"/>
    <col min="33" max="33" width="9.85546875" customWidth="1"/>
    <col min="34" max="34" width="10.7109375" customWidth="1"/>
    <col min="36" max="36" width="12.85546875" bestFit="1" customWidth="1"/>
    <col min="37" max="37" width="9.5703125" customWidth="1"/>
  </cols>
  <sheetData>
    <row r="1" spans="1:37" x14ac:dyDescent="0.25">
      <c r="A1" t="s">
        <v>71</v>
      </c>
    </row>
    <row r="2" spans="1:37" x14ac:dyDescent="0.25">
      <c r="A2" t="s">
        <v>72</v>
      </c>
    </row>
    <row r="3" spans="1:37" x14ac:dyDescent="0.25">
      <c r="D3" t="s">
        <v>72</v>
      </c>
      <c r="L3" t="s">
        <v>103</v>
      </c>
      <c r="AG3" t="s">
        <v>102</v>
      </c>
    </row>
    <row r="4" spans="1:37" x14ac:dyDescent="0.25">
      <c r="C4" t="s">
        <v>106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L4" t="s">
        <v>73</v>
      </c>
      <c r="M4" t="s">
        <v>68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E4" t="s">
        <v>68</v>
      </c>
      <c r="AG4" t="s">
        <v>98</v>
      </c>
      <c r="AH4" t="s">
        <v>99</v>
      </c>
      <c r="AI4" t="s">
        <v>68</v>
      </c>
      <c r="AJ4" t="s">
        <v>73</v>
      </c>
      <c r="AK4" t="s">
        <v>100</v>
      </c>
    </row>
    <row r="5" spans="1:37" x14ac:dyDescent="0.25"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8"/>
      <c r="AJ5" s="27"/>
    </row>
    <row r="6" spans="1:37" x14ac:dyDescent="0.25">
      <c r="D6" s="26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E6" s="29"/>
      <c r="AJ6" s="27"/>
    </row>
    <row r="7" spans="1:37" x14ac:dyDescent="0.25">
      <c r="D7" s="26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E7" s="28"/>
      <c r="AJ7" s="27"/>
    </row>
    <row r="8" spans="1:37" x14ac:dyDescent="0.25">
      <c r="D8" s="26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E8" s="29"/>
      <c r="AJ8" s="26"/>
    </row>
    <row r="9" spans="1:37" x14ac:dyDescent="0.25">
      <c r="D9" s="26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E9" s="28"/>
      <c r="AJ9" s="26"/>
    </row>
    <row r="10" spans="1:37" x14ac:dyDescent="0.25">
      <c r="D10" s="26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J10" s="26"/>
    </row>
    <row r="11" spans="1:37" x14ac:dyDescent="0.25">
      <c r="D11" s="26"/>
      <c r="L11" s="26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I11" s="28"/>
      <c r="AJ11" s="26"/>
      <c r="AK11" s="31"/>
    </row>
    <row r="12" spans="1:37" x14ac:dyDescent="0.25">
      <c r="D12" s="26"/>
      <c r="L12" s="26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I12" s="29"/>
      <c r="AJ12" s="26"/>
      <c r="AK12" s="31"/>
    </row>
    <row r="13" spans="1:37" x14ac:dyDescent="0.25">
      <c r="D13" s="26"/>
      <c r="L13" s="26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I13" s="28"/>
      <c r="AJ13" s="26"/>
      <c r="AK13" s="31"/>
    </row>
    <row r="14" spans="1:37" x14ac:dyDescent="0.25">
      <c r="L14" s="26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I14" s="29"/>
      <c r="AJ14" s="26"/>
      <c r="AK14" s="31"/>
    </row>
    <row r="15" spans="1:37" x14ac:dyDescent="0.25">
      <c r="AI15" s="28"/>
      <c r="AJ15" s="26"/>
      <c r="AK15" s="31"/>
    </row>
    <row r="16" spans="1:37" x14ac:dyDescent="0.25">
      <c r="AI16" s="28"/>
      <c r="AJ16" s="26"/>
      <c r="AK16" s="31"/>
    </row>
    <row r="17" spans="35:37" x14ac:dyDescent="0.25">
      <c r="AI17" s="29"/>
      <c r="AJ17" s="26"/>
      <c r="AK17" s="31"/>
    </row>
    <row r="18" spans="35:37" x14ac:dyDescent="0.25">
      <c r="AI18" s="28"/>
      <c r="AJ18" s="26"/>
      <c r="AK18" s="31"/>
    </row>
    <row r="19" spans="35:37" x14ac:dyDescent="0.25">
      <c r="AI19" s="29"/>
      <c r="AJ19" s="26"/>
      <c r="AK19" s="31"/>
    </row>
    <row r="20" spans="35:37" x14ac:dyDescent="0.25">
      <c r="AI20" s="28"/>
      <c r="AJ20" s="26"/>
      <c r="AK20" s="31"/>
    </row>
    <row r="21" spans="35:37" x14ac:dyDescent="0.25">
      <c r="AI21" s="28"/>
      <c r="AJ21" s="26"/>
      <c r="AK21" s="31"/>
    </row>
    <row r="22" spans="35:37" x14ac:dyDescent="0.25">
      <c r="AI22" s="30"/>
      <c r="AJ22" s="26"/>
      <c r="AK22" s="31"/>
    </row>
    <row r="23" spans="35:37" x14ac:dyDescent="0.25">
      <c r="AI23" s="30"/>
      <c r="AJ23" s="26"/>
      <c r="AK23" s="31"/>
    </row>
    <row r="24" spans="35:37" x14ac:dyDescent="0.25">
      <c r="AI24" s="30"/>
      <c r="AJ24" s="26"/>
      <c r="AK24" s="31"/>
    </row>
    <row r="25" spans="35:37" x14ac:dyDescent="0.25">
      <c r="AI25" s="30"/>
      <c r="AJ25" s="26"/>
      <c r="AK25" s="31"/>
    </row>
    <row r="26" spans="35:37" x14ac:dyDescent="0.25">
      <c r="AI26" s="30"/>
      <c r="AJ26" s="26"/>
      <c r="AK26" s="31"/>
    </row>
    <row r="27" spans="35:37" x14ac:dyDescent="0.25">
      <c r="AJ27" s="27"/>
    </row>
    <row r="28" spans="35:37" x14ac:dyDescent="0.25">
      <c r="AJ28" s="27"/>
    </row>
    <row r="29" spans="35:37" x14ac:dyDescent="0.25">
      <c r="AJ29" s="27"/>
    </row>
    <row r="30" spans="35:37" x14ac:dyDescent="0.25">
      <c r="AJ30" s="27"/>
    </row>
    <row r="31" spans="35:37" x14ac:dyDescent="0.25">
      <c r="AJ31" s="27"/>
    </row>
    <row r="32" spans="35:37" x14ac:dyDescent="0.25">
      <c r="AJ32" s="27"/>
    </row>
    <row r="33" spans="36:36" x14ac:dyDescent="0.25">
      <c r="AJ33" s="27"/>
    </row>
    <row r="34" spans="36:36" x14ac:dyDescent="0.25">
      <c r="AJ34" s="27"/>
    </row>
    <row r="35" spans="36:36" x14ac:dyDescent="0.25">
      <c r="AJ35" s="27"/>
    </row>
    <row r="36" spans="36:36" x14ac:dyDescent="0.25">
      <c r="AJ36" s="27"/>
    </row>
    <row r="37" spans="36:36" x14ac:dyDescent="0.25">
      <c r="AJ37" s="27"/>
    </row>
    <row r="38" spans="36:36" x14ac:dyDescent="0.25">
      <c r="AJ38" s="27"/>
    </row>
    <row r="39" spans="36:36" x14ac:dyDescent="0.25">
      <c r="AJ39" s="27"/>
    </row>
    <row r="40" spans="36:36" x14ac:dyDescent="0.25">
      <c r="AJ40" s="27"/>
    </row>
    <row r="41" spans="36:36" x14ac:dyDescent="0.25">
      <c r="AJ41" s="27"/>
    </row>
    <row r="42" spans="36:36" x14ac:dyDescent="0.25">
      <c r="AJ42" s="27"/>
    </row>
    <row r="43" spans="36:36" x14ac:dyDescent="0.25">
      <c r="AJ43" s="27"/>
    </row>
    <row r="44" spans="36:36" x14ac:dyDescent="0.25">
      <c r="AJ44" s="27"/>
    </row>
    <row r="45" spans="36:36" x14ac:dyDescent="0.25">
      <c r="AJ45" s="27"/>
    </row>
    <row r="46" spans="36:36" x14ac:dyDescent="0.25">
      <c r="AJ46" s="27"/>
    </row>
    <row r="47" spans="36:36" x14ac:dyDescent="0.25">
      <c r="AJ47" s="27"/>
    </row>
    <row r="48" spans="36:36" x14ac:dyDescent="0.25">
      <c r="AJ48" s="27"/>
    </row>
    <row r="49" spans="36:36" x14ac:dyDescent="0.25">
      <c r="AJ49" s="27"/>
    </row>
    <row r="50" spans="36:36" x14ac:dyDescent="0.25">
      <c r="AJ50" s="27"/>
    </row>
    <row r="51" spans="36:36" x14ac:dyDescent="0.25">
      <c r="AJ51" s="27"/>
    </row>
    <row r="52" spans="36:36" x14ac:dyDescent="0.25">
      <c r="AJ52" s="27"/>
    </row>
    <row r="53" spans="36:36" x14ac:dyDescent="0.25">
      <c r="AJ53" s="27"/>
    </row>
    <row r="54" spans="36:36" x14ac:dyDescent="0.25">
      <c r="AJ54" s="27"/>
    </row>
    <row r="55" spans="36:36" x14ac:dyDescent="0.25">
      <c r="AJ55" s="27"/>
    </row>
    <row r="56" spans="36:36" x14ac:dyDescent="0.25">
      <c r="AJ56" s="27"/>
    </row>
    <row r="57" spans="36:36" x14ac:dyDescent="0.25">
      <c r="AJ57" s="27"/>
    </row>
    <row r="58" spans="36:36" x14ac:dyDescent="0.25">
      <c r="AJ58" s="27"/>
    </row>
    <row r="59" spans="36:36" x14ac:dyDescent="0.25">
      <c r="AJ59" s="27"/>
    </row>
    <row r="60" spans="36:36" x14ac:dyDescent="0.25">
      <c r="AJ60" s="27"/>
    </row>
    <row r="61" spans="36:36" x14ac:dyDescent="0.25">
      <c r="AJ61" s="27"/>
    </row>
    <row r="62" spans="36:36" x14ac:dyDescent="0.25">
      <c r="AJ62" s="27"/>
    </row>
    <row r="63" spans="36:36" x14ac:dyDescent="0.25">
      <c r="AJ63" s="27"/>
    </row>
    <row r="64" spans="36:36" x14ac:dyDescent="0.25">
      <c r="AJ64" s="27"/>
    </row>
    <row r="65" spans="36:36" x14ac:dyDescent="0.25">
      <c r="AJ65" s="27"/>
    </row>
    <row r="66" spans="36:36" x14ac:dyDescent="0.25">
      <c r="AJ66" s="27"/>
    </row>
    <row r="67" spans="36:36" x14ac:dyDescent="0.25">
      <c r="AJ67" s="27"/>
    </row>
    <row r="68" spans="36:36" x14ac:dyDescent="0.25">
      <c r="AJ68" s="27"/>
    </row>
    <row r="69" spans="36:36" x14ac:dyDescent="0.25">
      <c r="AJ69" s="27"/>
    </row>
    <row r="70" spans="36:36" x14ac:dyDescent="0.25">
      <c r="AJ70" s="27"/>
    </row>
    <row r="71" spans="36:36" x14ac:dyDescent="0.25">
      <c r="AJ71" s="27"/>
    </row>
    <row r="72" spans="36:36" x14ac:dyDescent="0.25">
      <c r="AJ72" s="27"/>
    </row>
    <row r="73" spans="36:36" x14ac:dyDescent="0.25">
      <c r="AJ73" s="27"/>
    </row>
    <row r="74" spans="36:36" x14ac:dyDescent="0.25">
      <c r="AJ74" s="27"/>
    </row>
    <row r="75" spans="36:36" x14ac:dyDescent="0.25">
      <c r="AJ75" s="27"/>
    </row>
    <row r="76" spans="36:36" x14ac:dyDescent="0.25">
      <c r="AJ76" s="27"/>
    </row>
    <row r="77" spans="36:36" x14ac:dyDescent="0.25">
      <c r="AJ77" s="27"/>
    </row>
    <row r="78" spans="36:36" x14ac:dyDescent="0.25">
      <c r="AJ78" s="27"/>
    </row>
    <row r="79" spans="36:36" x14ac:dyDescent="0.25">
      <c r="AJ79" s="27"/>
    </row>
    <row r="80" spans="36:36" x14ac:dyDescent="0.25">
      <c r="AJ80" s="27"/>
    </row>
    <row r="81" spans="36:36" x14ac:dyDescent="0.25">
      <c r="AJ81" s="27"/>
    </row>
    <row r="82" spans="36:36" x14ac:dyDescent="0.25">
      <c r="AJ82" s="27"/>
    </row>
    <row r="83" spans="36:36" x14ac:dyDescent="0.25">
      <c r="AJ83" s="27"/>
    </row>
    <row r="84" spans="36:36" x14ac:dyDescent="0.25">
      <c r="AJ84" s="27"/>
    </row>
    <row r="85" spans="36:36" x14ac:dyDescent="0.25">
      <c r="AJ85" s="27"/>
    </row>
    <row r="86" spans="36:36" x14ac:dyDescent="0.25">
      <c r="AJ86" s="27"/>
    </row>
    <row r="87" spans="36:36" x14ac:dyDescent="0.25">
      <c r="AJ87" s="27"/>
    </row>
    <row r="88" spans="36:36" x14ac:dyDescent="0.25">
      <c r="AJ88" s="27"/>
    </row>
    <row r="89" spans="36:36" x14ac:dyDescent="0.25">
      <c r="AJ89" s="27"/>
    </row>
    <row r="90" spans="36:36" x14ac:dyDescent="0.25">
      <c r="AJ90" s="27"/>
    </row>
    <row r="91" spans="36:36" x14ac:dyDescent="0.25">
      <c r="AJ91" s="27"/>
    </row>
    <row r="92" spans="36:36" x14ac:dyDescent="0.25">
      <c r="AJ92" s="27"/>
    </row>
    <row r="93" spans="36:36" x14ac:dyDescent="0.25">
      <c r="AJ93" s="27"/>
    </row>
    <row r="94" spans="36:36" x14ac:dyDescent="0.25">
      <c r="AJ94" s="27"/>
    </row>
    <row r="95" spans="36:36" x14ac:dyDescent="0.25">
      <c r="AJ95" s="27"/>
    </row>
    <row r="96" spans="36:36" x14ac:dyDescent="0.25">
      <c r="AJ96" s="27"/>
    </row>
    <row r="97" spans="36:36" x14ac:dyDescent="0.25">
      <c r="AJ97" s="27"/>
    </row>
    <row r="98" spans="36:36" x14ac:dyDescent="0.25">
      <c r="AJ98" s="27"/>
    </row>
    <row r="99" spans="36:36" x14ac:dyDescent="0.25">
      <c r="AJ99" s="27"/>
    </row>
    <row r="100" spans="36:36" x14ac:dyDescent="0.25">
      <c r="AJ100" s="27"/>
    </row>
    <row r="101" spans="36:36" x14ac:dyDescent="0.25">
      <c r="AJ101" s="27"/>
    </row>
    <row r="102" spans="36:36" x14ac:dyDescent="0.25">
      <c r="AJ102" s="27"/>
    </row>
    <row r="103" spans="36:36" x14ac:dyDescent="0.25">
      <c r="AJ103" s="27"/>
    </row>
    <row r="104" spans="36:36" x14ac:dyDescent="0.25">
      <c r="AJ104" s="27"/>
    </row>
    <row r="105" spans="36:36" x14ac:dyDescent="0.25">
      <c r="AJ105" s="27"/>
    </row>
    <row r="106" spans="36:36" x14ac:dyDescent="0.25">
      <c r="AJ106" s="27"/>
    </row>
    <row r="107" spans="36:36" x14ac:dyDescent="0.25">
      <c r="AJ107" s="27"/>
    </row>
    <row r="108" spans="36:36" x14ac:dyDescent="0.25">
      <c r="AJ108" s="27"/>
    </row>
    <row r="109" spans="36:36" x14ac:dyDescent="0.25">
      <c r="AJ109" s="27"/>
    </row>
    <row r="110" spans="36:36" x14ac:dyDescent="0.25">
      <c r="AJ110" s="27"/>
    </row>
    <row r="111" spans="36:36" x14ac:dyDescent="0.25">
      <c r="AJ111" s="27"/>
    </row>
    <row r="112" spans="36:36" x14ac:dyDescent="0.25">
      <c r="AJ112" s="27"/>
    </row>
    <row r="113" spans="36:36" x14ac:dyDescent="0.25">
      <c r="AJ113" s="27"/>
    </row>
    <row r="114" spans="36:36" x14ac:dyDescent="0.25">
      <c r="AJ114" s="27"/>
    </row>
    <row r="115" spans="36:36" x14ac:dyDescent="0.25">
      <c r="AJ115" s="27"/>
    </row>
    <row r="116" spans="36:36" x14ac:dyDescent="0.25">
      <c r="AJ116" s="27"/>
    </row>
    <row r="117" spans="36:36" x14ac:dyDescent="0.25">
      <c r="AJ117" s="27"/>
    </row>
    <row r="118" spans="36:36" x14ac:dyDescent="0.25">
      <c r="AJ118" s="27"/>
    </row>
    <row r="119" spans="36:36" x14ac:dyDescent="0.25">
      <c r="AJ119" s="27"/>
    </row>
    <row r="120" spans="36:36" x14ac:dyDescent="0.25">
      <c r="AJ120" s="27"/>
    </row>
    <row r="121" spans="36:36" x14ac:dyDescent="0.25">
      <c r="AJ121" s="27"/>
    </row>
    <row r="122" spans="36:36" x14ac:dyDescent="0.25">
      <c r="AJ122" s="27"/>
    </row>
    <row r="123" spans="36:36" x14ac:dyDescent="0.25">
      <c r="AJ123" s="27"/>
    </row>
    <row r="124" spans="36:36" x14ac:dyDescent="0.25">
      <c r="AJ124" s="27"/>
    </row>
    <row r="125" spans="36:36" x14ac:dyDescent="0.25">
      <c r="AJ125" s="27"/>
    </row>
    <row r="126" spans="36:36" x14ac:dyDescent="0.25">
      <c r="AJ126" s="27"/>
    </row>
    <row r="127" spans="36:36" x14ac:dyDescent="0.25">
      <c r="AJ127" s="27"/>
    </row>
    <row r="128" spans="36:36" x14ac:dyDescent="0.25">
      <c r="AJ128" s="27"/>
    </row>
    <row r="129" spans="36:36" x14ac:dyDescent="0.25">
      <c r="AJ129" s="27"/>
    </row>
    <row r="130" spans="36:36" x14ac:dyDescent="0.25">
      <c r="AJ130" s="27"/>
    </row>
    <row r="131" spans="36:36" x14ac:dyDescent="0.25">
      <c r="AJ131" s="27"/>
    </row>
    <row r="132" spans="36:36" x14ac:dyDescent="0.25">
      <c r="AJ132" s="27"/>
    </row>
    <row r="133" spans="36:36" x14ac:dyDescent="0.25">
      <c r="AJ133" s="27"/>
    </row>
    <row r="134" spans="36:36" x14ac:dyDescent="0.25">
      <c r="AJ134" s="27"/>
    </row>
    <row r="135" spans="36:36" x14ac:dyDescent="0.25">
      <c r="AJ135" s="27"/>
    </row>
    <row r="136" spans="36:36" x14ac:dyDescent="0.25">
      <c r="AJ136" s="27"/>
    </row>
    <row r="137" spans="36:36" x14ac:dyDescent="0.25">
      <c r="AJ137" s="27"/>
    </row>
    <row r="138" spans="36:36" x14ac:dyDescent="0.25">
      <c r="AJ138" s="27"/>
    </row>
    <row r="139" spans="36:36" x14ac:dyDescent="0.25">
      <c r="AJ139" s="27"/>
    </row>
    <row r="140" spans="36:36" x14ac:dyDescent="0.25">
      <c r="AJ140" s="27"/>
    </row>
    <row r="141" spans="36:36" x14ac:dyDescent="0.25">
      <c r="AJ141" s="27"/>
    </row>
    <row r="142" spans="36:36" x14ac:dyDescent="0.25">
      <c r="AJ142" s="27"/>
    </row>
    <row r="143" spans="36:36" x14ac:dyDescent="0.25">
      <c r="AJ143" s="27"/>
    </row>
    <row r="144" spans="36:36" x14ac:dyDescent="0.25">
      <c r="AJ144" s="27"/>
    </row>
    <row r="145" spans="36:36" x14ac:dyDescent="0.25">
      <c r="AJ145" s="27"/>
    </row>
    <row r="146" spans="36:36" x14ac:dyDescent="0.25">
      <c r="AJ146" s="27"/>
    </row>
    <row r="147" spans="36:36" x14ac:dyDescent="0.25">
      <c r="AJ147" s="27"/>
    </row>
    <row r="148" spans="36:36" x14ac:dyDescent="0.25">
      <c r="AJ148" s="27"/>
    </row>
    <row r="149" spans="36:36" x14ac:dyDescent="0.25">
      <c r="AJ149" s="27"/>
    </row>
    <row r="150" spans="36:36" x14ac:dyDescent="0.25">
      <c r="AJ150" s="27"/>
    </row>
    <row r="151" spans="36:36" x14ac:dyDescent="0.25">
      <c r="AJ151" s="27"/>
    </row>
    <row r="152" spans="36:36" x14ac:dyDescent="0.25">
      <c r="AJ152" s="27"/>
    </row>
    <row r="153" spans="36:36" x14ac:dyDescent="0.25">
      <c r="AJ153" s="27"/>
    </row>
    <row r="154" spans="36:36" x14ac:dyDescent="0.25">
      <c r="AJ154" s="27"/>
    </row>
    <row r="155" spans="36:36" x14ac:dyDescent="0.25">
      <c r="AJ155" s="27"/>
    </row>
    <row r="156" spans="36:36" x14ac:dyDescent="0.25">
      <c r="AJ156" s="27"/>
    </row>
    <row r="157" spans="36:36" x14ac:dyDescent="0.25">
      <c r="AJ157" s="27"/>
    </row>
    <row r="158" spans="36:36" x14ac:dyDescent="0.25">
      <c r="AJ158" s="27"/>
    </row>
    <row r="159" spans="36:36" x14ac:dyDescent="0.25">
      <c r="AJ159" s="27"/>
    </row>
    <row r="160" spans="36:36" x14ac:dyDescent="0.25">
      <c r="AJ160" s="27"/>
    </row>
    <row r="161" spans="36:36" x14ac:dyDescent="0.25">
      <c r="AJ161" s="27"/>
    </row>
    <row r="162" spans="36:36" x14ac:dyDescent="0.25">
      <c r="AJ162" s="27"/>
    </row>
    <row r="163" spans="36:36" x14ac:dyDescent="0.25">
      <c r="AJ163" s="27"/>
    </row>
    <row r="164" spans="36:36" x14ac:dyDescent="0.25">
      <c r="AJ164" s="27"/>
    </row>
    <row r="165" spans="36:36" x14ac:dyDescent="0.25">
      <c r="AJ165" s="27"/>
    </row>
    <row r="166" spans="36:36" x14ac:dyDescent="0.25">
      <c r="AJ166" s="27"/>
    </row>
    <row r="167" spans="36:36" x14ac:dyDescent="0.25">
      <c r="AJ167" s="27"/>
    </row>
    <row r="168" spans="36:36" x14ac:dyDescent="0.25">
      <c r="AJ168" s="27"/>
    </row>
    <row r="169" spans="36:36" x14ac:dyDescent="0.25">
      <c r="AJ169" s="27"/>
    </row>
    <row r="170" spans="36:36" x14ac:dyDescent="0.25">
      <c r="AJ170" s="27"/>
    </row>
    <row r="171" spans="36:36" x14ac:dyDescent="0.25">
      <c r="AJ171" s="27"/>
    </row>
    <row r="172" spans="36:36" x14ac:dyDescent="0.25">
      <c r="AJ172" s="27"/>
    </row>
    <row r="173" spans="36:36" x14ac:dyDescent="0.25">
      <c r="AJ173" s="27"/>
    </row>
    <row r="174" spans="36:36" x14ac:dyDescent="0.25">
      <c r="AJ174" s="27"/>
    </row>
    <row r="175" spans="36:36" x14ac:dyDescent="0.25">
      <c r="AJ175" s="27"/>
    </row>
    <row r="176" spans="36:36" x14ac:dyDescent="0.25">
      <c r="AJ176" s="27"/>
    </row>
    <row r="177" spans="36:36" x14ac:dyDescent="0.25">
      <c r="AJ177" s="27"/>
    </row>
    <row r="178" spans="36:36" x14ac:dyDescent="0.25">
      <c r="AJ178" s="27"/>
    </row>
    <row r="179" spans="36:36" x14ac:dyDescent="0.25">
      <c r="AJ179" s="27"/>
    </row>
    <row r="180" spans="36:36" x14ac:dyDescent="0.25">
      <c r="AJ180" s="27"/>
    </row>
    <row r="181" spans="36:36" x14ac:dyDescent="0.25">
      <c r="AJ181" s="27"/>
    </row>
    <row r="182" spans="36:36" x14ac:dyDescent="0.25">
      <c r="AJ182" s="27"/>
    </row>
    <row r="183" spans="36:36" x14ac:dyDescent="0.25">
      <c r="AJ183" s="27"/>
    </row>
    <row r="184" spans="36:36" x14ac:dyDescent="0.25">
      <c r="AJ184" s="27"/>
    </row>
    <row r="185" spans="36:36" x14ac:dyDescent="0.25">
      <c r="AJ185" s="27"/>
    </row>
    <row r="186" spans="36:36" x14ac:dyDescent="0.25">
      <c r="AJ186" s="27"/>
    </row>
    <row r="187" spans="36:36" x14ac:dyDescent="0.25">
      <c r="AJ187" s="27"/>
    </row>
    <row r="188" spans="36:36" x14ac:dyDescent="0.25">
      <c r="AJ188" s="27"/>
    </row>
    <row r="189" spans="36:36" x14ac:dyDescent="0.25">
      <c r="AJ189" s="27"/>
    </row>
    <row r="190" spans="36:36" x14ac:dyDescent="0.25">
      <c r="AJ190" s="27"/>
    </row>
    <row r="191" spans="36:36" x14ac:dyDescent="0.25">
      <c r="AJ191" s="27"/>
    </row>
    <row r="192" spans="36:36" x14ac:dyDescent="0.25">
      <c r="AJ192" s="27"/>
    </row>
    <row r="193" spans="36:36" x14ac:dyDescent="0.25">
      <c r="AJ193" s="27"/>
    </row>
    <row r="194" spans="36:36" x14ac:dyDescent="0.25">
      <c r="AJ194" s="27"/>
    </row>
    <row r="195" spans="36:36" x14ac:dyDescent="0.25">
      <c r="AJ195" s="27"/>
    </row>
    <row r="196" spans="36:36" x14ac:dyDescent="0.25">
      <c r="AJ196" s="27"/>
    </row>
    <row r="197" spans="36:36" x14ac:dyDescent="0.25">
      <c r="AJ197" s="27"/>
    </row>
    <row r="198" spans="36:36" x14ac:dyDescent="0.25">
      <c r="AJ198" s="27"/>
    </row>
    <row r="199" spans="36:36" x14ac:dyDescent="0.25">
      <c r="AJ199" s="27"/>
    </row>
    <row r="200" spans="36:36" x14ac:dyDescent="0.25">
      <c r="AJ200" s="27"/>
    </row>
    <row r="201" spans="36:36" x14ac:dyDescent="0.25">
      <c r="AJ201" s="27"/>
    </row>
    <row r="202" spans="36:36" x14ac:dyDescent="0.25">
      <c r="AJ202" s="27"/>
    </row>
    <row r="203" spans="36:36" x14ac:dyDescent="0.25">
      <c r="AJ203" s="27"/>
    </row>
    <row r="204" spans="36:36" x14ac:dyDescent="0.25">
      <c r="AJ204" s="27"/>
    </row>
    <row r="205" spans="36:36" x14ac:dyDescent="0.25">
      <c r="AJ205" s="27"/>
    </row>
    <row r="206" spans="36:36" x14ac:dyDescent="0.25">
      <c r="AJ206" s="27"/>
    </row>
    <row r="207" spans="36:36" x14ac:dyDescent="0.25">
      <c r="AJ207" s="27"/>
    </row>
    <row r="208" spans="36:36" x14ac:dyDescent="0.25">
      <c r="AJ208" s="27"/>
    </row>
    <row r="209" spans="36:36" x14ac:dyDescent="0.25">
      <c r="AJ209" s="27"/>
    </row>
    <row r="210" spans="36:36" x14ac:dyDescent="0.25">
      <c r="AJ210" s="27"/>
    </row>
    <row r="211" spans="36:36" x14ac:dyDescent="0.25">
      <c r="AJ211" s="27"/>
    </row>
    <row r="212" spans="36:36" x14ac:dyDescent="0.25">
      <c r="AJ212" s="27"/>
    </row>
    <row r="213" spans="36:36" x14ac:dyDescent="0.25">
      <c r="AJ213" s="27"/>
    </row>
    <row r="214" spans="36:36" x14ac:dyDescent="0.25">
      <c r="AJ214" s="27"/>
    </row>
    <row r="215" spans="36:36" x14ac:dyDescent="0.25">
      <c r="AJ215" s="27"/>
    </row>
    <row r="216" spans="36:36" x14ac:dyDescent="0.25">
      <c r="AJ216" s="27"/>
    </row>
    <row r="217" spans="36:36" x14ac:dyDescent="0.25">
      <c r="AJ217" s="27"/>
    </row>
    <row r="218" spans="36:36" x14ac:dyDescent="0.25">
      <c r="AJ218" s="27"/>
    </row>
    <row r="219" spans="36:36" x14ac:dyDescent="0.25">
      <c r="AJ219" s="27"/>
    </row>
    <row r="220" spans="36:36" x14ac:dyDescent="0.25">
      <c r="AJ220" s="27"/>
    </row>
    <row r="221" spans="36:36" x14ac:dyDescent="0.25">
      <c r="AJ221" s="27"/>
    </row>
    <row r="222" spans="36:36" x14ac:dyDescent="0.25">
      <c r="AJ222" s="27"/>
    </row>
    <row r="223" spans="36:36" x14ac:dyDescent="0.25">
      <c r="AJ223" s="27"/>
    </row>
    <row r="224" spans="36:36" x14ac:dyDescent="0.25">
      <c r="AJ224" s="27"/>
    </row>
    <row r="225" spans="36:36" x14ac:dyDescent="0.25">
      <c r="AJ225" s="27"/>
    </row>
    <row r="226" spans="36:36" x14ac:dyDescent="0.25">
      <c r="AJ226" s="27"/>
    </row>
    <row r="227" spans="36:36" x14ac:dyDescent="0.25">
      <c r="AJ227" s="27"/>
    </row>
    <row r="228" spans="36:36" x14ac:dyDescent="0.25">
      <c r="AJ228" s="27"/>
    </row>
    <row r="229" spans="36:36" x14ac:dyDescent="0.25">
      <c r="AJ229" s="27"/>
    </row>
    <row r="230" spans="36:36" x14ac:dyDescent="0.25">
      <c r="AJ230" s="27"/>
    </row>
    <row r="231" spans="36:36" x14ac:dyDescent="0.25">
      <c r="AJ231" s="27"/>
    </row>
    <row r="232" spans="36:36" x14ac:dyDescent="0.25">
      <c r="AJ232" s="27"/>
    </row>
    <row r="233" spans="36:36" x14ac:dyDescent="0.25">
      <c r="AJ233" s="27"/>
    </row>
    <row r="234" spans="36:36" x14ac:dyDescent="0.25">
      <c r="AJ234" s="27"/>
    </row>
    <row r="235" spans="36:36" x14ac:dyDescent="0.25">
      <c r="AJ235" s="27"/>
    </row>
    <row r="236" spans="36:36" x14ac:dyDescent="0.25">
      <c r="AJ236" s="27"/>
    </row>
    <row r="237" spans="36:36" x14ac:dyDescent="0.25">
      <c r="AJ237" s="27"/>
    </row>
    <row r="238" spans="36:36" x14ac:dyDescent="0.25">
      <c r="AJ238" s="27"/>
    </row>
    <row r="239" spans="36:36" x14ac:dyDescent="0.25">
      <c r="AJ239" s="27"/>
    </row>
    <row r="240" spans="36:36" x14ac:dyDescent="0.25">
      <c r="AJ240" s="27"/>
    </row>
    <row r="241" spans="36:36" x14ac:dyDescent="0.25">
      <c r="AJ241" s="27"/>
    </row>
    <row r="242" spans="36:36" x14ac:dyDescent="0.25">
      <c r="AJ242" s="27"/>
    </row>
    <row r="243" spans="36:36" x14ac:dyDescent="0.25">
      <c r="AJ243" s="27"/>
    </row>
    <row r="244" spans="36:36" x14ac:dyDescent="0.25">
      <c r="AJ244" s="27"/>
    </row>
    <row r="245" spans="36:36" x14ac:dyDescent="0.25">
      <c r="AJ245" s="27"/>
    </row>
    <row r="246" spans="36:36" x14ac:dyDescent="0.25">
      <c r="AJ246" s="27"/>
    </row>
    <row r="247" spans="36:36" x14ac:dyDescent="0.25">
      <c r="AJ247" s="27"/>
    </row>
    <row r="248" spans="36:36" x14ac:dyDescent="0.25">
      <c r="AJ248" s="27"/>
    </row>
    <row r="249" spans="36:36" x14ac:dyDescent="0.25">
      <c r="AJ249" s="27"/>
    </row>
    <row r="250" spans="36:36" x14ac:dyDescent="0.25">
      <c r="AJ250" s="27"/>
    </row>
    <row r="251" spans="36:36" x14ac:dyDescent="0.25">
      <c r="AJ251" s="27"/>
    </row>
    <row r="252" spans="36:36" x14ac:dyDescent="0.25">
      <c r="AJ252" s="27"/>
    </row>
    <row r="253" spans="36:36" x14ac:dyDescent="0.25">
      <c r="AJ253" s="27"/>
    </row>
    <row r="254" spans="36:36" x14ac:dyDescent="0.25">
      <c r="AJ254" s="27"/>
    </row>
    <row r="255" spans="36:36" x14ac:dyDescent="0.25">
      <c r="AJ255" s="27"/>
    </row>
    <row r="256" spans="36:36" x14ac:dyDescent="0.25">
      <c r="AJ256" s="27"/>
    </row>
    <row r="257" spans="36:36" x14ac:dyDescent="0.25">
      <c r="AJ257" s="27"/>
    </row>
    <row r="258" spans="36:36" x14ac:dyDescent="0.25">
      <c r="AJ258" s="27"/>
    </row>
    <row r="259" spans="36:36" x14ac:dyDescent="0.25">
      <c r="AJ259" s="27"/>
    </row>
    <row r="260" spans="36:36" x14ac:dyDescent="0.25">
      <c r="AJ260" s="112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2025-01-11T03:23:58Z</dcterms:created>
  <dcterms:modified xsi:type="dcterms:W3CDTF">2025-01-14T00:03:43Z</dcterms:modified>
</cp:coreProperties>
</file>