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ique\OneDrive\Área de Trabalho\PC\TI\Excel\Projeto\"/>
    </mc:Choice>
  </mc:AlternateContent>
  <xr:revisionPtr revIDLastSave="0" documentId="13_ncr:1_{65A21D37-AFDD-443C-8DB0-60BE89107D09}" xr6:coauthVersionLast="47" xr6:coauthVersionMax="47" xr10:uidLastSave="{00000000-0000-0000-0000-000000000000}"/>
  <bookViews>
    <workbookView xWindow="20370" yWindow="-120" windowWidth="20640" windowHeight="11160" firstSheet="13" activeTab="17" xr2:uid="{00000000-000D-0000-FFFF-FFFF00000000}"/>
  </bookViews>
  <sheets>
    <sheet name="Menu" sheetId="1" r:id="rId1"/>
    <sheet name="Expenses" sheetId="2" r:id="rId2"/>
    <sheet name="Goods Control" sheetId="6" r:id="rId3"/>
    <sheet name="Investments" sheetId="7" r:id="rId4"/>
    <sheet name="Inventory control" sheetId="8" r:id="rId5"/>
    <sheet name="Results" sheetId="4" r:id="rId6"/>
    <sheet name="Sales" sheetId="3" r:id="rId7"/>
    <sheet name="Week 1" sheetId="10" r:id="rId8"/>
    <sheet name="Week Analysis 1" sheetId="15" r:id="rId9"/>
    <sheet name="Week 2" sheetId="11" r:id="rId10"/>
    <sheet name="Week Analysis 2" sheetId="20" r:id="rId11"/>
    <sheet name="Week 3" sheetId="12" r:id="rId12"/>
    <sheet name="Week Analysis 3" sheetId="21" r:id="rId13"/>
    <sheet name="Week 4" sheetId="13" r:id="rId14"/>
    <sheet name="Week Analysis 4" sheetId="22" r:id="rId15"/>
    <sheet name="Week 5" sheetId="14" r:id="rId16"/>
    <sheet name="Week Analysis 5" sheetId="23" r:id="rId17"/>
    <sheet name="Calculations and Tests" sheetId="5" r:id="rId18"/>
  </sheets>
  <definedNames>
    <definedName name="_xlnm._FilterDatabase" localSheetId="17" hidden="1">'Calculations and Tests'!$J$4:$M$4</definedName>
  </definedNames>
  <calcPr calcId="181029"/>
  <pivotCaches>
    <pivotCache cacheId="5" r:id="rId19"/>
    <pivotCache cacheId="6" r:id="rId20"/>
    <pivotCache cacheId="7" r:id="rId21"/>
    <pivotCache cacheId="8" r:id="rId22"/>
    <pivotCache cacheId="9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1" l="1"/>
  <c r="E5" i="11"/>
  <c r="G5" i="11"/>
  <c r="H5" i="11" s="1"/>
  <c r="K5" i="14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5" i="13"/>
  <c r="K5" i="12"/>
  <c r="K6" i="11"/>
  <c r="K5" i="10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6" i="13"/>
  <c r="H6" i="13" s="1"/>
  <c r="G7" i="13"/>
  <c r="H7" i="13" s="1"/>
  <c r="G8" i="13"/>
  <c r="H8" i="13" s="1"/>
  <c r="G9" i="13"/>
  <c r="H9" i="13" s="1"/>
  <c r="G10" i="13"/>
  <c r="H10" i="13" s="1"/>
  <c r="G11" i="13"/>
  <c r="H11" i="13" s="1"/>
  <c r="G12" i="13"/>
  <c r="H12" i="13" s="1"/>
  <c r="G13" i="13"/>
  <c r="H13" i="13" s="1"/>
  <c r="G14" i="13"/>
  <c r="H14" i="13" s="1"/>
  <c r="G15" i="13"/>
  <c r="H15" i="13" s="1"/>
  <c r="G16" i="13"/>
  <c r="H16" i="13" s="1"/>
  <c r="G17" i="13"/>
  <c r="H17" i="13" s="1"/>
  <c r="G18" i="13"/>
  <c r="H18" i="13" s="1"/>
  <c r="G19" i="13"/>
  <c r="H19" i="13" s="1"/>
  <c r="G20" i="13"/>
  <c r="H20" i="13" s="1"/>
  <c r="G21" i="13"/>
  <c r="H21" i="13" s="1"/>
  <c r="G22" i="13"/>
  <c r="H22" i="13" s="1"/>
  <c r="G23" i="13"/>
  <c r="H23" i="13" s="1"/>
  <c r="G24" i="13"/>
  <c r="H24" i="13" s="1"/>
  <c r="G25" i="13"/>
  <c r="H25" i="13" s="1"/>
  <c r="G26" i="13"/>
  <c r="H26" i="13" s="1"/>
  <c r="G27" i="13"/>
  <c r="H27" i="13" s="1"/>
  <c r="G6" i="14"/>
  <c r="H6" i="14" s="1"/>
  <c r="G7" i="14"/>
  <c r="H7" i="14" s="1"/>
  <c r="G8" i="14"/>
  <c r="H8" i="14" s="1"/>
  <c r="G9" i="14"/>
  <c r="H9" i="14" s="1"/>
  <c r="G10" i="14"/>
  <c r="H10" i="14" s="1"/>
  <c r="G11" i="14"/>
  <c r="H11" i="14" s="1"/>
  <c r="G12" i="14"/>
  <c r="H12" i="14" s="1"/>
  <c r="G13" i="14"/>
  <c r="H13" i="14" s="1"/>
  <c r="G14" i="14"/>
  <c r="H14" i="14" s="1"/>
  <c r="G15" i="14"/>
  <c r="H15" i="14" s="1"/>
  <c r="G16" i="14"/>
  <c r="H16" i="14" s="1"/>
  <c r="G17" i="14"/>
  <c r="H17" i="14" s="1"/>
  <c r="G18" i="14"/>
  <c r="H18" i="14" s="1"/>
  <c r="G19" i="14"/>
  <c r="H19" i="14" s="1"/>
  <c r="G20" i="14"/>
  <c r="H20" i="14" s="1"/>
  <c r="G21" i="14"/>
  <c r="H21" i="14" s="1"/>
  <c r="G22" i="14"/>
  <c r="H22" i="14" s="1"/>
  <c r="G23" i="14"/>
  <c r="H23" i="14" s="1"/>
  <c r="G24" i="14"/>
  <c r="H24" i="14" s="1"/>
  <c r="G25" i="14"/>
  <c r="H25" i="14" s="1"/>
  <c r="G26" i="14"/>
  <c r="H26" i="14" s="1"/>
  <c r="G27" i="14"/>
  <c r="H27" i="14" s="1"/>
  <c r="G5" i="14"/>
  <c r="H5" i="14" s="1"/>
  <c r="G5" i="13"/>
  <c r="H5" i="13" s="1"/>
  <c r="G5" i="12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5" i="13"/>
  <c r="G6" i="11"/>
  <c r="G5" i="10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5" i="10"/>
  <c r="L5" i="11" l="1"/>
  <c r="M5" i="11" s="1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M35" i="10"/>
  <c r="C16" i="3" l="1"/>
  <c r="F5" i="8" l="1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M33" i="14"/>
  <c r="H5" i="10"/>
  <c r="M5" i="10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D18" i="4"/>
  <c r="D13" i="4"/>
  <c r="M33" i="13"/>
  <c r="M33" i="12"/>
  <c r="M36" i="11"/>
  <c r="L5" i="10" l="1"/>
  <c r="M27" i="14" l="1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H6" i="11"/>
  <c r="H7" i="11"/>
  <c r="L7" i="11" s="1"/>
  <c r="H8" i="11"/>
  <c r="H9" i="11"/>
  <c r="H10" i="11"/>
  <c r="H11" i="11"/>
  <c r="L11" i="11" s="1"/>
  <c r="H12" i="11"/>
  <c r="H13" i="11"/>
  <c r="H14" i="11"/>
  <c r="H15" i="11"/>
  <c r="L15" i="11" s="1"/>
  <c r="H16" i="11"/>
  <c r="H17" i="11"/>
  <c r="H18" i="11"/>
  <c r="H19" i="11"/>
  <c r="L19" i="11" s="1"/>
  <c r="H20" i="11"/>
  <c r="H21" i="11"/>
  <c r="H22" i="11"/>
  <c r="H23" i="11"/>
  <c r="L23" i="11" s="1"/>
  <c r="H24" i="11"/>
  <c r="H25" i="11"/>
  <c r="H26" i="11"/>
  <c r="H27" i="11"/>
  <c r="L27" i="11" s="1"/>
  <c r="H28" i="11"/>
  <c r="H29" i="11"/>
  <c r="H30" i="11"/>
  <c r="H6" i="10"/>
  <c r="K6" i="10"/>
  <c r="M6" i="10"/>
  <c r="H7" i="10"/>
  <c r="K7" i="10"/>
  <c r="M7" i="10"/>
  <c r="H8" i="10"/>
  <c r="K8" i="10"/>
  <c r="H9" i="10"/>
  <c r="K9" i="10"/>
  <c r="H10" i="10"/>
  <c r="K10" i="10"/>
  <c r="H11" i="10"/>
  <c r="K11" i="10"/>
  <c r="M11" i="10"/>
  <c r="H12" i="10"/>
  <c r="K12" i="10"/>
  <c r="H13" i="10"/>
  <c r="K13" i="10"/>
  <c r="M13" i="10"/>
  <c r="H14" i="10"/>
  <c r="K14" i="10"/>
  <c r="M14" i="10"/>
  <c r="H15" i="10"/>
  <c r="K15" i="10"/>
  <c r="M15" i="10"/>
  <c r="H16" i="10"/>
  <c r="K16" i="10"/>
  <c r="H17" i="10"/>
  <c r="K17" i="10"/>
  <c r="H18" i="10"/>
  <c r="K18" i="10"/>
  <c r="H19" i="10"/>
  <c r="K19" i="10"/>
  <c r="M19" i="10"/>
  <c r="H20" i="10"/>
  <c r="K20" i="10"/>
  <c r="M20" i="10"/>
  <c r="H21" i="10"/>
  <c r="K21" i="10"/>
  <c r="H22" i="10"/>
  <c r="K22" i="10"/>
  <c r="H23" i="10"/>
  <c r="K23" i="10"/>
  <c r="M23" i="10"/>
  <c r="H24" i="10"/>
  <c r="K24" i="10"/>
  <c r="H25" i="10"/>
  <c r="K25" i="10"/>
  <c r="H26" i="10"/>
  <c r="K26" i="10"/>
  <c r="H27" i="10"/>
  <c r="K27" i="10"/>
  <c r="M27" i="10"/>
  <c r="H28" i="10"/>
  <c r="K28" i="10"/>
  <c r="M28" i="10"/>
  <c r="H29" i="10"/>
  <c r="K29" i="10"/>
  <c r="M27" i="12"/>
  <c r="H27" i="12"/>
  <c r="M26" i="12"/>
  <c r="M25" i="12"/>
  <c r="H25" i="12"/>
  <c r="M24" i="12"/>
  <c r="M23" i="12"/>
  <c r="H23" i="12"/>
  <c r="M22" i="12"/>
  <c r="H22" i="12"/>
  <c r="M21" i="12"/>
  <c r="H21" i="12"/>
  <c r="M20" i="12"/>
  <c r="M19" i="12"/>
  <c r="H19" i="12"/>
  <c r="M18" i="12"/>
  <c r="M17" i="12"/>
  <c r="H17" i="12"/>
  <c r="M16" i="12"/>
  <c r="M15" i="12"/>
  <c r="H15" i="12"/>
  <c r="M14" i="12"/>
  <c r="H14" i="12"/>
  <c r="M13" i="12"/>
  <c r="H13" i="12"/>
  <c r="M12" i="12"/>
  <c r="M11" i="12"/>
  <c r="H11" i="12"/>
  <c r="M10" i="12"/>
  <c r="M9" i="12"/>
  <c r="H9" i="12"/>
  <c r="M8" i="12"/>
  <c r="M7" i="12"/>
  <c r="H7" i="12"/>
  <c r="H6" i="12"/>
  <c r="H5" i="12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E5" i="8"/>
  <c r="G5" i="8" s="1"/>
  <c r="H5" i="8" s="1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11" i="7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H20" i="12" l="1"/>
  <c r="H24" i="12"/>
  <c r="L24" i="12" s="1"/>
  <c r="H12" i="12"/>
  <c r="L12" i="14" s="1"/>
  <c r="L6" i="13"/>
  <c r="H16" i="12"/>
  <c r="L16" i="13" s="1"/>
  <c r="H8" i="12"/>
  <c r="L8" i="13" s="1"/>
  <c r="L20" i="14"/>
  <c r="L17" i="12"/>
  <c r="L29" i="11"/>
  <c r="L25" i="11"/>
  <c r="L21" i="11"/>
  <c r="L13" i="11"/>
  <c r="L9" i="11"/>
  <c r="L17" i="11"/>
  <c r="M31" i="12"/>
  <c r="L9" i="12"/>
  <c r="L25" i="12"/>
  <c r="L12" i="12"/>
  <c r="L13" i="12"/>
  <c r="L15" i="14"/>
  <c r="M31" i="14"/>
  <c r="L6" i="14"/>
  <c r="L30" i="11"/>
  <c r="L26" i="11"/>
  <c r="L22" i="11"/>
  <c r="L18" i="11"/>
  <c r="L14" i="11"/>
  <c r="L10" i="11"/>
  <c r="L5" i="14"/>
  <c r="L7" i="14"/>
  <c r="L20" i="12"/>
  <c r="L21" i="12"/>
  <c r="L23" i="14"/>
  <c r="L28" i="11"/>
  <c r="L24" i="11"/>
  <c r="L20" i="11"/>
  <c r="L16" i="11"/>
  <c r="L12" i="11"/>
  <c r="L8" i="11"/>
  <c r="L22" i="12"/>
  <c r="L22" i="13"/>
  <c r="L22" i="14"/>
  <c r="L14" i="12"/>
  <c r="L14" i="14"/>
  <c r="L14" i="13"/>
  <c r="L8" i="14"/>
  <c r="H10" i="12"/>
  <c r="L11" i="12"/>
  <c r="H18" i="12"/>
  <c r="L19" i="12"/>
  <c r="H26" i="12"/>
  <c r="L27" i="12"/>
  <c r="L25" i="13"/>
  <c r="L21" i="13"/>
  <c r="L17" i="13"/>
  <c r="L13" i="13"/>
  <c r="L9" i="13"/>
  <c r="L5" i="13"/>
  <c r="L20" i="13"/>
  <c r="L12" i="13"/>
  <c r="L9" i="14"/>
  <c r="L11" i="14"/>
  <c r="L13" i="14"/>
  <c r="L17" i="14"/>
  <c r="L19" i="14"/>
  <c r="L21" i="14"/>
  <c r="L25" i="14"/>
  <c r="L27" i="14"/>
  <c r="L7" i="12"/>
  <c r="L15" i="12"/>
  <c r="L23" i="12"/>
  <c r="L27" i="13"/>
  <c r="L23" i="13"/>
  <c r="L19" i="13"/>
  <c r="L15" i="13"/>
  <c r="L11" i="13"/>
  <c r="L7" i="13"/>
  <c r="L16" i="10"/>
  <c r="L14" i="10"/>
  <c r="L12" i="10"/>
  <c r="L10" i="10"/>
  <c r="M10" i="10" s="1"/>
  <c r="L24" i="10"/>
  <c r="L22" i="10"/>
  <c r="M22" i="10" s="1"/>
  <c r="L20" i="10"/>
  <c r="L18" i="10"/>
  <c r="M18" i="10" s="1"/>
  <c r="L28" i="10"/>
  <c r="L26" i="10"/>
  <c r="M26" i="10" s="1"/>
  <c r="L8" i="10"/>
  <c r="L6" i="10"/>
  <c r="D27" i="3"/>
  <c r="L6" i="11"/>
  <c r="M6" i="11" s="1"/>
  <c r="L21" i="10"/>
  <c r="L17" i="10"/>
  <c r="L15" i="10"/>
  <c r="L9" i="10"/>
  <c r="L7" i="10"/>
  <c r="L29" i="10"/>
  <c r="L25" i="10"/>
  <c r="L23" i="10"/>
  <c r="L19" i="10"/>
  <c r="L13" i="10"/>
  <c r="L11" i="10"/>
  <c r="L27" i="10"/>
  <c r="L6" i="12"/>
  <c r="L5" i="12"/>
  <c r="M34" i="11"/>
  <c r="M31" i="13"/>
  <c r="M6" i="12"/>
  <c r="M33" i="10"/>
  <c r="I28" i="6"/>
  <c r="D12" i="4" s="1"/>
  <c r="D11" i="4" s="1"/>
  <c r="G33" i="2"/>
  <c r="G35" i="2" s="1"/>
  <c r="G21" i="2"/>
  <c r="G14" i="2"/>
  <c r="G6" i="2"/>
  <c r="M6" i="14" l="1"/>
  <c r="M6" i="13"/>
  <c r="L8" i="12"/>
  <c r="L24" i="14"/>
  <c r="L24" i="13"/>
  <c r="L16" i="12"/>
  <c r="L16" i="14"/>
  <c r="D29" i="3"/>
  <c r="D7" i="4" s="1"/>
  <c r="L26" i="12"/>
  <c r="L26" i="13"/>
  <c r="L26" i="14"/>
  <c r="L10" i="12"/>
  <c r="L10" i="14"/>
  <c r="L10" i="13"/>
  <c r="M5" i="14"/>
  <c r="M5" i="13"/>
  <c r="L18" i="12"/>
  <c r="L18" i="14"/>
  <c r="L18" i="13"/>
  <c r="M29" i="10"/>
  <c r="M32" i="11"/>
  <c r="D9" i="3" s="1"/>
  <c r="M5" i="12"/>
  <c r="M8" i="10"/>
  <c r="M21" i="10"/>
  <c r="M17" i="10"/>
  <c r="M12" i="10"/>
  <c r="M25" i="10"/>
  <c r="M9" i="10"/>
  <c r="M16" i="10"/>
  <c r="M24" i="10"/>
  <c r="D46" i="3"/>
  <c r="M31" i="10"/>
  <c r="G31" i="2"/>
  <c r="M29" i="13" l="1"/>
  <c r="D11" i="3" s="1"/>
  <c r="D47" i="3"/>
  <c r="M29" i="12"/>
  <c r="D10" i="3" s="1"/>
  <c r="M29" i="14"/>
  <c r="D12" i="3" s="1"/>
  <c r="D48" i="3"/>
  <c r="D8" i="3"/>
  <c r="D45" i="3"/>
  <c r="D28" i="3"/>
  <c r="D49" i="3"/>
  <c r="G24" i="8"/>
  <c r="H24" i="8" s="1"/>
  <c r="G16" i="8"/>
  <c r="H16" i="8" s="1"/>
  <c r="G8" i="8"/>
  <c r="H8" i="8" s="1"/>
  <c r="G23" i="8"/>
  <c r="H23" i="8" s="1"/>
  <c r="G15" i="8"/>
  <c r="H15" i="8" s="1"/>
  <c r="G7" i="8"/>
  <c r="H7" i="8" s="1"/>
  <c r="G26" i="8"/>
  <c r="H26" i="8" s="1"/>
  <c r="G22" i="8"/>
  <c r="H22" i="8" s="1"/>
  <c r="G18" i="8"/>
  <c r="H18" i="8" s="1"/>
  <c r="G14" i="8"/>
  <c r="H14" i="8" s="1"/>
  <c r="G10" i="8"/>
  <c r="H10" i="8" s="1"/>
  <c r="G6" i="8"/>
  <c r="H6" i="8" s="1"/>
  <c r="G28" i="8"/>
  <c r="H28" i="8" s="1"/>
  <c r="G20" i="8"/>
  <c r="H20" i="8" s="1"/>
  <c r="G12" i="8"/>
  <c r="H12" i="8" s="1"/>
  <c r="G27" i="8"/>
  <c r="H27" i="8" s="1"/>
  <c r="G19" i="8"/>
  <c r="H19" i="8" s="1"/>
  <c r="G11" i="8"/>
  <c r="H11" i="8" s="1"/>
  <c r="G25" i="8"/>
  <c r="H25" i="8" s="1"/>
  <c r="G21" i="8"/>
  <c r="H21" i="8" s="1"/>
  <c r="G17" i="8"/>
  <c r="H17" i="8" s="1"/>
  <c r="G13" i="8"/>
  <c r="H13" i="8" s="1"/>
  <c r="G9" i="8"/>
  <c r="H9" i="8" s="1"/>
  <c r="D33" i="3" l="1"/>
  <c r="D16" i="3"/>
  <c r="D6" i="4" s="1"/>
  <c r="D5" i="4" l="1"/>
  <c r="D8" i="4" s="1"/>
  <c r="D9" i="4" s="1"/>
  <c r="D16" i="4" l="1"/>
  <c r="D22" i="4" s="1"/>
  <c r="D24" i="4" s="1"/>
  <c r="D2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C11" authorId="0" shapeId="0" xr:uid="{D955C4E6-D140-4F1C-BD06-1709BAD7F025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</t>
        </r>
      </text>
    </comment>
    <comment ref="C19" authorId="0" shapeId="0" xr:uid="{A70FCD2E-7EDC-496A-806C-5BE85E28AC94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
</t>
        </r>
      </text>
    </comment>
    <comment ref="C27" authorId="0" shapeId="0" xr:uid="{83D12F68-3FBD-433F-8388-B7E87256EEBE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
</t>
        </r>
      </text>
    </comment>
    <comment ref="B29" authorId="0" shapeId="0" xr:uid="{691C4D84-A51A-49E7-801F-8FC80D240012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B7" authorId="0" shapeId="0" xr:uid="{A1A52196-CB90-4813-A995-0A9310FE0423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Examples:
(carts, scales, cheese cutter, etc.)</t>
        </r>
      </text>
    </comment>
    <comment ref="B8" authorId="0" shapeId="0" xr:uid="{E8614C94-2AE1-4E48-8AF7-4215F3ABA612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Examples:
(shelves, etc.)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B8" authorId="0" shapeId="0" xr:uid="{9D43B959-F357-4CE1-BDE1-B589F06472E5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Tax considered: 15%
</t>
        </r>
      </text>
    </comment>
    <comment ref="B24" authorId="0" shapeId="0" xr:uid="{5C6E2072-9F2B-4870-A956-14AD4F6265B6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Tax considered: 30%
</t>
        </r>
      </text>
    </comment>
  </commentList>
</comments>
</file>

<file path=xl/sharedStrings.xml><?xml version="1.0" encoding="utf-8"?>
<sst xmlns="http://schemas.openxmlformats.org/spreadsheetml/2006/main" count="435" uniqueCount="175">
  <si>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</si>
  <si>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</si>
  <si>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</si>
  <si>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</si>
  <si>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</si>
  <si>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</si>
  <si>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</si>
  <si>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</si>
  <si>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</si>
  <si>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</si>
  <si>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</si>
  <si>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</si>
  <si>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</si>
  <si>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</si>
  <si>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</si>
  <si>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</si>
  <si>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</si>
  <si>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</si>
  <si>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</si>
  <si>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</si>
  <si>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</si>
  <si>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</si>
  <si>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Kg</t>
  </si>
  <si>
    <t>Leite</t>
  </si>
  <si>
    <t>Pão de Forma</t>
  </si>
  <si>
    <t>Refrigerante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</si>
  <si>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</si>
  <si>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</si>
  <si>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</si>
  <si>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</si>
  <si>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</si>
  <si>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</si>
  <si>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</si>
  <si>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</si>
  <si>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</si>
  <si>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</si>
  <si>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 xml:space="preserve"> </t>
  </si>
  <si>
    <t>Subtotal</t>
  </si>
  <si>
    <t>Total</t>
  </si>
  <si>
    <t>Número de Vendas</t>
  </si>
  <si>
    <t>Rótulos de Linha</t>
  </si>
  <si>
    <t>Total Geral</t>
  </si>
  <si>
    <t>Soma de Total</t>
  </si>
  <si>
    <t>(vazio)</t>
  </si>
  <si>
    <t>Expenses</t>
  </si>
  <si>
    <t>Sales</t>
  </si>
  <si>
    <t>Results</t>
  </si>
  <si>
    <t>Inventory Control</t>
  </si>
  <si>
    <t>Investments</t>
  </si>
  <si>
    <t>Goods Control</t>
  </si>
  <si>
    <t>July</t>
  </si>
  <si>
    <t>Sales Week 1</t>
  </si>
  <si>
    <t>Sales Week  2</t>
  </si>
  <si>
    <t>Sales Week  3</t>
  </si>
  <si>
    <t>Sales Week  4</t>
  </si>
  <si>
    <t>Sales Week  5</t>
  </si>
  <si>
    <t>Operating Expenses</t>
  </si>
  <si>
    <t>Item Expenses</t>
  </si>
  <si>
    <t>Date</t>
  </si>
  <si>
    <t>Observation</t>
  </si>
  <si>
    <t>Intermediate Value</t>
  </si>
  <si>
    <t>Final Vaue</t>
  </si>
  <si>
    <t>Total Operating Expenses</t>
  </si>
  <si>
    <t>Total Goods Purchase</t>
  </si>
  <si>
    <t>Total Expenses</t>
  </si>
  <si>
    <t>Store Rent</t>
  </si>
  <si>
    <t>Employees</t>
  </si>
  <si>
    <t>Salary</t>
  </si>
  <si>
    <t>Bonuses</t>
  </si>
  <si>
    <t>Taxes</t>
  </si>
  <si>
    <t>Others</t>
  </si>
  <si>
    <t>Vouchers (Meal, Transport)</t>
  </si>
  <si>
    <t>Vacation, Maternity leave</t>
  </si>
  <si>
    <t>Equipment maintenance</t>
  </si>
  <si>
    <t>Water</t>
  </si>
  <si>
    <t>Energy</t>
  </si>
  <si>
    <t>Gas</t>
  </si>
  <si>
    <t>Telephone</t>
  </si>
  <si>
    <t>Cleaning</t>
  </si>
  <si>
    <t>Third Party Services</t>
  </si>
  <si>
    <t>Accounting Office</t>
  </si>
  <si>
    <t>Law Office</t>
  </si>
  <si>
    <t>Deliveries</t>
  </si>
  <si>
    <t>Computing</t>
  </si>
  <si>
    <t>Insurance</t>
  </si>
  <si>
    <t>Supplier</t>
  </si>
  <si>
    <t>Goods</t>
  </si>
  <si>
    <t>Measure</t>
  </si>
  <si>
    <t>Quantity</t>
  </si>
  <si>
    <t>Unit price</t>
  </si>
  <si>
    <t>Discount</t>
  </si>
  <si>
    <t>Aomunt Paid</t>
  </si>
  <si>
    <t>Description</t>
  </si>
  <si>
    <t>Value</t>
  </si>
  <si>
    <t>Initial investment</t>
  </si>
  <si>
    <t>Structure</t>
  </si>
  <si>
    <t>Documentation, Information Systems, Initial Structure, Cooling System, Equipment</t>
  </si>
  <si>
    <t>Equipment</t>
  </si>
  <si>
    <t>Total Investments</t>
  </si>
  <si>
    <t>Product</t>
  </si>
  <si>
    <t>Last Purchase Date</t>
  </si>
  <si>
    <t>Initial Quantity</t>
  </si>
  <si>
    <t>Quantity Purchased</t>
  </si>
  <si>
    <t>Quantity Sold</t>
  </si>
  <si>
    <t>Current Quantity</t>
  </si>
  <si>
    <t>Situation</t>
  </si>
  <si>
    <t>Total Revenue</t>
  </si>
  <si>
    <t>Goods Revenue</t>
  </si>
  <si>
    <t xml:space="preserve">Deliveries Revenue </t>
  </si>
  <si>
    <t>Revenue Tax</t>
  </si>
  <si>
    <t>Net Revenue</t>
  </si>
  <si>
    <t>Goods Expenses</t>
  </si>
  <si>
    <t>Gross Balance</t>
  </si>
  <si>
    <t>Depreciation and Amortization</t>
  </si>
  <si>
    <t>Result Before Tax</t>
  </si>
  <si>
    <t>Net Result</t>
  </si>
  <si>
    <t>Total Sales Week 1</t>
  </si>
  <si>
    <t>Total Sales Week 2</t>
  </si>
  <si>
    <t>Total Sales Week 3</t>
  </si>
  <si>
    <t>Total Sales Week 4</t>
  </si>
  <si>
    <t>Total Sales Week 5</t>
  </si>
  <si>
    <t>Sales per Delivery (%)</t>
  </si>
  <si>
    <t>Sales per Delivery (R$)</t>
  </si>
  <si>
    <t>Delivery Revenue (R$)</t>
  </si>
  <si>
    <t>Average Ticket</t>
  </si>
  <si>
    <t>Quantity of Sales by Region</t>
  </si>
  <si>
    <t>Store</t>
  </si>
  <si>
    <t>City Center</t>
  </si>
  <si>
    <t>North Zone</t>
  </si>
  <si>
    <t>West Zone</t>
  </si>
  <si>
    <t>South Zone</t>
  </si>
  <si>
    <t>Sale id</t>
  </si>
  <si>
    <t>Unity Price</t>
  </si>
  <si>
    <t>Deliver</t>
  </si>
  <si>
    <t>Delivery Value</t>
  </si>
  <si>
    <t>Total for the Customer</t>
  </si>
  <si>
    <t>Delivery Regions</t>
  </si>
  <si>
    <t>Delivery Price</t>
  </si>
  <si>
    <t>Products</t>
  </si>
  <si>
    <t>Unit Purchase Price</t>
  </si>
  <si>
    <t>Unit Sale Price</t>
  </si>
  <si>
    <t>Weekly Sales Revenue</t>
  </si>
  <si>
    <t>Weekly Delivery Revenue</t>
  </si>
  <si>
    <t>Total Sales of the Week</t>
  </si>
  <si>
    <t>Lettuce</t>
  </si>
  <si>
    <t>Unit</t>
  </si>
  <si>
    <t>Peanut</t>
  </si>
  <si>
    <t>Rice</t>
  </si>
  <si>
    <t>Candy</t>
  </si>
  <si>
    <t>Cereal bar</t>
  </si>
  <si>
    <t>Matchbox</t>
  </si>
  <si>
    <t>Meat</t>
  </si>
  <si>
    <t>Carrot</t>
  </si>
  <si>
    <t>Beer</t>
  </si>
  <si>
    <t>Cigar</t>
  </si>
  <si>
    <t>Cabbage</t>
  </si>
  <si>
    <t>Bean</t>
  </si>
  <si>
    <t>Chicken</t>
  </si>
  <si>
    <t>Milk</t>
  </si>
  <si>
    <t>Loaf Bread</t>
  </si>
  <si>
    <t>Fish</t>
  </si>
  <si>
    <t>Cheese</t>
  </si>
  <si>
    <t>Soft Drink</t>
  </si>
  <si>
    <t>Juice</t>
  </si>
  <si>
    <t>Tomato</t>
  </si>
  <si>
    <t>Pod</t>
  </si>
  <si>
    <t>Wine</t>
  </si>
  <si>
    <t>Package</t>
  </si>
  <si>
    <t>Can</t>
  </si>
  <si>
    <t>Bar</t>
  </si>
  <si>
    <t>Pack</t>
  </si>
  <si>
    <t>Liter</t>
  </si>
  <si>
    <t>Bottle</t>
  </si>
  <si>
    <t>Soma de Quantity</t>
  </si>
  <si>
    <t>Soma de Delivery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</si>
</sst>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0"/>
      <color theme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medium">
        <color theme="9"/>
      </top>
      <bottom style="thin">
        <color theme="9"/>
      </bottom>
      <diagonal/>
    </border>
    <border>
      <left/>
      <right/>
      <top style="medium">
        <color theme="9"/>
      </top>
      <bottom style="thin">
        <color theme="9"/>
      </bottom>
      <diagonal/>
    </border>
    <border>
      <left/>
      <right style="medium">
        <color theme="9"/>
      </right>
      <top style="medium">
        <color theme="9"/>
      </top>
      <bottom style="thin">
        <color theme="9"/>
      </bottom>
      <diagonal/>
    </border>
    <border>
      <left/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theme="9"/>
      </top>
      <bottom/>
      <diagonal/>
    </border>
    <border>
      <left style="medium">
        <color theme="9"/>
      </left>
      <right/>
      <top style="thin">
        <color theme="9"/>
      </top>
      <bottom style="thin">
        <color theme="9"/>
      </bottom>
      <diagonal/>
    </border>
    <border>
      <left style="thin">
        <color theme="9"/>
      </left>
      <right/>
      <top/>
      <bottom style="medium">
        <color theme="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44" fontId="0" fillId="0" borderId="0" xfId="1" applyFont="1"/>
    <xf numFmtId="14" fontId="0" fillId="0" borderId="0" xfId="0" applyNumberFormat="1" applyAlignment="1">
      <alignment horizontal="center" vertical="center"/>
    </xf>
    <xf numFmtId="44" fontId="0" fillId="0" borderId="0" xfId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2" fillId="0" borderId="0" xfId="0" applyFont="1"/>
    <xf numFmtId="0" fontId="0" fillId="0" borderId="1" xfId="0" applyBorder="1"/>
    <xf numFmtId="0" fontId="4" fillId="0" borderId="2" xfId="0" applyFont="1" applyBorder="1"/>
    <xf numFmtId="44" fontId="4" fillId="0" borderId="2" xfId="0" applyNumberFormat="1" applyFont="1" applyBorder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 vertical="center"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/>
    <xf numFmtId="0" fontId="3" fillId="4" borderId="0" xfId="0" applyFont="1" applyFill="1" applyAlignment="1">
      <alignment horizontal="left" vertical="center"/>
    </xf>
    <xf numFmtId="0" fontId="0" fillId="4" borderId="0" xfId="0" applyFill="1"/>
    <xf numFmtId="0" fontId="0" fillId="0" borderId="4" xfId="0" applyBorder="1"/>
    <xf numFmtId="0" fontId="0" fillId="0" borderId="5" xfId="0" applyBorder="1"/>
    <xf numFmtId="0" fontId="6" fillId="0" borderId="6" xfId="0" applyFont="1" applyBorder="1"/>
    <xf numFmtId="0" fontId="7" fillId="0" borderId="6" xfId="0" applyFont="1" applyBorder="1"/>
    <xf numFmtId="44" fontId="6" fillId="0" borderId="6" xfId="0" applyNumberFormat="1" applyFont="1" applyBorder="1"/>
    <xf numFmtId="14" fontId="0" fillId="0" borderId="3" xfId="0" applyNumberFormat="1" applyBorder="1" applyAlignment="1">
      <alignment horizontal="center" vertical="center"/>
    </xf>
    <xf numFmtId="0" fontId="10" fillId="0" borderId="0" xfId="0" applyFo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7" fillId="0" borderId="0" xfId="0" applyFont="1"/>
    <xf numFmtId="0" fontId="11" fillId="0" borderId="16" xfId="0" applyFont="1" applyBorder="1"/>
    <xf numFmtId="0" fontId="11" fillId="0" borderId="18" xfId="0" applyFont="1" applyBorder="1"/>
    <xf numFmtId="0" fontId="11" fillId="0" borderId="20" xfId="0" applyFont="1" applyBorder="1"/>
    <xf numFmtId="0" fontId="12" fillId="0" borderId="22" xfId="0" applyFont="1" applyBorder="1"/>
    <xf numFmtId="0" fontId="6" fillId="0" borderId="8" xfId="0" applyFont="1" applyBorder="1" applyAlignment="1">
      <alignment horizontal="right"/>
    </xf>
    <xf numFmtId="0" fontId="11" fillId="0" borderId="17" xfId="0" applyFont="1" applyBorder="1"/>
    <xf numFmtId="0" fontId="11" fillId="0" borderId="19" xfId="0" applyFont="1" applyBorder="1"/>
    <xf numFmtId="0" fontId="11" fillId="0" borderId="21" xfId="0" applyFont="1" applyBorder="1"/>
    <xf numFmtId="0" fontId="11" fillId="0" borderId="0" xfId="0" applyFont="1"/>
    <xf numFmtId="0" fontId="12" fillId="0" borderId="6" xfId="0" applyFont="1" applyBorder="1"/>
    <xf numFmtId="9" fontId="12" fillId="0" borderId="17" xfId="2" applyFont="1" applyBorder="1"/>
    <xf numFmtId="44" fontId="12" fillId="0" borderId="21" xfId="0" applyNumberFormat="1" applyFont="1" applyBorder="1"/>
    <xf numFmtId="44" fontId="12" fillId="0" borderId="23" xfId="0" applyNumberFormat="1" applyFont="1" applyBorder="1"/>
    <xf numFmtId="44" fontId="12" fillId="0" borderId="17" xfId="0" applyNumberFormat="1" applyFont="1" applyBorder="1"/>
    <xf numFmtId="44" fontId="12" fillId="0" borderId="19" xfId="0" applyNumberFormat="1" applyFont="1" applyBorder="1"/>
    <xf numFmtId="0" fontId="11" fillId="0" borderId="16" xfId="0" applyFont="1" applyBorder="1" applyAlignment="1">
      <alignment horizontal="left" vertical="center"/>
    </xf>
    <xf numFmtId="0" fontId="11" fillId="0" borderId="18" xfId="0" applyFont="1" applyBorder="1" applyAlignment="1">
      <alignment horizontal="left" vertical="center"/>
    </xf>
    <xf numFmtId="0" fontId="11" fillId="0" borderId="20" xfId="0" applyFont="1" applyBorder="1" applyAlignment="1">
      <alignment horizontal="left" vertical="center"/>
    </xf>
    <xf numFmtId="0" fontId="13" fillId="0" borderId="5" xfId="0" applyFont="1" applyBorder="1"/>
    <xf numFmtId="0" fontId="8" fillId="4" borderId="0" xfId="0" applyFont="1" applyFill="1"/>
    <xf numFmtId="0" fontId="14" fillId="0" borderId="24" xfId="0" applyFont="1" applyBorder="1"/>
    <xf numFmtId="0" fontId="14" fillId="0" borderId="25" xfId="0" applyFont="1" applyBorder="1"/>
    <xf numFmtId="0" fontId="14" fillId="0" borderId="12" xfId="0" applyFont="1" applyBorder="1"/>
    <xf numFmtId="0" fontId="14" fillId="0" borderId="22" xfId="0" applyFont="1" applyBorder="1"/>
    <xf numFmtId="44" fontId="14" fillId="0" borderId="27" xfId="0" applyNumberFormat="1" applyFont="1" applyBorder="1"/>
    <xf numFmtId="0" fontId="14" fillId="0" borderId="16" xfId="0" applyFont="1" applyBorder="1"/>
    <xf numFmtId="44" fontId="14" fillId="0" borderId="30" xfId="0" applyNumberFormat="1" applyFont="1" applyBorder="1"/>
    <xf numFmtId="0" fontId="14" fillId="0" borderId="31" xfId="0" applyFont="1" applyBorder="1"/>
    <xf numFmtId="0" fontId="14" fillId="0" borderId="6" xfId="0" applyFont="1" applyBorder="1"/>
    <xf numFmtId="44" fontId="14" fillId="0" borderId="27" xfId="1" applyFont="1" applyBorder="1"/>
    <xf numFmtId="0" fontId="14" fillId="0" borderId="28" xfId="0" applyFont="1" applyBorder="1"/>
    <xf numFmtId="0" fontId="14" fillId="0" borderId="7" xfId="0" applyFont="1" applyBorder="1"/>
    <xf numFmtId="44" fontId="14" fillId="0" borderId="29" xfId="1" applyFont="1" applyBorder="1"/>
    <xf numFmtId="0" fontId="14" fillId="0" borderId="0" xfId="0" applyFont="1"/>
    <xf numFmtId="44" fontId="14" fillId="0" borderId="0" xfId="1" applyFont="1"/>
    <xf numFmtId="44" fontId="14" fillId="0" borderId="26" xfId="1" applyFont="1" applyBorder="1"/>
    <xf numFmtId="44" fontId="14" fillId="0" borderId="30" xfId="1" applyFont="1" applyBorder="1"/>
    <xf numFmtId="0" fontId="14" fillId="0" borderId="14" xfId="0" applyFont="1" applyBorder="1"/>
    <xf numFmtId="0" fontId="14" fillId="0" borderId="32" xfId="0" applyFont="1" applyBorder="1"/>
    <xf numFmtId="44" fontId="14" fillId="0" borderId="15" xfId="1" applyFont="1" applyBorder="1"/>
    <xf numFmtId="44" fontId="14" fillId="0" borderId="13" xfId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100"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rgb="FF99FF66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rgb="FFFF9933"/>
        </patternFill>
      </fill>
    </dxf>
    <dxf>
      <font>
        <color theme="0"/>
      </font>
      <fill>
        <patternFill patternType="solid">
          <bgColor rgb="FF66FF66"/>
        </patternFill>
      </fill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FF66"/>
      <color rgb="FFFF5050"/>
      <color rgb="FF66FF66"/>
      <color rgb="FF33CC33"/>
      <color rgb="FFFF993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Sales!$C$8:$C$12</c:f>
              <c:strCache>
                <c:ptCount val="5"/>
                <c:pt idx="0">
                  <c:v>Total Sales Week 1</c:v>
                </c:pt>
                <c:pt idx="1">
                  <c:v>Total Sales Week 2</c:v>
                </c:pt>
                <c:pt idx="2">
                  <c:v>Total Sales Week 3</c:v>
                </c:pt>
                <c:pt idx="3">
                  <c:v>Total Sales Week 4</c:v>
                </c:pt>
                <c:pt idx="4">
                  <c:v>Total Sales Week 5</c:v>
                </c:pt>
              </c:strCache>
            </c:strRef>
          </c:cat>
          <c:val>
            <c:numRef>
              <c:f>Sales!$D$8:$D$12</c:f>
              <c:numCache>
                <c:formatCode>_("R$"* #,##0.00_);_("R$"* \(#,##0.00\);_("R$"* "-"??_);_(@_)</c:formatCode>
                <c:ptCount val="5"/>
                <c:pt idx="0">
                  <c:v>669.0250000000002</c:v>
                </c:pt>
                <c:pt idx="1">
                  <c:v>41.7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1-4133-9CFB-25B5AB320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98026992"/>
        <c:axId val="1198027952"/>
      </c:barChart>
      <c:catAx>
        <c:axId val="119802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027952"/>
        <c:crosses val="autoZero"/>
        <c:auto val="1"/>
        <c:lblAlgn val="ctr"/>
        <c:lblOffset val="100"/>
        <c:noMultiLvlLbl val="0"/>
      </c:catAx>
      <c:valAx>
        <c:axId val="119802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02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Sales!$C$28:$C$29</c:f>
              <c:strCache>
                <c:ptCount val="2"/>
                <c:pt idx="0">
                  <c:v>Sales per Delivery (R$)</c:v>
                </c:pt>
                <c:pt idx="1">
                  <c:v>Delivery Revenue (R$)</c:v>
                </c:pt>
              </c:strCache>
            </c:strRef>
          </c:cat>
          <c:val>
            <c:numRef>
              <c:f>Sales!$D$28:$D$29</c:f>
              <c:numCache>
                <c:formatCode>_("R$"* #,##0.00_);_("R$"* \(#,##0.00\);_("R$"* "-"??_);_(@_)</c:formatCode>
                <c:ptCount val="2"/>
                <c:pt idx="0">
                  <c:v>410.73500000000007</c:v>
                </c:pt>
                <c:pt idx="1">
                  <c:v>71.5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37-4ED0-9494-BE9E33AC7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39091440"/>
        <c:axId val="1439094320"/>
      </c:barChart>
      <c:catAx>
        <c:axId val="1439091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094320"/>
        <c:crosses val="autoZero"/>
        <c:auto val="1"/>
        <c:lblAlgn val="ctr"/>
        <c:lblOffset val="100"/>
        <c:noMultiLvlLbl val="0"/>
      </c:catAx>
      <c:valAx>
        <c:axId val="143909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09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FB-4262-B7AD-24BAC7E37F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FB-4262-B7AD-24BAC7E37F4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FB-4262-B7AD-24BAC7E37F4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FB-4262-B7AD-24BAC7E37F4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15FB-4262-B7AD-24BAC7E37F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Sales!$C$45:$C$49</c:f>
              <c:strCache>
                <c:ptCount val="5"/>
                <c:pt idx="0">
                  <c:v>Store</c:v>
                </c:pt>
                <c:pt idx="1">
                  <c:v>City Center</c:v>
                </c:pt>
                <c:pt idx="2">
                  <c:v>North Zone</c:v>
                </c:pt>
                <c:pt idx="3">
                  <c:v>West Zone</c:v>
                </c:pt>
                <c:pt idx="4">
                  <c:v>South Zone</c:v>
                </c:pt>
              </c:strCache>
            </c:strRef>
          </c:cat>
          <c:val>
            <c:numRef>
              <c:f>Sales!$D$45:$D$49</c:f>
              <c:numCache>
                <c:formatCode>General</c:formatCode>
                <c:ptCount val="5"/>
                <c:pt idx="0">
                  <c:v>7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1-4BFB-88F3-DD0BBED67CE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Goods Control'!A1"/><Relationship Id="rId7" Type="http://schemas.openxmlformats.org/officeDocument/2006/relationships/hyperlink" Target="#Sales!A1"/><Relationship Id="rId2" Type="http://schemas.openxmlformats.org/officeDocument/2006/relationships/hyperlink" Target="#Expenses!A1"/><Relationship Id="rId1" Type="http://schemas.openxmlformats.org/officeDocument/2006/relationships/image" Target="../media/image1.jpeg"/><Relationship Id="rId6" Type="http://schemas.openxmlformats.org/officeDocument/2006/relationships/hyperlink" Target="#Results!A1"/><Relationship Id="rId5" Type="http://schemas.openxmlformats.org/officeDocument/2006/relationships/hyperlink" Target="#'Inventory control'!A1"/><Relationship Id="rId4" Type="http://schemas.openxmlformats.org/officeDocument/2006/relationships/hyperlink" Target="#Investment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sults!A1"/><Relationship Id="rId2" Type="http://schemas.openxmlformats.org/officeDocument/2006/relationships/hyperlink" Target="#'Goods Control'!A1"/><Relationship Id="rId1" Type="http://schemas.openxmlformats.org/officeDocument/2006/relationships/hyperlink" Target="#Menu!A1"/><Relationship Id="rId4" Type="http://schemas.openxmlformats.org/officeDocument/2006/relationships/hyperlink" Target="#Investment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Inventory control'!A1"/><Relationship Id="rId2" Type="http://schemas.openxmlformats.org/officeDocument/2006/relationships/hyperlink" Target="#Expenses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Results!A1"/><Relationship Id="rId2" Type="http://schemas.openxmlformats.org/officeDocument/2006/relationships/hyperlink" Target="#Expense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Goods Control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Expenses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Week 2'!A1"/><Relationship Id="rId3" Type="http://schemas.openxmlformats.org/officeDocument/2006/relationships/chart" Target="../charts/chart3.xml"/><Relationship Id="rId7" Type="http://schemas.openxmlformats.org/officeDocument/2006/relationships/hyperlink" Target="#'Week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Sales!B57"/><Relationship Id="rId11" Type="http://schemas.openxmlformats.org/officeDocument/2006/relationships/hyperlink" Target="#'Week 5'!A1"/><Relationship Id="rId5" Type="http://schemas.openxmlformats.org/officeDocument/2006/relationships/hyperlink" Target="#Results!A1"/><Relationship Id="rId10" Type="http://schemas.openxmlformats.org/officeDocument/2006/relationships/hyperlink" Target="#'Week 4'!A1"/><Relationship Id="rId4" Type="http://schemas.openxmlformats.org/officeDocument/2006/relationships/hyperlink" Target="#Menu!A1"/><Relationship Id="rId9" Type="http://schemas.openxmlformats.org/officeDocument/2006/relationships/hyperlink" Target="#'Week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1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Week 1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2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Week 2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3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Week 3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4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Week 4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5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Week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452368</xdr:colOff>
      <xdr:row>30</xdr:row>
      <xdr:rowOff>9524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97759A2B-BBCB-432A-91A6-A2FB91B779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43" b="14576"/>
        <a:stretch/>
      </xdr:blipFill>
      <xdr:spPr>
        <a:xfrm>
          <a:off x="0" y="0"/>
          <a:ext cx="12644368" cy="5724524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>
    <xdr:from>
      <xdr:col>0</xdr:col>
      <xdr:colOff>600075</xdr:colOff>
      <xdr:row>19</xdr:row>
      <xdr:rowOff>0</xdr:rowOff>
    </xdr:from>
    <xdr:to>
      <xdr:col>3</xdr:col>
      <xdr:colOff>523875</xdr:colOff>
      <xdr:row>21</xdr:row>
      <xdr:rowOff>104775</xdr:rowOff>
    </xdr:to>
    <xdr:sp macro="" textlink="">
      <xdr:nvSpPr>
        <xdr:cNvPr id="2" name="Retâ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7A86EE6-DB10-717B-2C46-EDEAC71F69E0}"/>
            </a:ext>
          </a:extLst>
        </xdr:cNvPr>
        <xdr:cNvSpPr/>
      </xdr:nvSpPr>
      <xdr:spPr>
        <a:xfrm>
          <a:off x="600075" y="3619500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Expenses</a:t>
          </a:r>
        </a:p>
      </xdr:txBody>
    </xdr:sp>
    <xdr:clientData/>
  </xdr:twoCellAnchor>
  <xdr:twoCellAnchor>
    <xdr:from>
      <xdr:col>4</xdr:col>
      <xdr:colOff>19050</xdr:colOff>
      <xdr:row>19</xdr:row>
      <xdr:rowOff>0</xdr:rowOff>
    </xdr:from>
    <xdr:to>
      <xdr:col>6</xdr:col>
      <xdr:colOff>552450</xdr:colOff>
      <xdr:row>21</xdr:row>
      <xdr:rowOff>104775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986ABC-A628-4E18-8A4C-67042026A772}"/>
            </a:ext>
          </a:extLst>
        </xdr:cNvPr>
        <xdr:cNvSpPr/>
      </xdr:nvSpPr>
      <xdr:spPr>
        <a:xfrm>
          <a:off x="2457450" y="3619500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Goods Control</a:t>
          </a:r>
        </a:p>
      </xdr:txBody>
    </xdr:sp>
    <xdr:clientData/>
  </xdr:twoCellAnchor>
  <xdr:twoCellAnchor>
    <xdr:from>
      <xdr:col>7</xdr:col>
      <xdr:colOff>104776</xdr:colOff>
      <xdr:row>19</xdr:row>
      <xdr:rowOff>6062</xdr:rowOff>
    </xdr:from>
    <xdr:to>
      <xdr:col>10</xdr:col>
      <xdr:colOff>28576</xdr:colOff>
      <xdr:row>21</xdr:row>
      <xdr:rowOff>110837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00EC267-C8CA-40B1-ADCB-792B91FDADC9}"/>
            </a:ext>
          </a:extLst>
        </xdr:cNvPr>
        <xdr:cNvSpPr/>
      </xdr:nvSpPr>
      <xdr:spPr>
        <a:xfrm>
          <a:off x="4371976" y="3625562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Investments</a:t>
          </a:r>
        </a:p>
      </xdr:txBody>
    </xdr:sp>
    <xdr:clientData/>
  </xdr:twoCellAnchor>
  <xdr:twoCellAnchor>
    <xdr:from>
      <xdr:col>10</xdr:col>
      <xdr:colOff>129887</xdr:colOff>
      <xdr:row>19</xdr:row>
      <xdr:rowOff>9525</xdr:rowOff>
    </xdr:from>
    <xdr:to>
      <xdr:col>13</xdr:col>
      <xdr:colOff>53687</xdr:colOff>
      <xdr:row>21</xdr:row>
      <xdr:rowOff>114300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8365E5D-8BE1-46B3-9644-83C120A60184}"/>
            </a:ext>
          </a:extLst>
        </xdr:cNvPr>
        <xdr:cNvSpPr/>
      </xdr:nvSpPr>
      <xdr:spPr>
        <a:xfrm>
          <a:off x="6225887" y="3629025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Inventory Control</a:t>
          </a:r>
        </a:p>
      </xdr:txBody>
    </xdr:sp>
    <xdr:clientData/>
  </xdr:twoCellAnchor>
  <xdr:twoCellAnchor>
    <xdr:from>
      <xdr:col>13</xdr:col>
      <xdr:colOff>169719</xdr:colOff>
      <xdr:row>19</xdr:row>
      <xdr:rowOff>6061</xdr:rowOff>
    </xdr:from>
    <xdr:to>
      <xdr:col>16</xdr:col>
      <xdr:colOff>93519</xdr:colOff>
      <xdr:row>21</xdr:row>
      <xdr:rowOff>110836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D8377CF-4495-4B28-B102-03A2862793A6}"/>
            </a:ext>
          </a:extLst>
        </xdr:cNvPr>
        <xdr:cNvSpPr/>
      </xdr:nvSpPr>
      <xdr:spPr>
        <a:xfrm>
          <a:off x="8094519" y="3625561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Results</a:t>
          </a:r>
        </a:p>
      </xdr:txBody>
    </xdr:sp>
    <xdr:clientData/>
  </xdr:twoCellAnchor>
  <xdr:twoCellAnchor>
    <xdr:from>
      <xdr:col>16</xdr:col>
      <xdr:colOff>226869</xdr:colOff>
      <xdr:row>19</xdr:row>
      <xdr:rowOff>0</xdr:rowOff>
    </xdr:from>
    <xdr:to>
      <xdr:col>19</xdr:col>
      <xdr:colOff>154133</xdr:colOff>
      <xdr:row>21</xdr:row>
      <xdr:rowOff>104775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1825F1B-A854-4752-B6D6-F513BECCC32C}"/>
            </a:ext>
          </a:extLst>
        </xdr:cNvPr>
        <xdr:cNvSpPr/>
      </xdr:nvSpPr>
      <xdr:spPr>
        <a:xfrm>
          <a:off x="9980469" y="3619500"/>
          <a:ext cx="1756064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Sales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857250</xdr:colOff>
      <xdr:row>1</xdr:row>
      <xdr:rowOff>38100</xdr:rowOff>
    </xdr:from>
    <xdr:to>
      <xdr:col>4</xdr:col>
      <xdr:colOff>828675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39D8C6-D5F4-465A-E66E-F7ED7E5669DF}"/>
            </a:ext>
          </a:extLst>
        </xdr:cNvPr>
        <xdr:cNvSpPr/>
      </xdr:nvSpPr>
      <xdr:spPr>
        <a:xfrm>
          <a:off x="666750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904875</xdr:colOff>
      <xdr:row>1</xdr:row>
      <xdr:rowOff>38100</xdr:rowOff>
    </xdr:from>
    <xdr:to>
      <xdr:col>5</xdr:col>
      <xdr:colOff>542925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43352A4-52E4-4E05-9C04-851D41933B7E}"/>
            </a:ext>
          </a:extLst>
        </xdr:cNvPr>
        <xdr:cNvSpPr/>
      </xdr:nvSpPr>
      <xdr:spPr>
        <a:xfrm>
          <a:off x="7896225" y="228600"/>
          <a:ext cx="1466850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Goods</a:t>
          </a:r>
          <a:r>
            <a:rPr lang="pt-BR" sz="1100" baseline="0"/>
            <a:t> Control</a:t>
          </a:r>
          <a:endParaRPr lang="pt-BR" sz="1100"/>
        </a:p>
      </xdr:txBody>
    </xdr:sp>
    <xdr:clientData/>
  </xdr:twoCellAnchor>
  <xdr:twoCellAnchor>
    <xdr:from>
      <xdr:col>5</xdr:col>
      <xdr:colOff>609600</xdr:colOff>
      <xdr:row>1</xdr:row>
      <xdr:rowOff>38100</xdr:rowOff>
    </xdr:from>
    <xdr:to>
      <xdr:col>6</xdr:col>
      <xdr:colOff>390525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8EE378-E24D-4B64-BB9F-DF2BB9E590F4}"/>
            </a:ext>
          </a:extLst>
        </xdr:cNvPr>
        <xdr:cNvSpPr/>
      </xdr:nvSpPr>
      <xdr:spPr>
        <a:xfrm>
          <a:off x="942975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Results</a:t>
          </a:r>
        </a:p>
      </xdr:txBody>
    </xdr:sp>
    <xdr:clientData/>
  </xdr:twoCellAnchor>
  <xdr:twoCellAnchor>
    <xdr:from>
      <xdr:col>6</xdr:col>
      <xdr:colOff>476250</xdr:colOff>
      <xdr:row>1</xdr:row>
      <xdr:rowOff>38100</xdr:rowOff>
    </xdr:from>
    <xdr:to>
      <xdr:col>8</xdr:col>
      <xdr:colOff>28575</xdr:colOff>
      <xdr:row>1</xdr:row>
      <xdr:rowOff>314325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2E0BCD-F21E-425C-8972-FE804BF9D306}"/>
            </a:ext>
          </a:extLst>
        </xdr:cNvPr>
        <xdr:cNvSpPr/>
      </xdr:nvSpPr>
      <xdr:spPr>
        <a:xfrm>
          <a:off x="10668000" y="228600"/>
          <a:ext cx="1466850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Investments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1</xdr:row>
      <xdr:rowOff>38100</xdr:rowOff>
    </xdr:from>
    <xdr:to>
      <xdr:col>7</xdr:col>
      <xdr:colOff>457200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71E23A-ACE4-4BA8-9612-1ACCACBF1994}"/>
            </a:ext>
          </a:extLst>
        </xdr:cNvPr>
        <xdr:cNvSpPr/>
      </xdr:nvSpPr>
      <xdr:spPr>
        <a:xfrm>
          <a:off x="811530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542925</xdr:colOff>
      <xdr:row>1</xdr:row>
      <xdr:rowOff>38100</xdr:rowOff>
    </xdr:from>
    <xdr:to>
      <xdr:col>8</xdr:col>
      <xdr:colOff>923925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41EF729-BAB5-4B78-91E1-ED61CB2F787A}"/>
            </a:ext>
          </a:extLst>
        </xdr:cNvPr>
        <xdr:cNvSpPr/>
      </xdr:nvSpPr>
      <xdr:spPr>
        <a:xfrm>
          <a:off x="9353550" y="22860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Expenses</a:t>
          </a:r>
        </a:p>
      </xdr:txBody>
    </xdr:sp>
    <xdr:clientData/>
  </xdr:twoCellAnchor>
  <xdr:twoCellAnchor>
    <xdr:from>
      <xdr:col>8</xdr:col>
      <xdr:colOff>1009650</xdr:colOff>
      <xdr:row>1</xdr:row>
      <xdr:rowOff>38100</xdr:rowOff>
    </xdr:from>
    <xdr:to>
      <xdr:col>11</xdr:col>
      <xdr:colOff>85725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6F65F51-94D6-47B9-83E4-5F938967324F}"/>
            </a:ext>
          </a:extLst>
        </xdr:cNvPr>
        <xdr:cNvSpPr/>
      </xdr:nvSpPr>
      <xdr:spPr>
        <a:xfrm>
          <a:off x="10591800" y="228600"/>
          <a:ext cx="161925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Inventory Control</a:t>
          </a:r>
        </a:p>
      </xdr:txBody>
    </xdr:sp>
    <xdr:clientData/>
  </xdr:twoCellAnchor>
  <xdr:twoCellAnchor>
    <xdr:from>
      <xdr:col>9</xdr:col>
      <xdr:colOff>142876</xdr:colOff>
      <xdr:row>2</xdr:row>
      <xdr:rowOff>352424</xdr:rowOff>
    </xdr:from>
    <xdr:to>
      <xdr:col>11</xdr:col>
      <xdr:colOff>76200</xdr:colOff>
      <xdr:row>4</xdr:row>
      <xdr:rowOff>104774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A412F608-6F27-1470-8AAA-1F8A9ECEBD71}"/>
            </a:ext>
          </a:extLst>
        </xdr:cNvPr>
        <xdr:cNvSpPr/>
      </xdr:nvSpPr>
      <xdr:spPr>
        <a:xfrm>
          <a:off x="11049001" y="895349"/>
          <a:ext cx="1152524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Insert Purchase</a:t>
          </a:r>
        </a:p>
      </xdr:txBody>
    </xdr:sp>
    <xdr:clientData/>
  </xdr:twoCellAnchor>
  <xdr:twoCellAnchor>
    <xdr:from>
      <xdr:col>9</xdr:col>
      <xdr:colOff>171450</xdr:colOff>
      <xdr:row>5</xdr:row>
      <xdr:rowOff>38100</xdr:rowOff>
    </xdr:from>
    <xdr:to>
      <xdr:col>11</xdr:col>
      <xdr:colOff>104774</xdr:colOff>
      <xdr:row>6</xdr:row>
      <xdr:rowOff>161925</xdr:rowOff>
    </xdr:to>
    <xdr:sp macro="[0]!Apagar_Compra" textlink="">
      <xdr:nvSpPr>
        <xdr:cNvPr id="6" name="Retângulo 5">
          <a:extLst>
            <a:ext uri="{FF2B5EF4-FFF2-40B4-BE49-F238E27FC236}">
              <a16:creationId xmlns:a16="http://schemas.microsoft.com/office/drawing/2014/main" id="{A44BAC72-55A6-489F-867B-AACB918DBF9C}"/>
            </a:ext>
          </a:extLst>
        </xdr:cNvPr>
        <xdr:cNvSpPr/>
      </xdr:nvSpPr>
      <xdr:spPr>
        <a:xfrm>
          <a:off x="11077575" y="1333500"/>
          <a:ext cx="1152524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Delete Purchase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3238500</xdr:colOff>
      <xdr:row>1</xdr:row>
      <xdr:rowOff>28575</xdr:rowOff>
    </xdr:from>
    <xdr:to>
      <xdr:col>4</xdr:col>
      <xdr:colOff>647700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9042A7-90D1-4987-853E-53F8C559528E}"/>
            </a:ext>
          </a:extLst>
        </xdr:cNvPr>
        <xdr:cNvSpPr/>
      </xdr:nvSpPr>
      <xdr:spPr>
        <a:xfrm>
          <a:off x="8639175" y="219075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742950</xdr:colOff>
      <xdr:row>1</xdr:row>
      <xdr:rowOff>28575</xdr:rowOff>
    </xdr:from>
    <xdr:to>
      <xdr:col>5</xdr:col>
      <xdr:colOff>247650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F3C489-4B19-45C4-835A-51B12BAEE2ED}"/>
            </a:ext>
          </a:extLst>
        </xdr:cNvPr>
        <xdr:cNvSpPr/>
      </xdr:nvSpPr>
      <xdr:spPr>
        <a:xfrm>
          <a:off x="988695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Expenses</a:t>
          </a:r>
        </a:p>
      </xdr:txBody>
    </xdr:sp>
    <xdr:clientData/>
  </xdr:twoCellAnchor>
  <xdr:twoCellAnchor>
    <xdr:from>
      <xdr:col>5</xdr:col>
      <xdr:colOff>333375</xdr:colOff>
      <xdr:row>1</xdr:row>
      <xdr:rowOff>28575</xdr:rowOff>
    </xdr:from>
    <xdr:to>
      <xdr:col>7</xdr:col>
      <xdr:colOff>266700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4D07F9-894F-439D-9A7B-5AE5464E9AFB}"/>
            </a:ext>
          </a:extLst>
        </xdr:cNvPr>
        <xdr:cNvSpPr/>
      </xdr:nvSpPr>
      <xdr:spPr>
        <a:xfrm>
          <a:off x="11125200" y="219075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1028700</xdr:colOff>
      <xdr:row>1</xdr:row>
      <xdr:rowOff>28575</xdr:rowOff>
    </xdr:from>
    <xdr:to>
      <xdr:col>6</xdr:col>
      <xdr:colOff>752475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0FA8C8-7866-4B0B-A5D6-6C3501F91368}"/>
            </a:ext>
          </a:extLst>
        </xdr:cNvPr>
        <xdr:cNvSpPr/>
      </xdr:nvSpPr>
      <xdr:spPr>
        <a:xfrm>
          <a:off x="807720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6</xdr:col>
      <xdr:colOff>838200</xdr:colOff>
      <xdr:row>1</xdr:row>
      <xdr:rowOff>28575</xdr:rowOff>
    </xdr:from>
    <xdr:to>
      <xdr:col>7</xdr:col>
      <xdr:colOff>742950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09E76-7141-4E75-A489-A4C05A6F8E86}"/>
            </a:ext>
          </a:extLst>
        </xdr:cNvPr>
        <xdr:cNvSpPr/>
      </xdr:nvSpPr>
      <xdr:spPr>
        <a:xfrm>
          <a:off x="931545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7</xdr:col>
      <xdr:colOff>828675</xdr:colOff>
      <xdr:row>1</xdr:row>
      <xdr:rowOff>28575</xdr:rowOff>
    </xdr:from>
    <xdr:to>
      <xdr:col>10</xdr:col>
      <xdr:colOff>190500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799234F-F3E8-44D6-91DC-CE02E2F07ACF}"/>
            </a:ext>
          </a:extLst>
        </xdr:cNvPr>
        <xdr:cNvSpPr/>
      </xdr:nvSpPr>
      <xdr:spPr>
        <a:xfrm>
          <a:off x="10553700" y="219075"/>
          <a:ext cx="161925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Goods Control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</xdr:row>
      <xdr:rowOff>28575</xdr:rowOff>
    </xdr:from>
    <xdr:to>
      <xdr:col>10</xdr:col>
      <xdr:colOff>114300</xdr:colOff>
      <xdr:row>2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2EE67A-E7CB-4764-B215-E68E2449FDAB}"/>
            </a:ext>
          </a:extLst>
        </xdr:cNvPr>
        <xdr:cNvSpPr/>
      </xdr:nvSpPr>
      <xdr:spPr>
        <a:xfrm>
          <a:off x="8229600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200025</xdr:colOff>
      <xdr:row>2</xdr:row>
      <xdr:rowOff>28575</xdr:rowOff>
    </xdr:from>
    <xdr:to>
      <xdr:col>12</xdr:col>
      <xdr:colOff>133350</xdr:colOff>
      <xdr:row>2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619778-F7B3-4C6B-98D9-CB50DBFCC34F}"/>
            </a:ext>
          </a:extLst>
        </xdr:cNvPr>
        <xdr:cNvSpPr/>
      </xdr:nvSpPr>
      <xdr:spPr>
        <a:xfrm>
          <a:off x="9467850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228600</xdr:colOff>
      <xdr:row>2</xdr:row>
      <xdr:rowOff>28575</xdr:rowOff>
    </xdr:from>
    <xdr:to>
      <xdr:col>14</xdr:col>
      <xdr:colOff>161925</xdr:colOff>
      <xdr:row>2</xdr:row>
      <xdr:rowOff>304800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41CE5ED-B282-40E9-89A6-D467ED10C650}"/>
            </a:ext>
          </a:extLst>
        </xdr:cNvPr>
        <xdr:cNvSpPr/>
      </xdr:nvSpPr>
      <xdr:spPr>
        <a:xfrm>
          <a:off x="10715625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Expenses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5</xdr:row>
      <xdr:rowOff>176211</xdr:rowOff>
    </xdr:from>
    <xdr:to>
      <xdr:col>10</xdr:col>
      <xdr:colOff>847725</xdr:colOff>
      <xdr:row>20</xdr:row>
      <xdr:rowOff>77560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2FC48F2-AEC7-4130-3C83-961C85E93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152400</xdr:colOff>
      <xdr:row>23</xdr:row>
      <xdr:rowOff>133415</xdr:rowOff>
    </xdr:from>
    <xdr:to>
      <xdr:col>10</xdr:col>
      <xdr:colOff>609600</xdr:colOff>
      <xdr:row>35</xdr:row>
      <xdr:rowOff>71436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47F0879-3BB2-BA04-3542-4F4C5BEEB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39</xdr:row>
      <xdr:rowOff>52386</xdr:rowOff>
    </xdr:from>
    <xdr:to>
      <xdr:col>9</xdr:col>
      <xdr:colOff>1096963</xdr:colOff>
      <xdr:row>51</xdr:row>
      <xdr:rowOff>76199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59F3E9F-3F31-AE5D-093F-EEB83044E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17</xdr:row>
      <xdr:rowOff>142875</xdr:rowOff>
    </xdr:from>
    <xdr:to>
      <xdr:col>5</xdr:col>
      <xdr:colOff>542925</xdr:colOff>
      <xdr:row>19</xdr:row>
      <xdr:rowOff>38100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340E3F8-71A0-4024-B03F-49052E870010}"/>
            </a:ext>
          </a:extLst>
        </xdr:cNvPr>
        <xdr:cNvSpPr/>
      </xdr:nvSpPr>
      <xdr:spPr>
        <a:xfrm>
          <a:off x="5676900" y="41052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266700</xdr:colOff>
      <xdr:row>1</xdr:row>
      <xdr:rowOff>28575</xdr:rowOff>
    </xdr:from>
    <xdr:to>
      <xdr:col>8</xdr:col>
      <xdr:colOff>304800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4CBEFA-E526-4C98-8361-51150885A6BF}"/>
            </a:ext>
          </a:extLst>
        </xdr:cNvPr>
        <xdr:cNvSpPr/>
      </xdr:nvSpPr>
      <xdr:spPr>
        <a:xfrm>
          <a:off x="8277225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8</xdr:col>
      <xdr:colOff>409575</xdr:colOff>
      <xdr:row>1</xdr:row>
      <xdr:rowOff>28575</xdr:rowOff>
    </xdr:from>
    <xdr:to>
      <xdr:col>9</xdr:col>
      <xdr:colOff>447675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94E184B-3308-42AC-A083-89D186CC4057}"/>
            </a:ext>
          </a:extLst>
        </xdr:cNvPr>
        <xdr:cNvSpPr/>
      </xdr:nvSpPr>
      <xdr:spPr>
        <a:xfrm>
          <a:off x="9534525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Results</a:t>
          </a:r>
        </a:p>
      </xdr:txBody>
    </xdr:sp>
    <xdr:clientData/>
  </xdr:twoCellAnchor>
  <xdr:twoCellAnchor>
    <xdr:from>
      <xdr:col>9</xdr:col>
      <xdr:colOff>542925</xdr:colOff>
      <xdr:row>1</xdr:row>
      <xdr:rowOff>28575</xdr:rowOff>
    </xdr:from>
    <xdr:to>
      <xdr:col>10</xdr:col>
      <xdr:colOff>581025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EAF23BD-F09E-45B0-9EA2-775B5FEEA00A}"/>
            </a:ext>
          </a:extLst>
        </xdr:cNvPr>
        <xdr:cNvSpPr/>
      </xdr:nvSpPr>
      <xdr:spPr>
        <a:xfrm>
          <a:off x="1078230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Go to Weeks</a:t>
          </a:r>
        </a:p>
      </xdr:txBody>
    </xdr:sp>
    <xdr:clientData/>
  </xdr:twoCellAnchor>
  <xdr:twoCellAnchor>
    <xdr:from>
      <xdr:col>2</xdr:col>
      <xdr:colOff>1304925</xdr:colOff>
      <xdr:row>53</xdr:row>
      <xdr:rowOff>171450</xdr:rowOff>
    </xdr:from>
    <xdr:to>
      <xdr:col>2</xdr:col>
      <xdr:colOff>2457450</xdr:colOff>
      <xdr:row>55</xdr:row>
      <xdr:rowOff>66675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DDF2DD1-E1A8-43A2-85D5-180EBAA8700F}"/>
            </a:ext>
          </a:extLst>
        </xdr:cNvPr>
        <xdr:cNvSpPr/>
      </xdr:nvSpPr>
      <xdr:spPr>
        <a:xfrm>
          <a:off x="339090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1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2</xdr:col>
      <xdr:colOff>2581275</xdr:colOff>
      <xdr:row>53</xdr:row>
      <xdr:rowOff>171450</xdr:rowOff>
    </xdr:from>
    <xdr:to>
      <xdr:col>4</xdr:col>
      <xdr:colOff>142875</xdr:colOff>
      <xdr:row>55</xdr:row>
      <xdr:rowOff>66675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2351244-52E3-4449-A7CF-CC7899B00F15}"/>
            </a:ext>
          </a:extLst>
        </xdr:cNvPr>
        <xdr:cNvSpPr/>
      </xdr:nvSpPr>
      <xdr:spPr>
        <a:xfrm>
          <a:off x="466725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accent6"/>
              </a:solidFill>
            </a:rPr>
            <a:t> Week 2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4</xdr:col>
      <xdr:colOff>257175</xdr:colOff>
      <xdr:row>53</xdr:row>
      <xdr:rowOff>171450</xdr:rowOff>
    </xdr:from>
    <xdr:to>
      <xdr:col>6</xdr:col>
      <xdr:colOff>190500</xdr:colOff>
      <xdr:row>55</xdr:row>
      <xdr:rowOff>66675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E7C96A5-2B3C-404E-8B4C-E8355CD8855B}"/>
            </a:ext>
          </a:extLst>
        </xdr:cNvPr>
        <xdr:cNvSpPr/>
      </xdr:nvSpPr>
      <xdr:spPr>
        <a:xfrm>
          <a:off x="5934075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accent6"/>
              </a:solidFill>
            </a:rPr>
            <a:t>Week 3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6</xdr:col>
      <xdr:colOff>314325</xdr:colOff>
      <xdr:row>53</xdr:row>
      <xdr:rowOff>171450</xdr:rowOff>
    </xdr:from>
    <xdr:to>
      <xdr:col>7</xdr:col>
      <xdr:colOff>352425</xdr:colOff>
      <xdr:row>55</xdr:row>
      <xdr:rowOff>66675</xdr:rowOff>
    </xdr:to>
    <xdr:sp macro="" textlink="">
      <xdr:nvSpPr>
        <xdr:cNvPr id="12" name="Retângulo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63AA3AD-2B51-40E2-9CFA-A069F3F637B3}"/>
            </a:ext>
          </a:extLst>
        </xdr:cNvPr>
        <xdr:cNvSpPr/>
      </xdr:nvSpPr>
      <xdr:spPr>
        <a:xfrm>
          <a:off x="7210425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4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7</xdr:col>
      <xdr:colOff>466725</xdr:colOff>
      <xdr:row>53</xdr:row>
      <xdr:rowOff>171450</xdr:rowOff>
    </xdr:from>
    <xdr:to>
      <xdr:col>8</xdr:col>
      <xdr:colOff>504825</xdr:colOff>
      <xdr:row>55</xdr:row>
      <xdr:rowOff>66675</xdr:rowOff>
    </xdr:to>
    <xdr:sp macro="" textlink="">
      <xdr:nvSpPr>
        <xdr:cNvPr id="13" name="Retângulo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DBE1DAF-9990-4298-A922-583A7467DE76}"/>
            </a:ext>
          </a:extLst>
        </xdr:cNvPr>
        <xdr:cNvSpPr/>
      </xdr:nvSpPr>
      <xdr:spPr>
        <a:xfrm>
          <a:off x="847725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5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630767</xdr:colOff>
      <xdr:row>1</xdr:row>
      <xdr:rowOff>41275</xdr:rowOff>
    </xdr:from>
    <xdr:to>
      <xdr:col>10</xdr:col>
      <xdr:colOff>927101</xdr:colOff>
      <xdr:row>1</xdr:row>
      <xdr:rowOff>317500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22BC21-2A78-4B5F-9C1D-ECC4884552CE}"/>
            </a:ext>
          </a:extLst>
        </xdr:cNvPr>
        <xdr:cNvSpPr/>
      </xdr:nvSpPr>
      <xdr:spPr>
        <a:xfrm>
          <a:off x="9721850" y="23177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1012826</xdr:colOff>
      <xdr:row>1</xdr:row>
      <xdr:rowOff>38100</xdr:rowOff>
    </xdr:from>
    <xdr:to>
      <xdr:col>12</xdr:col>
      <xdr:colOff>38101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8ECA17-123A-4D35-A143-DDB71B61B726}"/>
            </a:ext>
          </a:extLst>
        </xdr:cNvPr>
        <xdr:cNvSpPr/>
      </xdr:nvSpPr>
      <xdr:spPr>
        <a:xfrm>
          <a:off x="10961159" y="22860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0</xdr:col>
      <xdr:colOff>76200</xdr:colOff>
      <xdr:row>2</xdr:row>
      <xdr:rowOff>361950</xdr:rowOff>
    </xdr:from>
    <xdr:to>
      <xdr:col>0</xdr:col>
      <xdr:colOff>1257300</xdr:colOff>
      <xdr:row>5</xdr:row>
      <xdr:rowOff>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931D19D2-868C-8FEF-4683-24170F980559}"/>
            </a:ext>
          </a:extLst>
        </xdr:cNvPr>
        <xdr:cNvSpPr/>
      </xdr:nvSpPr>
      <xdr:spPr>
        <a:xfrm>
          <a:off x="76200" y="9048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 Record</a:t>
          </a:r>
        </a:p>
      </xdr:txBody>
    </xdr:sp>
    <xdr:clientData/>
  </xdr:twoCellAnchor>
  <xdr:twoCellAnchor>
    <xdr:from>
      <xdr:col>0</xdr:col>
      <xdr:colOff>76200</xdr:colOff>
      <xdr:row>5</xdr:row>
      <xdr:rowOff>76200</xdr:rowOff>
    </xdr:from>
    <xdr:to>
      <xdr:col>0</xdr:col>
      <xdr:colOff>1257300</xdr:colOff>
      <xdr:row>7</xdr:row>
      <xdr:rowOff>85725</xdr:rowOff>
    </xdr:to>
    <xdr:sp macro="[0]!Nova_Venda" textlink="">
      <xdr:nvSpPr>
        <xdr:cNvPr id="5" name="Retângulo 4">
          <a:extLst>
            <a:ext uri="{FF2B5EF4-FFF2-40B4-BE49-F238E27FC236}">
              <a16:creationId xmlns:a16="http://schemas.microsoft.com/office/drawing/2014/main" id="{C3DDD01E-D935-4C21-B83B-9CB8C2F2C339}"/>
            </a:ext>
          </a:extLst>
        </xdr:cNvPr>
        <xdr:cNvSpPr/>
      </xdr:nvSpPr>
      <xdr:spPr>
        <a:xfrm>
          <a:off x="76200" y="13716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76200</xdr:colOff>
      <xdr:row>7</xdr:row>
      <xdr:rowOff>152400</xdr:rowOff>
    </xdr:from>
    <xdr:to>
      <xdr:col>0</xdr:col>
      <xdr:colOff>1257300</xdr:colOff>
      <xdr:row>9</xdr:row>
      <xdr:rowOff>161925</xdr:rowOff>
    </xdr:to>
    <xdr:sp macro="[0]!Novo_Produto" textlink="">
      <xdr:nvSpPr>
        <xdr:cNvPr id="6" name="Retângulo 5">
          <a:extLst>
            <a:ext uri="{FF2B5EF4-FFF2-40B4-BE49-F238E27FC236}">
              <a16:creationId xmlns:a16="http://schemas.microsoft.com/office/drawing/2014/main" id="{E824EE12-642A-44E7-8138-E163DBA0CFC2}"/>
            </a:ext>
          </a:extLst>
        </xdr:cNvPr>
        <xdr:cNvSpPr/>
      </xdr:nvSpPr>
      <xdr:spPr>
        <a:xfrm>
          <a:off x="76200" y="1824567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12</xdr:col>
      <xdr:colOff>158751</xdr:colOff>
      <xdr:row>1</xdr:row>
      <xdr:rowOff>42333</xdr:rowOff>
    </xdr:from>
    <xdr:to>
      <xdr:col>12</xdr:col>
      <xdr:colOff>1492251</xdr:colOff>
      <xdr:row>1</xdr:row>
      <xdr:rowOff>318558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FA292E-2CE7-4C94-8FAD-EBD1C0059F85}"/>
            </a:ext>
          </a:extLst>
        </xdr:cNvPr>
        <xdr:cNvSpPr/>
      </xdr:nvSpPr>
      <xdr:spPr>
        <a:xfrm>
          <a:off x="12234334" y="23283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 1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6A5A79-584C-4D58-AF76-13394D7343A1}"/>
            </a:ext>
          </a:extLst>
        </xdr:cNvPr>
        <xdr:cNvSpPr/>
      </xdr:nvSpPr>
      <xdr:spPr>
        <a:xfrm>
          <a:off x="9886950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1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C506A4D6-F938-47B4-823C-6E5DE3ADFD63}"/>
            </a:ext>
          </a:extLst>
        </xdr:cNvPr>
        <xdr:cNvSpPr/>
      </xdr:nvSpPr>
      <xdr:spPr>
        <a:xfrm>
          <a:off x="9906000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0</xdr:rowOff>
    </xdr:from>
    <xdr:to>
      <xdr:col>0</xdr:col>
      <xdr:colOff>1304925</xdr:colOff>
      <xdr:row>5</xdr:row>
      <xdr:rowOff>9525</xdr:rowOff>
    </xdr:to>
    <xdr:sp macro="[0]!Excluir_Registro_Venda" textlink="">
      <xdr:nvSpPr>
        <xdr:cNvPr id="10" name="Retângulo 9">
          <a:extLst>
            <a:ext uri="{FF2B5EF4-FFF2-40B4-BE49-F238E27FC236}">
              <a16:creationId xmlns:a16="http://schemas.microsoft.com/office/drawing/2014/main" id="{8AB2CFE1-8841-4E1E-B102-A4B5F8768E85}"/>
            </a:ext>
          </a:extLst>
        </xdr:cNvPr>
        <xdr:cNvSpPr/>
      </xdr:nvSpPr>
      <xdr:spPr>
        <a:xfrm>
          <a:off x="123825" y="9144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</a:t>
          </a:r>
          <a:r>
            <a:rPr lang="pt-BR" sz="1200" baseline="0">
              <a:solidFill>
                <a:schemeClr val="bg1"/>
              </a:solidFill>
            </a:rPr>
            <a:t> Record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123825</xdr:colOff>
      <xdr:row>5</xdr:row>
      <xdr:rowOff>85725</xdr:rowOff>
    </xdr:from>
    <xdr:to>
      <xdr:col>0</xdr:col>
      <xdr:colOff>1304925</xdr:colOff>
      <xdr:row>7</xdr:row>
      <xdr:rowOff>95250</xdr:rowOff>
    </xdr:to>
    <xdr:sp macro="[0]!Nova_Venda" textlink="">
      <xdr:nvSpPr>
        <xdr:cNvPr id="11" name="Retângulo 10">
          <a:extLst>
            <a:ext uri="{FF2B5EF4-FFF2-40B4-BE49-F238E27FC236}">
              <a16:creationId xmlns:a16="http://schemas.microsoft.com/office/drawing/2014/main" id="{325B4B0B-E3ED-402F-A4A8-DFDD458301F4}"/>
            </a:ext>
          </a:extLst>
        </xdr:cNvPr>
        <xdr:cNvSpPr/>
      </xdr:nvSpPr>
      <xdr:spPr>
        <a:xfrm>
          <a:off x="123825" y="13811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123825</xdr:colOff>
      <xdr:row>7</xdr:row>
      <xdr:rowOff>161925</xdr:rowOff>
    </xdr:from>
    <xdr:to>
      <xdr:col>0</xdr:col>
      <xdr:colOff>1304925</xdr:colOff>
      <xdr:row>9</xdr:row>
      <xdr:rowOff>171450</xdr:rowOff>
    </xdr:to>
    <xdr:sp macro="[0]!Novo_Produto" textlink="">
      <xdr:nvSpPr>
        <xdr:cNvPr id="12" name="Retângulo 11">
          <a:extLst>
            <a:ext uri="{FF2B5EF4-FFF2-40B4-BE49-F238E27FC236}">
              <a16:creationId xmlns:a16="http://schemas.microsoft.com/office/drawing/2014/main" id="{6E208C73-56E6-4F28-ACB1-4397FC7632CC}"/>
            </a:ext>
          </a:extLst>
        </xdr:cNvPr>
        <xdr:cNvSpPr/>
      </xdr:nvSpPr>
      <xdr:spPr>
        <a:xfrm>
          <a:off x="123825" y="18383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9</xdr:col>
      <xdr:colOff>423333</xdr:colOff>
      <xdr:row>1</xdr:row>
      <xdr:rowOff>45509</xdr:rowOff>
    </xdr:from>
    <xdr:to>
      <xdr:col>10</xdr:col>
      <xdr:colOff>762000</xdr:colOff>
      <xdr:row>1</xdr:row>
      <xdr:rowOff>321734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680467-8A7E-4896-99A4-986722BCF3A7}"/>
            </a:ext>
          </a:extLst>
        </xdr:cNvPr>
        <xdr:cNvSpPr/>
      </xdr:nvSpPr>
      <xdr:spPr>
        <a:xfrm>
          <a:off x="9662583" y="236009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847725</xdr:colOff>
      <xdr:row>1</xdr:row>
      <xdr:rowOff>42334</xdr:rowOff>
    </xdr:from>
    <xdr:to>
      <xdr:col>11</xdr:col>
      <xdr:colOff>645584</xdr:colOff>
      <xdr:row>1</xdr:row>
      <xdr:rowOff>318559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5F9475-F419-4A04-8F13-F341C4135106}"/>
            </a:ext>
          </a:extLst>
        </xdr:cNvPr>
        <xdr:cNvSpPr/>
      </xdr:nvSpPr>
      <xdr:spPr>
        <a:xfrm>
          <a:off x="10901892" y="232834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99484</xdr:colOff>
      <xdr:row>1</xdr:row>
      <xdr:rowOff>46567</xdr:rowOff>
    </xdr:from>
    <xdr:to>
      <xdr:col>12</xdr:col>
      <xdr:colOff>1432984</xdr:colOff>
      <xdr:row>1</xdr:row>
      <xdr:rowOff>322792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7AC027-1457-4FF4-8166-511119175E53}"/>
            </a:ext>
          </a:extLst>
        </xdr:cNvPr>
        <xdr:cNvSpPr/>
      </xdr:nvSpPr>
      <xdr:spPr>
        <a:xfrm>
          <a:off x="12175067" y="237067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</a:t>
          </a:r>
          <a:r>
            <a:rPr lang="pt-BR" sz="1100" baseline="0"/>
            <a:t> </a:t>
          </a:r>
          <a:r>
            <a:rPr lang="pt-BR" sz="1100"/>
            <a:t>2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5DED19-129C-474A-A0B2-F510B4DCB952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2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21FF6CB2-BA2C-4311-B6F1-6FC21772C8B8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3</xdr:row>
      <xdr:rowOff>0</xdr:rowOff>
    </xdr:from>
    <xdr:to>
      <xdr:col>0</xdr:col>
      <xdr:colOff>1295400</xdr:colOff>
      <xdr:row>5</xdr:row>
      <xdr:rowOff>9525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FD5FA53B-6BBE-407D-BB5D-2AA99CBFB2D1}"/>
            </a:ext>
          </a:extLst>
        </xdr:cNvPr>
        <xdr:cNvSpPr/>
      </xdr:nvSpPr>
      <xdr:spPr>
        <a:xfrm>
          <a:off x="114300" y="9144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 Record</a:t>
          </a:r>
        </a:p>
      </xdr:txBody>
    </xdr:sp>
    <xdr:clientData/>
  </xdr:twoCellAnchor>
  <xdr:twoCellAnchor>
    <xdr:from>
      <xdr:col>0</xdr:col>
      <xdr:colOff>114300</xdr:colOff>
      <xdr:row>5</xdr:row>
      <xdr:rowOff>85725</xdr:rowOff>
    </xdr:from>
    <xdr:to>
      <xdr:col>0</xdr:col>
      <xdr:colOff>1295400</xdr:colOff>
      <xdr:row>7</xdr:row>
      <xdr:rowOff>95250</xdr:rowOff>
    </xdr:to>
    <xdr:sp macro="[0]!Nova_Venda" textlink="">
      <xdr:nvSpPr>
        <xdr:cNvPr id="6" name="Retângulo 5">
          <a:extLst>
            <a:ext uri="{FF2B5EF4-FFF2-40B4-BE49-F238E27FC236}">
              <a16:creationId xmlns:a16="http://schemas.microsoft.com/office/drawing/2014/main" id="{62F1FC20-E23C-4065-8A9C-3B9ED84246E4}"/>
            </a:ext>
          </a:extLst>
        </xdr:cNvPr>
        <xdr:cNvSpPr/>
      </xdr:nvSpPr>
      <xdr:spPr>
        <a:xfrm>
          <a:off x="114300" y="13811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114300</xdr:colOff>
      <xdr:row>7</xdr:row>
      <xdr:rowOff>161925</xdr:rowOff>
    </xdr:from>
    <xdr:to>
      <xdr:col>0</xdr:col>
      <xdr:colOff>1295400</xdr:colOff>
      <xdr:row>9</xdr:row>
      <xdr:rowOff>171450</xdr:rowOff>
    </xdr:to>
    <xdr:sp macro="[0]!Novo_Produto" textlink="">
      <xdr:nvSpPr>
        <xdr:cNvPr id="7" name="Retângulo 6">
          <a:extLst>
            <a:ext uri="{FF2B5EF4-FFF2-40B4-BE49-F238E27FC236}">
              <a16:creationId xmlns:a16="http://schemas.microsoft.com/office/drawing/2014/main" id="{BD2521B3-1AAF-4728-A0F7-CD2B8D2A78D2}"/>
            </a:ext>
          </a:extLst>
        </xdr:cNvPr>
        <xdr:cNvSpPr/>
      </xdr:nvSpPr>
      <xdr:spPr>
        <a:xfrm>
          <a:off x="114300" y="18383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10</xdr:col>
      <xdr:colOff>222249</xdr:colOff>
      <xdr:row>1</xdr:row>
      <xdr:rowOff>34925</xdr:rowOff>
    </xdr:from>
    <xdr:to>
      <xdr:col>11</xdr:col>
      <xdr:colOff>21167</xdr:colOff>
      <xdr:row>1</xdr:row>
      <xdr:rowOff>311150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2AC61E-E726-4C6A-AE4E-F43E7418097C}"/>
            </a:ext>
          </a:extLst>
        </xdr:cNvPr>
        <xdr:cNvSpPr/>
      </xdr:nvSpPr>
      <xdr:spPr>
        <a:xfrm>
          <a:off x="9958916" y="22542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11</xdr:col>
      <xdr:colOff>106892</xdr:colOff>
      <xdr:row>1</xdr:row>
      <xdr:rowOff>31750</xdr:rowOff>
    </xdr:from>
    <xdr:to>
      <xdr:col>12</xdr:col>
      <xdr:colOff>592667</xdr:colOff>
      <xdr:row>1</xdr:row>
      <xdr:rowOff>307975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231377-476E-4B4F-9E75-0694AE634427}"/>
            </a:ext>
          </a:extLst>
        </xdr:cNvPr>
        <xdr:cNvSpPr/>
      </xdr:nvSpPr>
      <xdr:spPr>
        <a:xfrm>
          <a:off x="11198225" y="22225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713317</xdr:colOff>
      <xdr:row>1</xdr:row>
      <xdr:rowOff>35983</xdr:rowOff>
    </xdr:from>
    <xdr:to>
      <xdr:col>13</xdr:col>
      <xdr:colOff>512233</xdr:colOff>
      <xdr:row>1</xdr:row>
      <xdr:rowOff>312208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D39AA90-E48A-48A4-A940-B93FAD71AAC0}"/>
            </a:ext>
          </a:extLst>
        </xdr:cNvPr>
        <xdr:cNvSpPr/>
      </xdr:nvSpPr>
      <xdr:spPr>
        <a:xfrm>
          <a:off x="12471400" y="22648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</a:t>
          </a:r>
          <a:r>
            <a:rPr lang="pt-BR" sz="1100" baseline="0"/>
            <a:t> </a:t>
          </a:r>
          <a:r>
            <a:rPr lang="pt-BR" sz="1100"/>
            <a:t>3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06F2B6-0187-49F0-8C21-0EE721EE5BF2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3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FD92D5DE-D3AD-4A4D-A588-289A94C054B8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361950</xdr:rowOff>
    </xdr:from>
    <xdr:to>
      <xdr:col>0</xdr:col>
      <xdr:colOff>1276350</xdr:colOff>
      <xdr:row>5</xdr:row>
      <xdr:rowOff>0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22AD72CA-8D28-441E-96E4-AFAB295AE15F}"/>
            </a:ext>
          </a:extLst>
        </xdr:cNvPr>
        <xdr:cNvSpPr/>
      </xdr:nvSpPr>
      <xdr:spPr>
        <a:xfrm>
          <a:off x="95250" y="9048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 Record</a:t>
          </a:r>
        </a:p>
      </xdr:txBody>
    </xdr:sp>
    <xdr:clientData/>
  </xdr:twoCellAnchor>
  <xdr:twoCellAnchor>
    <xdr:from>
      <xdr:col>0</xdr:col>
      <xdr:colOff>95250</xdr:colOff>
      <xdr:row>5</xdr:row>
      <xdr:rowOff>76200</xdr:rowOff>
    </xdr:from>
    <xdr:to>
      <xdr:col>0</xdr:col>
      <xdr:colOff>1276350</xdr:colOff>
      <xdr:row>7</xdr:row>
      <xdr:rowOff>85725</xdr:rowOff>
    </xdr:to>
    <xdr:sp macro="[0]!Nova_Venda1" textlink="">
      <xdr:nvSpPr>
        <xdr:cNvPr id="6" name="Retângulo 5">
          <a:extLst>
            <a:ext uri="{FF2B5EF4-FFF2-40B4-BE49-F238E27FC236}">
              <a16:creationId xmlns:a16="http://schemas.microsoft.com/office/drawing/2014/main" id="{55EA4636-26D5-4809-863C-7C3F6F3C8372}"/>
            </a:ext>
          </a:extLst>
        </xdr:cNvPr>
        <xdr:cNvSpPr/>
      </xdr:nvSpPr>
      <xdr:spPr>
        <a:xfrm>
          <a:off x="95250" y="13716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95250</xdr:colOff>
      <xdr:row>7</xdr:row>
      <xdr:rowOff>152400</xdr:rowOff>
    </xdr:from>
    <xdr:to>
      <xdr:col>0</xdr:col>
      <xdr:colOff>1276350</xdr:colOff>
      <xdr:row>9</xdr:row>
      <xdr:rowOff>161925</xdr:rowOff>
    </xdr:to>
    <xdr:sp macro="[0]!Inserir_Produto1" textlink="">
      <xdr:nvSpPr>
        <xdr:cNvPr id="7" name="Retângulo 6">
          <a:extLst>
            <a:ext uri="{FF2B5EF4-FFF2-40B4-BE49-F238E27FC236}">
              <a16:creationId xmlns:a16="http://schemas.microsoft.com/office/drawing/2014/main" id="{AB345498-DC8B-4834-9679-3684A6ADE384}"/>
            </a:ext>
          </a:extLst>
        </xdr:cNvPr>
        <xdr:cNvSpPr/>
      </xdr:nvSpPr>
      <xdr:spPr>
        <a:xfrm>
          <a:off x="95250" y="18288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10</xdr:col>
      <xdr:colOff>95250</xdr:colOff>
      <xdr:row>1</xdr:row>
      <xdr:rowOff>34925</xdr:rowOff>
    </xdr:from>
    <xdr:to>
      <xdr:col>10</xdr:col>
      <xdr:colOff>1248834</xdr:colOff>
      <xdr:row>1</xdr:row>
      <xdr:rowOff>311150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8F5DD8-85DE-4F75-95CD-BA120EAE13DF}"/>
            </a:ext>
          </a:extLst>
        </xdr:cNvPr>
        <xdr:cNvSpPr/>
      </xdr:nvSpPr>
      <xdr:spPr>
        <a:xfrm>
          <a:off x="9779000" y="22542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1334559</xdr:colOff>
      <xdr:row>1</xdr:row>
      <xdr:rowOff>31750</xdr:rowOff>
    </xdr:from>
    <xdr:to>
      <xdr:col>12</xdr:col>
      <xdr:colOff>465667</xdr:colOff>
      <xdr:row>1</xdr:row>
      <xdr:rowOff>307975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81AE5D-C665-44FF-B4CF-16A271970D65}"/>
            </a:ext>
          </a:extLst>
        </xdr:cNvPr>
        <xdr:cNvSpPr/>
      </xdr:nvSpPr>
      <xdr:spPr>
        <a:xfrm>
          <a:off x="11018309" y="22225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586317</xdr:colOff>
      <xdr:row>1</xdr:row>
      <xdr:rowOff>35983</xdr:rowOff>
    </xdr:from>
    <xdr:to>
      <xdr:col>13</xdr:col>
      <xdr:colOff>385234</xdr:colOff>
      <xdr:row>1</xdr:row>
      <xdr:rowOff>312208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1A9636-DDD8-4ECA-9FF3-192756FBB84B}"/>
            </a:ext>
          </a:extLst>
        </xdr:cNvPr>
        <xdr:cNvSpPr/>
      </xdr:nvSpPr>
      <xdr:spPr>
        <a:xfrm>
          <a:off x="12291484" y="22648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 4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D4DB8F-C67C-4FCE-B198-38361492CB14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4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73D6DD63-62D0-4BCA-B1C9-1B9D452E0053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</xdr:row>
      <xdr:rowOff>352425</xdr:rowOff>
    </xdr:from>
    <xdr:to>
      <xdr:col>0</xdr:col>
      <xdr:colOff>1323975</xdr:colOff>
      <xdr:row>4</xdr:row>
      <xdr:rowOff>180975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F16CCAC1-65A8-4C51-AE9B-167231542B4C}"/>
            </a:ext>
          </a:extLst>
        </xdr:cNvPr>
        <xdr:cNvSpPr/>
      </xdr:nvSpPr>
      <xdr:spPr>
        <a:xfrm>
          <a:off x="142875" y="89535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</a:t>
          </a:r>
          <a:r>
            <a:rPr lang="pt-BR" sz="1200" baseline="0">
              <a:solidFill>
                <a:schemeClr val="bg1"/>
              </a:solidFill>
            </a:rPr>
            <a:t> Record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5</xdr:row>
      <xdr:rowOff>66675</xdr:rowOff>
    </xdr:from>
    <xdr:to>
      <xdr:col>0</xdr:col>
      <xdr:colOff>1323975</xdr:colOff>
      <xdr:row>7</xdr:row>
      <xdr:rowOff>76200</xdr:rowOff>
    </xdr:to>
    <xdr:sp macro="[0]!Nova_Venda1" textlink="">
      <xdr:nvSpPr>
        <xdr:cNvPr id="6" name="Retângulo 5">
          <a:extLst>
            <a:ext uri="{FF2B5EF4-FFF2-40B4-BE49-F238E27FC236}">
              <a16:creationId xmlns:a16="http://schemas.microsoft.com/office/drawing/2014/main" id="{D861ABBA-6514-4C03-86EF-B662D2EECD06}"/>
            </a:ext>
          </a:extLst>
        </xdr:cNvPr>
        <xdr:cNvSpPr/>
      </xdr:nvSpPr>
      <xdr:spPr>
        <a:xfrm>
          <a:off x="142875" y="1357842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142875</xdr:colOff>
      <xdr:row>7</xdr:row>
      <xdr:rowOff>142875</xdr:rowOff>
    </xdr:from>
    <xdr:to>
      <xdr:col>0</xdr:col>
      <xdr:colOff>1323975</xdr:colOff>
      <xdr:row>9</xdr:row>
      <xdr:rowOff>152400</xdr:rowOff>
    </xdr:to>
    <xdr:sp macro="[0]!Inserir_Produto1" textlink="">
      <xdr:nvSpPr>
        <xdr:cNvPr id="7" name="Retângulo 6">
          <a:extLst>
            <a:ext uri="{FF2B5EF4-FFF2-40B4-BE49-F238E27FC236}">
              <a16:creationId xmlns:a16="http://schemas.microsoft.com/office/drawing/2014/main" id="{F3094C60-F674-42C2-9498-48DDB9E0435F}"/>
            </a:ext>
          </a:extLst>
        </xdr:cNvPr>
        <xdr:cNvSpPr/>
      </xdr:nvSpPr>
      <xdr:spPr>
        <a:xfrm>
          <a:off x="142875" y="18192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9</xdr:col>
      <xdr:colOff>624417</xdr:colOff>
      <xdr:row>1</xdr:row>
      <xdr:rowOff>45509</xdr:rowOff>
    </xdr:from>
    <xdr:to>
      <xdr:col>10</xdr:col>
      <xdr:colOff>963084</xdr:colOff>
      <xdr:row>1</xdr:row>
      <xdr:rowOff>321734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3608F1-5D6A-4AA7-B874-2BE71DC9EE27}"/>
            </a:ext>
          </a:extLst>
        </xdr:cNvPr>
        <xdr:cNvSpPr/>
      </xdr:nvSpPr>
      <xdr:spPr>
        <a:xfrm>
          <a:off x="9641417" y="236009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1048809</xdr:colOff>
      <xdr:row>1</xdr:row>
      <xdr:rowOff>42334</xdr:rowOff>
    </xdr:from>
    <xdr:to>
      <xdr:col>12</xdr:col>
      <xdr:colOff>179918</xdr:colOff>
      <xdr:row>1</xdr:row>
      <xdr:rowOff>318559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80EB93-A0F1-49C1-A59C-463877FA67C7}"/>
            </a:ext>
          </a:extLst>
        </xdr:cNvPr>
        <xdr:cNvSpPr/>
      </xdr:nvSpPr>
      <xdr:spPr>
        <a:xfrm>
          <a:off x="10880726" y="232834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300568</xdr:colOff>
      <xdr:row>1</xdr:row>
      <xdr:rowOff>46567</xdr:rowOff>
    </xdr:from>
    <xdr:to>
      <xdr:col>13</xdr:col>
      <xdr:colOff>99484</xdr:colOff>
      <xdr:row>1</xdr:row>
      <xdr:rowOff>322792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1FD349-9768-46D2-ADA6-090D22D102FB}"/>
            </a:ext>
          </a:extLst>
        </xdr:cNvPr>
        <xdr:cNvSpPr/>
      </xdr:nvSpPr>
      <xdr:spPr>
        <a:xfrm>
          <a:off x="12153901" y="237067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 5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43D53F-BC7B-4621-8D5A-3776523534F4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5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D9A59482-AEAD-40C7-9C2A-1154C22A58D1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1229537037" createdVersion="8" refreshedVersion="8" minRefreshableVersion="3" recordCount="25" xr:uid="{5AA438AE-692A-4F96-B89A-089C1DFB7124}">
  <cacheSource type="worksheet">
    <worksheetSource name="Tabela5"/>
  </cacheSource>
  <cacheFields count="12">
    <cacheField name="Sale id" numFmtId="0">
      <sharedItems containsSemiMixedTypes="0" containsString="0" containsNumber="1" containsInteger="1" minValue="1" maxValue="13"/>
    </cacheField>
    <cacheField name="Date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ct" numFmtId="0">
      <sharedItems count="13">
        <s v="Peanut"/>
        <s v="Matchbox"/>
        <s v="Meat"/>
        <s v="Beer"/>
        <s v="Bean"/>
        <s v="Soft Drink"/>
        <s v="Loaf Bread"/>
        <s v="Pod"/>
        <s v="Cheese"/>
        <s v="Lettuce"/>
        <s v="Candy"/>
        <s v="Rice"/>
        <s v="Milk"/>
      </sharedItems>
    </cacheField>
    <cacheField name="Measure" numFmtId="0">
      <sharedItems/>
    </cacheField>
    <cacheField name="Quantity" numFmtId="0">
      <sharedItems containsSemiMixedTypes="0" containsString="0" containsNumber="1" minValue="1" maxValue="24"/>
    </cacheField>
    <cacheField name="Unity Price" numFmtId="44">
      <sharedItems containsSemiMixedTypes="0" containsString="0" containsNumber="1" minValue="0" maxValue="25.9"/>
    </cacheField>
    <cacheField name="Subtotal" numFmtId="44">
      <sharedItems containsSemiMixedTypes="0" containsString="0" containsNumber="1" minValue="0" maxValue="159"/>
    </cacheField>
    <cacheField name="Discount" numFmtId="9">
      <sharedItems containsString="0" containsBlank="1" containsNumber="1" minValue="0.03" maxValue="0.03"/>
    </cacheField>
    <cacheField name="Deliver" numFmtId="0">
      <sharedItems count="3">
        <s v="South Zone"/>
        <s v="Store"/>
        <s v="North Zone"/>
      </sharedItems>
    </cacheField>
    <cacheField name="Delivery Value" numFmtId="44">
      <sharedItems containsSemiMixedTypes="0" containsString="0" containsNumber="1" minValue="0" maxValue="6.5"/>
    </cacheField>
    <cacheField name="Total" numFmtId="44">
      <sharedItems containsSemiMixedTypes="0" containsString="0" containsNumber="1" minValue="0" maxValue="159"/>
    </cacheField>
    <cacheField name="Total for the Customer" numFmtId="44">
      <sharedItems containsMixedTypes="1" containsNumber="1" minValue="2.19" maxValue="218.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0446180557" createdVersion="8" refreshedVersion="8" minRefreshableVersion="3" recordCount="25" xr:uid="{ED2D2636-BD5B-4716-ACC3-3DF7685B9090}">
  <cacheSource type="worksheet">
    <worksheetSource name="Tabela58"/>
  </cacheSource>
  <cacheFields count="12">
    <cacheField name="Sale id" numFmtId="0">
      <sharedItems containsString="0" containsBlank="1" containsNumber="1" containsInteger="1" minValue="3" maxValue="3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2048958331" createdVersion="8" refreshedVersion="8" minRefreshableVersion="3" recordCount="23" xr:uid="{218F083D-511C-411E-89CB-64A4599869F3}">
  <cacheSource type="worksheet">
    <worksheetSource name="Tabela59"/>
  </cacheSource>
  <cacheFields count="12">
    <cacheField name="Sale id" numFmtId="0">
      <sharedItems containsString="0" containsBlank="1" containsNumber="1" containsInteger="1" minValue="4" maxValue="4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2938541669" createdVersion="8" refreshedVersion="8" minRefreshableVersion="3" recordCount="23" xr:uid="{C37F03BF-6CD0-4148-A505-C43BE085532E}">
  <cacheSource type="worksheet">
    <worksheetSource name="Tabela510"/>
  </cacheSource>
  <cacheFields count="12">
    <cacheField name="Sale id" numFmtId="0">
      <sharedItems containsString="0" containsBlank="1" containsNumber="1" containsInteger="1" minValue="5" maxValue="5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Blank="1"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3387615738" createdVersion="8" refreshedVersion="8" minRefreshableVersion="3" recordCount="23" xr:uid="{F420451A-0F45-41D5-8C61-AB9F3FE62B0D}">
  <cacheSource type="worksheet">
    <worksheetSource name="Tabela511"/>
  </cacheSource>
  <cacheFields count="12">
    <cacheField name="Sale id" numFmtId="0">
      <sharedItems containsString="0" containsBlank="1" containsNumber="1" containsInteger="1" minValue="6" maxValue="6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s v=""/>
    <n v="10"/>
    <n v="0"/>
    <n v="0"/>
    <n v="0.03"/>
    <x v="0"/>
    <n v="0"/>
    <n v="0"/>
    <s v=""/>
  </r>
  <r>
    <n v="13"/>
    <x v="0"/>
    <x v="1"/>
    <s v="Package"/>
    <n v="1"/>
    <n v="0.79"/>
    <n v="0.79"/>
    <m/>
    <x v="0"/>
    <n v="0"/>
    <n v="0.79"/>
    <s v=""/>
  </r>
  <r>
    <n v="13"/>
    <x v="0"/>
    <x v="2"/>
    <s v="Kg"/>
    <n v="10"/>
    <n v="15.9"/>
    <n v="159"/>
    <m/>
    <x v="0"/>
    <n v="0"/>
    <n v="159"/>
    <s v=""/>
  </r>
  <r>
    <n v="13"/>
    <x v="0"/>
    <x v="3"/>
    <s v="Can"/>
    <n v="24"/>
    <n v="2.19"/>
    <n v="52.56"/>
    <m/>
    <x v="0"/>
    <n v="6.5"/>
    <n v="59.06"/>
    <n v="218.85"/>
  </r>
  <r>
    <n v="12"/>
    <x v="1"/>
    <x v="3"/>
    <s v="Can"/>
    <n v="1"/>
    <n v="2.19"/>
    <n v="2.19"/>
    <m/>
    <x v="1"/>
    <n v="0"/>
    <n v="2.19"/>
    <n v="2.19"/>
  </r>
  <r>
    <n v="11"/>
    <x v="1"/>
    <x v="3"/>
    <s v="Can"/>
    <n v="10"/>
    <n v="2.19"/>
    <n v="21.9"/>
    <m/>
    <x v="1"/>
    <n v="0"/>
    <n v="21.9"/>
    <n v="21.9"/>
  </r>
  <r>
    <n v="10"/>
    <x v="1"/>
    <x v="4"/>
    <s v="Kg"/>
    <n v="6"/>
    <n v="4.28"/>
    <n v="25.68"/>
    <m/>
    <x v="1"/>
    <n v="0"/>
    <n v="25.68"/>
    <s v=""/>
  </r>
  <r>
    <n v="10"/>
    <x v="1"/>
    <x v="5"/>
    <s v="Liter"/>
    <n v="4"/>
    <n v="2.39"/>
    <n v="9.56"/>
    <m/>
    <x v="1"/>
    <n v="0"/>
    <n v="9.56"/>
    <n v="35.24"/>
  </r>
  <r>
    <n v="9"/>
    <x v="2"/>
    <x v="6"/>
    <s v="Unit"/>
    <n v="5"/>
    <n v="2.89"/>
    <n v="14.450000000000001"/>
    <m/>
    <x v="1"/>
    <n v="0"/>
    <n v="14.450000000000001"/>
    <s v=""/>
  </r>
  <r>
    <n v="9"/>
    <x v="2"/>
    <x v="7"/>
    <s v="Kg"/>
    <n v="2"/>
    <n v="9.58"/>
    <n v="19.16"/>
    <m/>
    <x v="1"/>
    <n v="0"/>
    <n v="19.16"/>
    <s v=""/>
  </r>
  <r>
    <n v="9"/>
    <x v="2"/>
    <x v="8"/>
    <s v="Kg"/>
    <n v="1.5"/>
    <n v="25.9"/>
    <n v="38.849999999999994"/>
    <m/>
    <x v="1"/>
    <n v="0"/>
    <n v="38.849999999999994"/>
    <s v=""/>
  </r>
  <r>
    <n v="9"/>
    <x v="2"/>
    <x v="4"/>
    <s v="Kg"/>
    <n v="4"/>
    <n v="4.28"/>
    <n v="17.12"/>
    <m/>
    <x v="1"/>
    <n v="0"/>
    <n v="17.12"/>
    <n v="89.58"/>
  </r>
  <r>
    <n v="8"/>
    <x v="2"/>
    <x v="3"/>
    <s v="Can"/>
    <n v="20"/>
    <n v="2.19"/>
    <n v="43.8"/>
    <m/>
    <x v="0"/>
    <n v="6.5"/>
    <n v="50.3"/>
    <n v="50.3"/>
  </r>
  <r>
    <n v="7"/>
    <x v="2"/>
    <x v="3"/>
    <s v="Can"/>
    <n v="20"/>
    <n v="2.19"/>
    <n v="43.8"/>
    <m/>
    <x v="1"/>
    <n v="0"/>
    <n v="43.8"/>
    <n v="43.8"/>
  </r>
  <r>
    <n v="6"/>
    <x v="2"/>
    <x v="1"/>
    <s v="Package"/>
    <n v="2"/>
    <n v="0.79"/>
    <n v="1.58"/>
    <m/>
    <x v="1"/>
    <n v="0"/>
    <n v="1.58"/>
    <s v=""/>
  </r>
  <r>
    <n v="6"/>
    <x v="2"/>
    <x v="2"/>
    <s v="Kg"/>
    <n v="6"/>
    <n v="15.9"/>
    <n v="95.4"/>
    <m/>
    <x v="1"/>
    <n v="0"/>
    <n v="95.4"/>
    <s v=""/>
  </r>
  <r>
    <n v="6"/>
    <x v="2"/>
    <x v="3"/>
    <s v="Can"/>
    <n v="12"/>
    <n v="2.19"/>
    <n v="26.28"/>
    <m/>
    <x v="1"/>
    <n v="0"/>
    <n v="26.28"/>
    <n v="123.26"/>
  </r>
  <r>
    <n v="5"/>
    <x v="3"/>
    <x v="9"/>
    <s v=""/>
    <n v="3"/>
    <n v="0"/>
    <n v="0"/>
    <m/>
    <x v="0"/>
    <n v="6.5"/>
    <n v="6.5"/>
    <n v="6.5"/>
  </r>
  <r>
    <n v="4"/>
    <x v="3"/>
    <x v="10"/>
    <s v="Package"/>
    <n v="2"/>
    <n v="1.99"/>
    <n v="3.98"/>
    <m/>
    <x v="2"/>
    <n v="0"/>
    <n v="3.98"/>
    <s v=""/>
  </r>
  <r>
    <n v="4"/>
    <x v="3"/>
    <x v="11"/>
    <s v="Kg"/>
    <n v="5"/>
    <n v="2.4900000000000002"/>
    <n v="12.450000000000001"/>
    <m/>
    <x v="2"/>
    <n v="6.5"/>
    <n v="18.950000000000003"/>
    <n v="22.930000000000003"/>
  </r>
  <r>
    <n v="3"/>
    <x v="3"/>
    <x v="12"/>
    <s v="Liter"/>
    <n v="6"/>
    <n v="1.49"/>
    <n v="8.94"/>
    <m/>
    <x v="2"/>
    <n v="6.5"/>
    <n v="15.44"/>
    <n v="15.44"/>
  </r>
  <r>
    <n v="2"/>
    <x v="3"/>
    <x v="10"/>
    <s v="Package"/>
    <n v="1"/>
    <n v="1.99"/>
    <n v="1.99"/>
    <m/>
    <x v="2"/>
    <n v="6.5"/>
    <n v="8.49"/>
    <n v="8.49"/>
  </r>
  <r>
    <n v="1"/>
    <x v="3"/>
    <x v="11"/>
    <s v="Kg"/>
    <n v="2"/>
    <n v="2.4900000000000002"/>
    <n v="4.9800000000000004"/>
    <m/>
    <x v="1"/>
    <n v="0"/>
    <n v="4.9800000000000004"/>
    <s v=""/>
  </r>
  <r>
    <n v="1"/>
    <x v="3"/>
    <x v="0"/>
    <s v=""/>
    <n v="3"/>
    <n v="0"/>
    <n v="0"/>
    <m/>
    <x v="1"/>
    <n v="0"/>
    <n v="0"/>
    <s v=""/>
  </r>
  <r>
    <n v="1"/>
    <x v="3"/>
    <x v="10"/>
    <s v="Package"/>
    <n v="1"/>
    <n v="1.99"/>
    <n v="1.99"/>
    <m/>
    <x v="1"/>
    <n v="0"/>
    <n v="1.99"/>
    <n v="6.970000000000000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3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4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5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6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9DAC93-0BDF-42AE-9445-793B61F4A302}" name="Tabela dinâmica3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14">
        <item x="4"/>
        <item x="3"/>
        <item x="10"/>
        <item x="8"/>
        <item x="9"/>
        <item x="6"/>
        <item x="1"/>
        <item x="2"/>
        <item x="12"/>
        <item x="0"/>
        <item x="7"/>
        <item x="11"/>
        <item x="5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4">
        <item sd="0" x="2"/>
        <item sd="0" x="0"/>
        <item sd="0"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1E2173-8D75-4F2F-BF7B-7AF3B678B9D5}" name="Tabela dinâmica2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5">
        <item sd="0" x="3"/>
        <item sd="0" x="2"/>
        <item sd="0" x="1"/>
        <item sd="0" x="0"/>
        <item t="default"/>
      </items>
    </pivotField>
    <pivotField axis="axisRow" showAll="0">
      <items count="14">
        <item x="4"/>
        <item x="3"/>
        <item x="10"/>
        <item x="8"/>
        <item x="9"/>
        <item x="6"/>
        <item x="1"/>
        <item x="2"/>
        <item x="12"/>
        <item x="0"/>
        <item x="7"/>
        <item x="11"/>
        <item x="5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F73BFD-2F6B-42A1-87A1-5478C5E271CB}" name="Tabela dinâ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2AD498-0FFE-4A05-83DA-6004625411C5}" name="Tabela dinâmica3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449299-5A44-4D9E-92D8-52A20F98A1B1}" name="Tabela dinâ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98BE6-62F4-4C93-859B-A14D90186D46}" name="Tabela dinâmica2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2934D-60E1-47F3-AA53-E46860DDFBBF}" name="Tabela dinâmica2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3B1B04-595D-4BA6-ABAB-B4AA04D4A7EB}" name="Tabela dinâmica3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A5D7F7-CA0A-4840-AD0E-736A5817D486}" name="Tabela dinâmica3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E3C60-AAE6-4472-8662-30795319A01E}" name="Tabela dinâmica2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070B34-58FB-48FE-9AF2-F3E5A31E4624}" name="Tabela1" displayName="Tabela1" ref="B4:G29" totalsRowShown="0" headerRowDxfId="99">
  <autoFilter ref="B4:G29" xr:uid="{90070B34-58FB-48FE-9AF2-F3E5A31E4624}"/>
  <tableColumns count="6">
    <tableColumn id="1" xr3:uid="{876E26C2-3095-4636-825B-AECD14EE45F4}" name="Operating Expenses"/>
    <tableColumn id="2" xr3:uid="{0B6F33D1-2BEC-4BAC-B933-1CA28F6E85A7}" name="Item Expenses"/>
    <tableColumn id="3" xr3:uid="{782AF5BA-4DFB-4316-BF8A-40FBDC07175C}" name="Date"/>
    <tableColumn id="4" xr3:uid="{A9B0BBF0-8221-486E-A4EA-666C8E7CC259}" name="Observation"/>
    <tableColumn id="5" xr3:uid="{FB3B29E5-D28D-4ED8-A2FE-785A72979518}" name="Intermediate Value" dataCellStyle="Moeda"/>
    <tableColumn id="6" xr3:uid="{2D45C0CE-5C61-4982-9D1C-3F1C8CCDCACE}" name="Final Vaue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277DAC-8C39-42D3-99B2-DF107D9CCAD3}" name="Tabela2" displayName="Tabela2" ref="B4:I26" totalsRowShown="0" dataDxfId="98">
  <autoFilter ref="B4:I26" xr:uid="{4C277DAC-8C39-42D3-99B2-DF107D9CCAD3}"/>
  <sortState xmlns:xlrd2="http://schemas.microsoft.com/office/spreadsheetml/2017/richdata2" ref="B5:I26">
    <sortCondition descending="1" ref="B4:B26"/>
  </sortState>
  <tableColumns count="8">
    <tableColumn id="1" xr3:uid="{F8D4B829-EB09-480D-9CF8-FD7E7597498C}" name="Date" dataDxfId="97"/>
    <tableColumn id="2" xr3:uid="{9D830809-9FC4-4FFC-8C60-3DDBC7CE9D58}" name="Supplier" dataDxfId="96"/>
    <tableColumn id="3" xr3:uid="{366AFD19-3EAE-4636-BC67-2C06B0D07B86}" name="Goods" dataDxfId="95"/>
    <tableColumn id="4" xr3:uid="{04AE6B32-3BB7-40BE-B446-881E985EF03F}" name="Measure" dataDxfId="94">
      <calculatedColumnFormula>IFERROR(VLOOKUP(Tabela2[[#This Row],[Goods]],'Calculations and Tests'!$J$5:$M$206,4,FALSE),"")</calculatedColumnFormula>
    </tableColumn>
    <tableColumn id="5" xr3:uid="{99CE638F-5418-40E6-921E-42CB13758484}" name="Quantity" dataDxfId="93"/>
    <tableColumn id="6" xr3:uid="{B9698B34-1802-4F55-B555-D3E5A5E120E5}" name="Unit price" dataDxfId="92" dataCellStyle="Moeda">
      <calculatedColumnFormula>IFERROR(VLOOKUP(Tabela2[[#This Row],[Goods]],'Calculations and Tests'!$J$5:$M$206,2,FALSE),0)</calculatedColumnFormula>
    </tableColumn>
    <tableColumn id="7" xr3:uid="{7F09A10B-37ED-4DD5-8C93-45C5D9DF81B3}" name="Discount" dataDxfId="91" dataCellStyle="Porcentagem"/>
    <tableColumn id="8" xr3:uid="{51F47F39-83DA-4121-B576-90EF2D35D14F}" name="Aomunt Paid" dataDxfId="90" dataCellStyle="Moeda">
      <calculatedColumnFormula>Tabela2[[#This Row],[Quantity]]*Tabela2[[#This Row],[Unit price]]*(1-Tabela2[[#This Row],[Discount]])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ACC92D-70F6-428A-91C2-B2E9B757F441}" name="Tabela3" displayName="Tabela3" ref="B4:E9" totalsRowShown="0" headerRowDxfId="89" dataDxfId="88">
  <autoFilter ref="B4:E9" xr:uid="{55ACC92D-70F6-428A-91C2-B2E9B757F441}"/>
  <tableColumns count="4">
    <tableColumn id="1" xr3:uid="{436A0FAC-6626-4EB1-95E9-E9A989B791AD}" name="Investments" dataDxfId="87"/>
    <tableColumn id="2" xr3:uid="{B01EF007-DCC8-49F3-B36C-12FD29382040}" name="Date" dataDxfId="86"/>
    <tableColumn id="3" xr3:uid="{8F17D528-2A1B-4CD3-B036-B26EEEFBA5B1}" name="Description" dataDxfId="85"/>
    <tableColumn id="4" xr3:uid="{4A2963D3-E4F1-45F2-A1EE-F0A7B073C228}" name="Value" dataDxfId="84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B5BF51-1365-430E-A1D9-9B875A8AA1F8}" name="Tabela4" displayName="Tabela4" ref="B4:H28" totalsRowShown="0" headerRowDxfId="83" dataDxfId="82">
  <autoFilter ref="B4:H28" xr:uid="{47B5BF51-1365-430E-A1D9-9B875A8AA1F8}"/>
  <tableColumns count="7">
    <tableColumn id="1" xr3:uid="{0E0D5BE0-D83C-4AFA-9B30-73AE02572A96}" name="Product" dataDxfId="81"/>
    <tableColumn id="2" xr3:uid="{46338B5A-64C1-4935-9748-E7F69A062A7B}" name="Last Purchase Date" dataDxfId="80">
      <calculatedColumnFormula>IFERROR(INDEX(Tabela2[],MATCH(Tabela4[[#This Row],[Product]],Tabela2[Goods],0),1),"")</calculatedColumnFormula>
    </tableColumn>
    <tableColumn id="3" xr3:uid="{FAAC9D2E-3943-448A-871E-A83AD0002816}" name="Initial Quantity" dataDxfId="79"/>
    <tableColumn id="4" xr3:uid="{2CE9DC24-884C-4060-8D94-26C057412891}" name="Quantity Purchased" dataDxfId="78">
      <calculatedColumnFormula>SUMIF(Tabela2[Goods],Tabela4[[#This Row],[Product]],Tabela2[Quantity])</calculatedColumnFormula>
    </tableColumn>
    <tableColumn id="5" xr3:uid="{E19AB977-555E-4108-8711-B6483C6F1CED}" name="Quantity Sold" dataDxfId="77">
      <calculatedColumnFormula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calculatedColumnFormula>
    </tableColumn>
    <tableColumn id="6" xr3:uid="{3485C2DD-AE7F-4DD3-B26A-6D8F3E6E9D67}" name="Current Quantity" dataDxfId="76">
      <calculatedColumnFormula>Tabela4[[#This Row],[Initial Quantity]]+Tabela4[[#This Row],[Quantity Purchased]]-Tabela4[[#This Row],[Quantity Sold]]</calculatedColumnFormula>
    </tableColumn>
    <tableColumn id="7" xr3:uid="{BE6BFEF6-66EA-4442-8385-86E831BBB800}" name="Situation" dataDxfId="75">
      <calculatedColumnFormula>IF(Tabela4[[#This Row],[Current Quantity]]&lt;50,IF(Tabela4[[#This Row],[Current Quantity]]&lt;21,"Purchase","Attention"),"OK")</calculatedColumnFormula>
    </tableColumn>
  </tableColumns>
  <tableStyleInfo name="TableStyleMedium6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8B52B1-80A6-4BB3-AE01-3A93A5D196D0}" name="Tabela5" displayName="Tabela5" ref="B4:M29" totalsRowShown="0" headerRowDxfId="74" dataDxfId="73">
  <autoFilter ref="B4:M29" xr:uid="{D88B52B1-80A6-4BB3-AE01-3A93A5D196D0}"/>
  <tableColumns count="12">
    <tableColumn id="1" xr3:uid="{30F5C824-0247-49A2-A521-5D1D14F1C0E0}" name="Sale id" dataDxfId="72"/>
    <tableColumn id="2" xr3:uid="{74797D88-F5BF-4DC5-BE2E-05A8F1657EAF}" name="Date" dataDxfId="71"/>
    <tableColumn id="3" xr3:uid="{36177B15-86F6-43CE-A9A3-78ADDA293E57}" name="Product" dataDxfId="70"/>
    <tableColumn id="4" xr3:uid="{BFEAE181-E9C3-401E-9B62-9588D907D35E}" name="Measure" dataDxfId="69">
      <calculatedColumnFormula>IFERROR(VLOOKUP(Tabela5[[#This Row],[Product]],'Calculations and Tests'!$J$5:$M$28,4,FALSE),"")</calculatedColumnFormula>
    </tableColumn>
    <tableColumn id="5" xr3:uid="{E89C2D76-8DF0-4555-A8FE-8E6DE9F52918}" name="Quantity" dataDxfId="68"/>
    <tableColumn id="6" xr3:uid="{AD2DF9DF-13CF-42F6-9B7D-5E328BB7D485}" name="Unity Price" dataDxfId="67" dataCellStyle="Moeda">
      <calculatedColumnFormula>IFERROR(VLOOKUP(Tabela5[[#This Row],[Product]],'Calculations and Tests'!$J$5:$M$28,3,FALSE),0)</calculatedColumnFormula>
    </tableColumn>
    <tableColumn id="7" xr3:uid="{BCB5CD59-256D-486E-A8EE-AA1537E62215}" name="Subtotal" dataDxfId="66" dataCellStyle="Moeda">
      <calculatedColumnFormula>Tabela5[[#This Row],[Quantity]]*Tabela5[[#This Row],[Unity Price]]</calculatedColumnFormula>
    </tableColumn>
    <tableColumn id="8" xr3:uid="{76548395-CF58-4986-BBA0-1488403F64E9}" name="Discount" dataDxfId="65" dataCellStyle="Porcentagem"/>
    <tableColumn id="9" xr3:uid="{F0E9310E-4521-4BD5-8D31-7A98C9E02252}" name="Deliver" dataDxfId="64"/>
    <tableColumn id="10" xr3:uid="{21CB9E8B-5AD6-4D99-85B6-CB1D3C504F5F}" name="Delivery Value" dataDxfId="63" dataCellStyle="Moeda">
      <calculatedColumnFormula>IFERROR(IF(Tabela5[[#This Row],[Sale id]]=B6,0,VLOOKUP(Tabela5[[#This Row],[Deliver]],'Calculations and Tests'!B$5:C$9,2,FALSE)),0)</calculatedColumnFormula>
    </tableColumn>
    <tableColumn id="13" xr3:uid="{3DDCCBB4-27D0-41D9-97C1-4248B812B763}" name="Total" dataDxfId="62" dataCellStyle="Moeda">
      <calculatedColumnFormula>Tabela5[[#This Row],[Subtotal]]*(1-Tabela5[[#This Row],[Discount]])+Tabela5[[#This Row],[Delivery Value]]</calculatedColumnFormula>
    </tableColumn>
    <tableColumn id="11" xr3:uid="{EA34E7C1-1B61-449F-A4FA-A58BA426AA06}" name="Total for the Customer" dataDxfId="61" dataCellStyle="Moeda">
      <calculatedColumnFormula>IF(Tabela5[[#This Row],[Sale id]]=B6,"",SUMIF(Tabela5[Sale id],Tabela5[[#This Row],[Sale id]],Tabela5[Total]))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C3AAD9-628D-4F8A-8B6A-C7258F0F3AC7}" name="Tabela58" displayName="Tabela58" ref="B4:M30" totalsRowShown="0" headerRowDxfId="60" dataDxfId="59">
  <autoFilter ref="B4:M30" xr:uid="{DDC3AAD9-628D-4F8A-8B6A-C7258F0F3AC7}"/>
  <tableColumns count="12">
    <tableColumn id="1" xr3:uid="{CB75A601-BEF0-41D8-BA07-E931544449DC}" name="Sale id" dataDxfId="58"/>
    <tableColumn id="2" xr3:uid="{690CFA94-CE80-4740-92C3-BD0B367EAFD6}" name="Date" dataDxfId="57"/>
    <tableColumn id="3" xr3:uid="{417FBCF7-46F5-4D7F-A32A-61A8E848F0CA}" name="Product" dataDxfId="56"/>
    <tableColumn id="4" xr3:uid="{BF44DA47-AB11-4D73-99B1-31F90E7D6D19}" name="Measure" dataDxfId="55">
      <calculatedColumnFormula>IFERROR(VLOOKUP(Tabela58[[#This Row],[Product]],'Calculations and Tests'!$J$5:$M$28,4,FALSE),"")</calculatedColumnFormula>
    </tableColumn>
    <tableColumn id="5" xr3:uid="{7CF3F5FC-E026-4CB2-916E-5F283C2A05B0}" name="Quantity" dataDxfId="54"/>
    <tableColumn id="6" xr3:uid="{04CB4CCC-8089-4319-9765-032EA730CAAB}" name="Unity Price" dataDxfId="53" dataCellStyle="Moeda">
      <calculatedColumnFormula>IFERROR(VLOOKUP(Tabela58[[#This Row],[Product]],'Calculations and Tests'!$J$5:$M$28,3,FALSE),0)</calculatedColumnFormula>
    </tableColumn>
    <tableColumn id="7" xr3:uid="{EE845A4B-7353-4C5A-BAD8-BCBE41200995}" name="Subtotal" dataDxfId="52" dataCellStyle="Moeda">
      <calculatedColumnFormula>Tabela58[[#This Row],[Quantity]]*Tabela58[[#This Row],[Unity Price]]</calculatedColumnFormula>
    </tableColumn>
    <tableColumn id="8" xr3:uid="{C055C994-BD8A-4BBD-B9A5-4A479F48D437}" name="Discount" dataDxfId="51" dataCellStyle="Porcentagem"/>
    <tableColumn id="9" xr3:uid="{13E0F633-0811-42CB-A296-CF5A47E8192F}" name="Deliver" dataDxfId="50"/>
    <tableColumn id="10" xr3:uid="{59B79E54-5BEB-49A2-B5B0-FC9BF01ADC38}" name="Delivery Value" dataDxfId="49" dataCellStyle="Moeda">
      <calculatedColumnFormula>IFERROR(IF(Tabela58[[#This Row],[Sale id]]=B6,0,VLOOKUP(Tabela58[[#This Row],[Deliver]],'Calculations and Tests'!B$5:C$9,2,FALSE)),0)</calculatedColumnFormula>
    </tableColumn>
    <tableColumn id="13" xr3:uid="{54ABFA84-7298-44F1-B77F-13B3F2510D45}" name="Total" dataDxfId="48" dataCellStyle="Moeda">
      <calculatedColumnFormula>Tabela58[[#This Row],[Subtotal]]*(1-Tabela58[[#This Row],[Discount]])+Tabela58[[#This Row],[Delivery Value]]</calculatedColumnFormula>
    </tableColumn>
    <tableColumn id="11" xr3:uid="{FBB3440E-4FE8-45B0-89F7-FB5C42F12B39}" name="Total for the Customer" dataDxfId="47" dataCellStyle="Moeda">
      <calculatedColumnFormula>IF(Tabela58[[#This Row],[Sale id]]=B6,"",SUMIF(Tabela58[Sale id],Tabela58[[#This Row],[Sale id]],Tabela58[Total]))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7185686-14B6-458B-8022-0C7B59CF33E2}" name="Tabela59" displayName="Tabela59" ref="B4:M27" totalsRowShown="0" headerRowDxfId="46" dataDxfId="45">
  <autoFilter ref="B4:M27" xr:uid="{57185686-14B6-458B-8022-0C7B59CF33E2}"/>
  <tableColumns count="12">
    <tableColumn id="1" xr3:uid="{CD598960-1D7B-447A-8F0D-A2BF3E1C2A4D}" name="Sale id" dataDxfId="44"/>
    <tableColumn id="2" xr3:uid="{4A38463E-6538-4696-8310-119AC573DDE4}" name="Date" dataDxfId="43"/>
    <tableColumn id="3" xr3:uid="{0504961E-BC08-4005-AEC9-59EB9C887A8F}" name="Product" dataDxfId="42"/>
    <tableColumn id="4" xr3:uid="{E743EE80-EE25-48B0-8BC9-934EF9376171}" name="Measure" dataDxfId="41">
      <calculatedColumnFormula>IFERROR(VLOOKUP(Tabela59[[#This Row],[Product]],'Calculations and Tests'!$J$5:$M$28,4,FALSE),"")</calculatedColumnFormula>
    </tableColumn>
    <tableColumn id="5" xr3:uid="{97E2B983-3CEC-4464-BB79-AFAE4541B560}" name="Quantity" dataDxfId="40"/>
    <tableColumn id="6" xr3:uid="{11C9F91F-72CF-42FB-B0EF-2204FF941D1A}" name="Unity Price" dataDxfId="39" dataCellStyle="Moeda">
      <calculatedColumnFormula>IFERROR(VLOOKUP(Tabela59[[#This Row],[Product]],'Calculations and Tests'!$J$5:$M$28,3,FALSE),0)</calculatedColumnFormula>
    </tableColumn>
    <tableColumn id="7" xr3:uid="{2A8FEF49-39F6-42E6-AA8A-83E46EC0CC4B}" name="Subtotal" dataDxfId="38" dataCellStyle="Moeda">
      <calculatedColumnFormula>Tabela59[[#This Row],[Quantity]]*Tabela59[[#This Row],[Unity Price]]</calculatedColumnFormula>
    </tableColumn>
    <tableColumn id="8" xr3:uid="{F459A92C-A234-4523-911C-E01A34B5BF39}" name="Discount" dataDxfId="37" dataCellStyle="Porcentagem"/>
    <tableColumn id="9" xr3:uid="{57058F5A-808A-467B-BED7-34398281E2DD}" name="Deliver" dataDxfId="36"/>
    <tableColumn id="10" xr3:uid="{2ABC9E11-CCBE-4D69-A8E1-F1E765ED0405}" name="Delivery Value" dataDxfId="35" dataCellStyle="Moeda">
      <calculatedColumnFormula>IFERROR(IF(Tabela59[[#This Row],[Sale id]]=B6,0,VLOOKUP(Tabela59[[#This Row],[Deliver]],'Calculations and Tests'!B$5:C$9,2,FALSE)),0)</calculatedColumnFormula>
    </tableColumn>
    <tableColumn id="13" xr3:uid="{AA0DF8A6-F709-4DBE-B788-40382443E40A}" name="Total" dataDxfId="34" dataCellStyle="Moeda">
      <calculatedColumnFormula>Tabela59[[#This Row],[Subtotal]]*(1-Tabela59[[#This Row],[Discount]])+Tabela59[[#This Row],[Delivery Value]]</calculatedColumnFormula>
    </tableColumn>
    <tableColumn id="11" xr3:uid="{2FCD329D-C2D9-43F8-92B3-8DCA538984EE}" name="Total for the Customer" dataDxfId="33" dataCellStyle="Moeda">
      <calculatedColumnFormula>IF(Tabela59[[#This Row],[Sale id]]=B6,"",SUMIF(Tabela59[Sale id],Tabela59[[#This Row],[Sale id]],Tabela59[Total]))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6D14FC4-37D1-415D-AAD4-A5409C75C76A}" name="Tabela510" displayName="Tabela510" ref="B4:M27" totalsRowShown="0" headerRowDxfId="32" dataDxfId="31">
  <autoFilter ref="B4:M27" xr:uid="{06D14FC4-37D1-415D-AAD4-A5409C75C76A}"/>
  <tableColumns count="12">
    <tableColumn id="1" xr3:uid="{FD62D945-A0C6-4517-B7BF-E1CB07D0B43D}" name="Sale id" dataDxfId="30"/>
    <tableColumn id="2" xr3:uid="{9CD29B35-4C65-41F6-997F-EB202FFDFCE6}" name="Date" dataDxfId="29"/>
    <tableColumn id="3" xr3:uid="{4FEEAF1E-5278-4873-8EDC-B36AB4AFB1B2}" name="Product" dataDxfId="28"/>
    <tableColumn id="4" xr3:uid="{180368D8-BFE4-4C3A-859C-BDA7A36F1433}" name="Measure" dataDxfId="27">
      <calculatedColumnFormula>IFERROR(VLOOKUP(Tabela510[[#This Row],[Product]],'Calculations and Tests'!$J$5:$M$28,4,FALSE),"")</calculatedColumnFormula>
    </tableColumn>
    <tableColumn id="5" xr3:uid="{45723AF6-A114-41AF-904D-4A8643A8E4F4}" name="Quantity" dataDxfId="26"/>
    <tableColumn id="6" xr3:uid="{0E786079-1404-4629-ABCF-48746C0CA899}" name="Unity Price" dataDxfId="25" dataCellStyle="Moeda">
      <calculatedColumnFormula>IFERROR(VLOOKUP(Tabela510[[#This Row],[Product]],'Calculations and Tests'!$J$5:$M$28,3,FALSE),0)</calculatedColumnFormula>
    </tableColumn>
    <tableColumn id="7" xr3:uid="{EFACAFA0-B895-45FB-917C-AE20D60F8BEE}" name="Subtotal" dataDxfId="24" dataCellStyle="Moeda">
      <calculatedColumnFormula>Tabela510[[#This Row],[Quantity]]*Tabela510[[#This Row],[Unity Price]]</calculatedColumnFormula>
    </tableColumn>
    <tableColumn id="8" xr3:uid="{C7B131F9-9BC5-4BF1-8B8D-8C83CA862200}" name="Discount" dataDxfId="23" dataCellStyle="Porcentagem"/>
    <tableColumn id="9" xr3:uid="{1B04A4AC-59A6-4796-91C7-D55BDC1868FD}" name="Deliver" dataDxfId="22"/>
    <tableColumn id="10" xr3:uid="{5BD61932-5E23-46DC-BB4B-4E01521EFFC0}" name="Delivery Value" dataDxfId="21" dataCellStyle="Moeda">
      <calculatedColumnFormula>IFERROR(IF(Tabela510[[#This Row],[Sale id]]=B6,0,VLOOKUP(Tabela510[[#This Row],[Deliver]],'Calculations and Tests'!B$5:C$9,2,FALSE)),0)</calculatedColumnFormula>
    </tableColumn>
    <tableColumn id="13" xr3:uid="{8A5EC8F3-0EEC-444D-AE95-7AA63873EF0D}" name="Total" dataDxfId="20" dataCellStyle="Moeda">
      <calculatedColumnFormula>Tabela59[[#This Row],[Subtotal]]*(1-Tabela59[[#This Row],[Discount]])+Tabela59[[#This Row],[Delivery Value]]</calculatedColumnFormula>
    </tableColumn>
    <tableColumn id="11" xr3:uid="{3E83F2FD-76D2-44C6-A6C9-D38D726FFCE2}" name="Total for the Customer" dataDxfId="19" dataCellStyle="Moe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05673AE-F14A-4485-AC99-95F7D8192E3C}" name="Tabela511" displayName="Tabela511" ref="B4:M27" totalsRowShown="0" headerRowDxfId="18" dataDxfId="17">
  <autoFilter ref="B4:M27" xr:uid="{F05673AE-F14A-4485-AC99-95F7D8192E3C}"/>
  <tableColumns count="12">
    <tableColumn id="1" xr3:uid="{71F03F7F-9F3B-460F-83FE-9D0415790A73}" name="Sale id" dataDxfId="16"/>
    <tableColumn id="2" xr3:uid="{6706C806-4677-4D09-B3F4-08F35E3BCA73}" name="Date" dataDxfId="15"/>
    <tableColumn id="3" xr3:uid="{0205024F-0280-4526-9A61-51105034BFA9}" name="Product" dataDxfId="14"/>
    <tableColumn id="4" xr3:uid="{A4816FD3-5EBC-493C-885D-294AB3F62B4A}" name="Measure" dataDxfId="13">
      <calculatedColumnFormula>IFERROR(VLOOKUP(Tabela511[[#This Row],[Product]],'Calculations and Tests'!$J$5:$M$28,4,FALSE),"")</calculatedColumnFormula>
    </tableColumn>
    <tableColumn id="5" xr3:uid="{E5D55712-CC61-4935-AEB3-F0EBE19A13E1}" name="Quantity" dataDxfId="12"/>
    <tableColumn id="6" xr3:uid="{7BE1D37B-42A1-412E-BE99-ED9C08F06596}" name="Unity Price" dataDxfId="11" dataCellStyle="Moeda">
      <calculatedColumnFormula>IFERROR(VLOOKUP(Tabela511[[#This Row],[Product]],'Calculations and Tests'!$J$5:$M$28,3,FALSE),0)</calculatedColumnFormula>
    </tableColumn>
    <tableColumn id="7" xr3:uid="{669B05AE-8B42-40AA-BC57-F6B1AFD8F61B}" name="Subtotal" dataDxfId="10" dataCellStyle="Moeda">
      <calculatedColumnFormula>Tabela511[[#This Row],[Quantity]]*Tabela511[[#This Row],[Unity Price]]</calculatedColumnFormula>
    </tableColumn>
    <tableColumn id="8" xr3:uid="{DED0DE22-0ECD-499F-9C6A-3EE17D4B4D0F}" name="Discount" dataDxfId="9" dataCellStyle="Porcentagem"/>
    <tableColumn id="9" xr3:uid="{0E43EF2B-7767-4B92-8583-4046A9522D36}" name="Deliver" dataDxfId="8"/>
    <tableColumn id="10" xr3:uid="{42B33C01-6C38-470B-BEDD-FB41734EA796}" name="Delivery Value" dataDxfId="7" dataCellStyle="Moeda">
      <calculatedColumnFormula>IFERROR(IF(Tabela511[[#This Row],[Sale id]]=B6,0,VLOOKUP(Tabela511[[#This Row],[Deliver]],'Calculations and Tests'!B$5:C$9,2,FALSE)),0)</calculatedColumnFormula>
    </tableColumn>
    <tableColumn id="13" xr3:uid="{E29F9E55-D448-41E5-9FED-0A04735D8EEC}" name="Total" dataDxfId="6" dataCellStyle="Moeda">
      <calculatedColumnFormula>Tabela59[[#This Row],[Subtotal]]*(1-Tabela59[[#This Row],[Discount]])+Tabela59[[#This Row],[Delivery Value]]</calculatedColumnFormula>
    </tableColumn>
    <tableColumn id="11" xr3:uid="{B56CD33B-482A-4F31-8773-047C8E2F49DD}" name="Total for the Customer" dataDxfId="5" dataCellStyle="Moeda">
      <calculatedColumnFormula>IF(Tabela59[[#This Row],[Sale id]]=B6,"",SUMIF(Tabela59[Sale id],Tabela59[[#This Row],[Sale id]],Tabela59[Total]))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zoomScaleNormal="10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35"/>
  <sheetViews>
    <sheetView showGridLines="0" workbookViewId="0"/>
  </sheetViews>
  <sheetFormatPr defaultRowHeight="15" x14ac:dyDescent="0.25"/>
  <cols>
    <col min="2" max="2" width="51.42578125" bestFit="1" customWidth="1"/>
    <col min="3" max="3" width="26.5703125" bestFit="1" customWidth="1"/>
    <col min="4" max="4" width="17.7109375" customWidth="1"/>
    <col min="5" max="5" width="27.42578125" customWidth="1"/>
    <col min="6" max="6" width="20.5703125" customWidth="1"/>
    <col min="7" max="7" width="19.5703125" customWidth="1"/>
    <col min="9" max="9" width="19.85546875" bestFit="1" customWidth="1"/>
  </cols>
  <sheetData>
    <row r="2" spans="2:7" s="1" customFormat="1" ht="27.95" customHeight="1" x14ac:dyDescent="0.25">
      <c r="B2" s="2" t="s">
        <v>44</v>
      </c>
    </row>
    <row r="3" spans="2:7" ht="29.25" customHeight="1" x14ac:dyDescent="0.25"/>
    <row r="4" spans="2:7" x14ac:dyDescent="0.25">
      <c r="B4" s="3" t="s">
        <v>56</v>
      </c>
      <c r="C4" s="3" t="s">
        <v>57</v>
      </c>
      <c r="D4" s="3" t="s">
        <v>58</v>
      </c>
      <c r="E4" s="3" t="s">
        <v>59</v>
      </c>
      <c r="F4" s="3" t="s">
        <v>60</v>
      </c>
      <c r="G4" s="3" t="s">
        <v>61</v>
      </c>
    </row>
    <row r="5" spans="2:7" x14ac:dyDescent="0.25">
      <c r="B5" t="s">
        <v>65</v>
      </c>
      <c r="F5" s="4"/>
      <c r="G5" s="4">
        <v>1000</v>
      </c>
    </row>
    <row r="6" spans="2:7" x14ac:dyDescent="0.25">
      <c r="B6" t="s">
        <v>66</v>
      </c>
      <c r="F6" s="4"/>
      <c r="G6" s="4">
        <f>SUM(F7:F11)</f>
        <v>17500</v>
      </c>
    </row>
    <row r="7" spans="2:7" x14ac:dyDescent="0.25">
      <c r="C7" t="s">
        <v>67</v>
      </c>
      <c r="F7" s="4">
        <v>10000</v>
      </c>
      <c r="G7" s="4"/>
    </row>
    <row r="8" spans="2:7" x14ac:dyDescent="0.25">
      <c r="C8" t="s">
        <v>68</v>
      </c>
      <c r="F8" s="4">
        <v>500</v>
      </c>
      <c r="G8" s="4"/>
    </row>
    <row r="9" spans="2:7" x14ac:dyDescent="0.25">
      <c r="C9" t="s">
        <v>69</v>
      </c>
      <c r="F9" s="4">
        <v>3000</v>
      </c>
      <c r="G9" s="4"/>
    </row>
    <row r="10" spans="2:7" x14ac:dyDescent="0.25">
      <c r="C10" t="s">
        <v>71</v>
      </c>
      <c r="F10" s="4">
        <v>2500</v>
      </c>
      <c r="G10" s="4"/>
    </row>
    <row r="11" spans="2:7" x14ac:dyDescent="0.25">
      <c r="C11" t="s">
        <v>70</v>
      </c>
      <c r="E11" t="s">
        <v>72</v>
      </c>
      <c r="F11" s="4">
        <v>1500</v>
      </c>
      <c r="G11" s="4"/>
    </row>
    <row r="12" spans="2:7" x14ac:dyDescent="0.25">
      <c r="B12" t="s">
        <v>73</v>
      </c>
      <c r="F12" s="4"/>
      <c r="G12" s="4">
        <v>900</v>
      </c>
    </row>
    <row r="13" spans="2:7" x14ac:dyDescent="0.25">
      <c r="B13" t="s">
        <v>69</v>
      </c>
      <c r="F13" s="4"/>
      <c r="G13" s="4">
        <v>6000</v>
      </c>
    </row>
    <row r="14" spans="2:7" x14ac:dyDescent="0.25">
      <c r="B14" t="s">
        <v>56</v>
      </c>
      <c r="F14" s="4"/>
      <c r="G14" s="4">
        <f>SUM(F15:F19)</f>
        <v>5300</v>
      </c>
    </row>
    <row r="15" spans="2:7" x14ac:dyDescent="0.25">
      <c r="C15" t="s">
        <v>74</v>
      </c>
      <c r="F15" s="4">
        <v>800</v>
      </c>
      <c r="G15" s="4"/>
    </row>
    <row r="16" spans="2:7" x14ac:dyDescent="0.25">
      <c r="C16" t="s">
        <v>75</v>
      </c>
      <c r="F16" s="4">
        <v>3200</v>
      </c>
      <c r="G16" s="4"/>
    </row>
    <row r="17" spans="2:7" x14ac:dyDescent="0.25">
      <c r="C17" t="s">
        <v>76</v>
      </c>
      <c r="F17" s="4">
        <v>500</v>
      </c>
      <c r="G17" s="4"/>
    </row>
    <row r="18" spans="2:7" x14ac:dyDescent="0.25">
      <c r="C18" t="s">
        <v>77</v>
      </c>
      <c r="F18" s="4">
        <v>800</v>
      </c>
      <c r="G18" s="4"/>
    </row>
    <row r="19" spans="2:7" x14ac:dyDescent="0.25">
      <c r="C19" t="s">
        <v>70</v>
      </c>
      <c r="F19" s="4">
        <v>0</v>
      </c>
      <c r="G19" s="4"/>
    </row>
    <row r="20" spans="2:7" x14ac:dyDescent="0.25">
      <c r="B20" t="s">
        <v>78</v>
      </c>
      <c r="F20" s="4"/>
      <c r="G20" s="4">
        <v>300</v>
      </c>
    </row>
    <row r="21" spans="2:7" x14ac:dyDescent="0.25">
      <c r="B21" t="s">
        <v>79</v>
      </c>
      <c r="F21" s="4"/>
      <c r="G21" s="4">
        <f>SUM(F22:F27)</f>
        <v>11950</v>
      </c>
    </row>
    <row r="22" spans="2:7" x14ac:dyDescent="0.25">
      <c r="C22" t="s">
        <v>80</v>
      </c>
      <c r="F22" s="4">
        <v>1650</v>
      </c>
      <c r="G22" s="4"/>
    </row>
    <row r="23" spans="2:7" x14ac:dyDescent="0.25">
      <c r="C23" t="s">
        <v>81</v>
      </c>
      <c r="F23" s="4">
        <v>3000</v>
      </c>
      <c r="G23" s="4"/>
    </row>
    <row r="24" spans="2:7" x14ac:dyDescent="0.25">
      <c r="C24" t="s">
        <v>82</v>
      </c>
      <c r="F24" s="4">
        <v>3000</v>
      </c>
      <c r="G24" s="4"/>
    </row>
    <row r="25" spans="2:7" x14ac:dyDescent="0.25">
      <c r="C25" t="s">
        <v>0</v>
      </c>
      <c r="F25" s="4">
        <v>2700</v>
      </c>
      <c r="G25" s="4"/>
    </row>
    <row r="26" spans="2:7" x14ac:dyDescent="0.25">
      <c r="C26" t="s">
        <v>83</v>
      </c>
      <c r="F26" s="4">
        <v>1500</v>
      </c>
      <c r="G26" s="4"/>
    </row>
    <row r="27" spans="2:7" x14ac:dyDescent="0.25">
      <c r="C27" t="s">
        <v>70</v>
      </c>
      <c r="F27" s="4">
        <v>100</v>
      </c>
      <c r="G27" s="4"/>
    </row>
    <row r="28" spans="2:7" x14ac:dyDescent="0.25">
      <c r="B28" t="s">
        <v>84</v>
      </c>
      <c r="F28" s="4"/>
      <c r="G28" s="4">
        <v>1500</v>
      </c>
    </row>
    <row r="29" spans="2:7" x14ac:dyDescent="0.25">
      <c r="B29" t="s">
        <v>70</v>
      </c>
      <c r="F29" s="4"/>
      <c r="G29" s="4">
        <v>950</v>
      </c>
    </row>
    <row r="31" spans="2:7" ht="21" x14ac:dyDescent="0.35">
      <c r="B31" s="10" t="s">
        <v>62</v>
      </c>
      <c r="C31" s="10"/>
      <c r="D31" s="10"/>
      <c r="E31" s="10"/>
      <c r="F31" s="10"/>
      <c r="G31" s="11">
        <f>SUM(Tabela1[Final Vaue])</f>
        <v>45400</v>
      </c>
    </row>
    <row r="33" spans="2:8" ht="21" x14ac:dyDescent="0.35">
      <c r="B33" s="10" t="s">
        <v>63</v>
      </c>
      <c r="C33" s="10"/>
      <c r="D33" s="10"/>
      <c r="E33" s="10"/>
      <c r="F33" s="10"/>
      <c r="G33" s="11">
        <f>SUM(Tabela2[Aomunt Paid])</f>
        <v>454.09000000000003</v>
      </c>
      <c r="H33" s="12"/>
    </row>
    <row r="34" spans="2:8" x14ac:dyDescent="0.25">
      <c r="B34" s="13"/>
      <c r="C34" s="13"/>
      <c r="D34" s="13"/>
      <c r="E34" s="13"/>
      <c r="F34" s="13"/>
      <c r="G34" s="13"/>
    </row>
    <row r="35" spans="2:8" ht="21" x14ac:dyDescent="0.35">
      <c r="B35" s="10" t="s">
        <v>64</v>
      </c>
      <c r="C35" s="10"/>
      <c r="D35" s="10"/>
      <c r="E35" s="10"/>
      <c r="F35" s="10"/>
      <c r="G35" s="11">
        <f>SUM(G31+G33)</f>
        <v>45854.09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28"/>
  <sheetViews>
    <sheetView showGridLines="0" workbookViewId="0">
      <selection activeCell="B5" sqref="B5"/>
    </sheetView>
  </sheetViews>
  <sheetFormatPr defaultRowHeight="15" x14ac:dyDescent="0.25"/>
  <cols>
    <col min="2" max="2" width="33.28515625" bestFit="1" customWidth="1"/>
    <col min="3" max="3" width="30.85546875" bestFit="1" customWidth="1"/>
    <col min="4" max="4" width="18.85546875" customWidth="1"/>
    <col min="5" max="5" width="10.140625" bestFit="1" customWidth="1"/>
    <col min="6" max="6" width="13.7109375" bestFit="1" customWidth="1"/>
    <col min="7" max="7" width="16.140625" bestFit="1" customWidth="1"/>
    <col min="8" max="8" width="11.5703125" bestFit="1" customWidth="1"/>
    <col min="9" max="9" width="19.85546875" bestFit="1" customWidth="1"/>
  </cols>
  <sheetData>
    <row r="2" spans="2:9" s="1" customFormat="1" ht="27.95" customHeight="1" x14ac:dyDescent="0.25">
      <c r="B2" s="2" t="s">
        <v>49</v>
      </c>
    </row>
    <row r="3" spans="2:9" ht="29.25" customHeight="1" x14ac:dyDescent="0.25"/>
    <row r="4" spans="2:9" ht="15" customHeight="1" x14ac:dyDescent="0.25">
      <c r="B4" t="s">
        <v>58</v>
      </c>
      <c r="C4" t="s">
        <v>85</v>
      </c>
      <c r="D4" t="s">
        <v>86</v>
      </c>
      <c r="E4" t="s">
        <v>87</v>
      </c>
      <c r="F4" t="s">
        <v>88</v>
      </c>
      <c r="G4" t="s">
        <v>89</v>
      </c>
      <c r="H4" t="s">
        <v>90</v>
      </c>
      <c r="I4" t="s">
        <v>91</v>
      </c>
    </row>
    <row r="5" spans="2:9" ht="15" customHeight="1" x14ac:dyDescent="0.25">
      <c r="B5" s="5">
        <v>42190</v>
      </c>
      <c r="C5" s="3" t="s">
        <v>26</v>
      </c>
      <c r="D5" s="3" t="s">
        <v>16</v>
      </c>
      <c r="E5" s="3" t="str">
        <f>IFERROR(VLOOKUP(Tabela2[[#This Row],[Goods]],'Calculations and Tests'!$J$5:$M$206,4,FALSE),"")</f>
        <v/>
      </c>
      <c r="F5" s="3">
        <v>50</v>
      </c>
      <c r="G5" s="6">
        <f>IFERROR(VLOOKUP(Tabela2[[#This Row],[Goods]],'Calculations and Tests'!$J$5:$M$206,2,FALSE),0)</f>
        <v>0</v>
      </c>
      <c r="H5" s="7"/>
      <c r="I5" s="6">
        <f>Tabela2[[#This Row],[Quantity]]*Tabela2[[#This Row],[Unit price]]*(1-Tabela2[[#This Row],[Discount]])</f>
        <v>0</v>
      </c>
    </row>
    <row r="6" spans="2:9" x14ac:dyDescent="0.25">
      <c r="B6" s="5">
        <v>42190</v>
      </c>
      <c r="C6" s="3" t="s">
        <v>27</v>
      </c>
      <c r="D6" s="3" t="s">
        <v>2</v>
      </c>
      <c r="E6" s="3" t="str">
        <f>IFERROR(VLOOKUP(Tabela2[[#This Row],[Goods]],'Calculations and Tests'!$J$5:$M$206,4,FALSE),"")</f>
        <v/>
      </c>
      <c r="F6" s="3">
        <v>120</v>
      </c>
      <c r="G6" s="6">
        <f>IFERROR(VLOOKUP(Tabela2[[#This Row],[Goods]],'Calculations and Tests'!$J$5:$M$206,2,FALSE),0)</f>
        <v>0</v>
      </c>
      <c r="H6" s="7"/>
      <c r="I6" s="6">
        <f>Tabela2[[#This Row],[Quantity]]*Tabela2[[#This Row],[Unit price]]*(1-Tabela2[[#This Row],[Discount]])</f>
        <v>0</v>
      </c>
    </row>
    <row r="7" spans="2:9" x14ac:dyDescent="0.25">
      <c r="B7" s="5">
        <v>42189</v>
      </c>
      <c r="C7" s="3" t="s">
        <v>27</v>
      </c>
      <c r="D7" s="3" t="s">
        <v>2</v>
      </c>
      <c r="E7" s="3" t="str">
        <f>IFERROR(VLOOKUP(Tabela2[[#This Row],[Goods]],'Calculations and Tests'!$J$5:$M$206,4,FALSE),"")</f>
        <v/>
      </c>
      <c r="F7" s="3">
        <v>150</v>
      </c>
      <c r="G7" s="6">
        <f>IFERROR(VLOOKUP(Tabela2[[#This Row],[Goods]],'Calculations and Tests'!$J$5:$M$206,2,FALSE),0)</f>
        <v>0</v>
      </c>
      <c r="H7" s="7"/>
      <c r="I7" s="6">
        <f>Tabela2[[#This Row],[Quantity]]*Tabela2[[#This Row],[Unit price]]*(1-Tabela2[[#This Row],[Discount]])</f>
        <v>0</v>
      </c>
    </row>
    <row r="8" spans="2:9" x14ac:dyDescent="0.25">
      <c r="B8" s="5">
        <v>42189</v>
      </c>
      <c r="C8" s="3" t="s">
        <v>27</v>
      </c>
      <c r="D8" s="3" t="s">
        <v>1</v>
      </c>
      <c r="E8" s="3" t="str">
        <f>IFERROR(VLOOKUP(Tabela2[[#This Row],[Goods]],'Calculations and Tests'!$J$5:$M$206,4,FALSE),"")</f>
        <v/>
      </c>
      <c r="F8" s="3">
        <v>150</v>
      </c>
      <c r="G8" s="6">
        <f>IFERROR(VLOOKUP(Tabela2[[#This Row],[Goods]],'Calculations and Tests'!$J$5:$M$206,2,FALSE),0)</f>
        <v>0</v>
      </c>
      <c r="H8" s="7"/>
      <c r="I8" s="6">
        <f>Tabela2[[#This Row],[Quantity]]*Tabela2[[#This Row],[Unit price]]*(1-Tabela2[[#This Row],[Discount]])</f>
        <v>0</v>
      </c>
    </row>
    <row r="9" spans="2:9" x14ac:dyDescent="0.25">
      <c r="B9" s="5">
        <v>42189</v>
      </c>
      <c r="C9" s="3" t="s">
        <v>28</v>
      </c>
      <c r="D9" s="3" t="s">
        <v>14</v>
      </c>
      <c r="E9" s="3" t="str">
        <f>IFERROR(VLOOKUP(Tabela2[[#This Row],[Goods]],'Calculations and Tests'!$J$5:$M$206,4,FALSE),"")</f>
        <v/>
      </c>
      <c r="F9" s="3">
        <v>100</v>
      </c>
      <c r="G9" s="6">
        <f>IFERROR(VLOOKUP(Tabela2[[#This Row],[Goods]],'Calculations and Tests'!$J$5:$M$206,2,FALSE),0)</f>
        <v>0</v>
      </c>
      <c r="H9" s="7"/>
      <c r="I9" s="6">
        <f>Tabela2[[#This Row],[Quantity]]*Tabela2[[#This Row],[Unit price]]*(1-Tabela2[[#This Row],[Discount]])</f>
        <v>0</v>
      </c>
    </row>
    <row r="10" spans="2:9" x14ac:dyDescent="0.25">
      <c r="B10" s="5">
        <v>42189</v>
      </c>
      <c r="C10" s="3" t="s">
        <v>28</v>
      </c>
      <c r="D10" s="3" t="s">
        <v>10</v>
      </c>
      <c r="E10" s="3" t="str">
        <f>IFERROR(VLOOKUP(Tabela2[[#This Row],[Goods]],'Calculations and Tests'!$J$5:$M$206,4,FALSE),"")</f>
        <v/>
      </c>
      <c r="F10" s="3">
        <v>200</v>
      </c>
      <c r="G10" s="6">
        <f>IFERROR(VLOOKUP(Tabela2[[#This Row],[Goods]],'Calculations and Tests'!$J$5:$M$206,2,FALSE),0)</f>
        <v>0</v>
      </c>
      <c r="H10" s="7"/>
      <c r="I10" s="6">
        <f>Tabela2[[#This Row],[Quantity]]*Tabela2[[#This Row],[Unit price]]*(1-Tabela2[[#This Row],[Discount]])</f>
        <v>0</v>
      </c>
    </row>
    <row r="11" spans="2:9" x14ac:dyDescent="0.25">
      <c r="B11" s="5">
        <v>42188</v>
      </c>
      <c r="C11" s="3" t="s">
        <v>29</v>
      </c>
      <c r="D11" s="3" t="s">
        <v>20</v>
      </c>
      <c r="E11" s="3" t="str">
        <f>IFERROR(VLOOKUP(Tabela2[[#This Row],[Goods]],'Calculations and Tests'!$J$5:$M$206,4,FALSE),"")</f>
        <v/>
      </c>
      <c r="F11" s="3">
        <v>100</v>
      </c>
      <c r="G11" s="6">
        <f>IFERROR(VLOOKUP(Tabela2[[#This Row],[Goods]],'Calculations and Tests'!$J$5:$M$206,2,FALSE),0)</f>
        <v>0</v>
      </c>
      <c r="H11" s="7"/>
      <c r="I11" s="6">
        <f>Tabela2[[#This Row],[Quantity]]*Tabela2[[#This Row],[Unit price]]*(1-Tabela2[[#This Row],[Discount]])</f>
        <v>0</v>
      </c>
    </row>
    <row r="12" spans="2:9" x14ac:dyDescent="0.25">
      <c r="B12" s="5">
        <v>42188</v>
      </c>
      <c r="C12" s="3" t="s">
        <v>30</v>
      </c>
      <c r="D12" s="3" t="s">
        <v>19</v>
      </c>
      <c r="E12" s="3" t="str">
        <f>IFERROR(VLOOKUP(Tabela2[[#This Row],[Goods]],'Calculations and Tests'!$J$5:$M$206,4,FALSE),"")</f>
        <v>Bar</v>
      </c>
      <c r="F12" s="3">
        <v>100</v>
      </c>
      <c r="G12" s="6">
        <f>IFERROR(VLOOKUP(Tabela2[[#This Row],[Goods]],'Calculations and Tests'!$J$5:$M$206,2,FALSE),0)</f>
        <v>4.5409000000000006</v>
      </c>
      <c r="H12" s="7"/>
      <c r="I12" s="6">
        <f>Tabela2[[#This Row],[Quantity]]*Tabela2[[#This Row],[Unit price]]*(1-Tabela2[[#This Row],[Discount]])</f>
        <v>454.09000000000003</v>
      </c>
    </row>
    <row r="13" spans="2:9" x14ac:dyDescent="0.25">
      <c r="B13" s="5">
        <v>42188</v>
      </c>
      <c r="C13" s="3" t="s">
        <v>27</v>
      </c>
      <c r="D13" s="3" t="s">
        <v>2</v>
      </c>
      <c r="E13" s="3" t="str">
        <f>IFERROR(VLOOKUP(Tabela2[[#This Row],[Goods]],'Calculations and Tests'!$J$5:$M$206,4,FALSE),"")</f>
        <v/>
      </c>
      <c r="F13" s="3">
        <v>300</v>
      </c>
      <c r="G13" s="6">
        <f>IFERROR(VLOOKUP(Tabela2[[#This Row],[Goods]],'Calculations and Tests'!$J$5:$M$206,2,FALSE),0)</f>
        <v>0</v>
      </c>
      <c r="H13" s="7"/>
      <c r="I13" s="6">
        <f>Tabela2[[#This Row],[Quantity]]*Tabela2[[#This Row],[Unit price]]*(1-Tabela2[[#This Row],[Discount]])</f>
        <v>0</v>
      </c>
    </row>
    <row r="14" spans="2:9" x14ac:dyDescent="0.25">
      <c r="B14" s="5">
        <v>42188</v>
      </c>
      <c r="C14" s="3" t="s">
        <v>27</v>
      </c>
      <c r="D14" s="3" t="s">
        <v>13</v>
      </c>
      <c r="E14" s="3" t="str">
        <f>IFERROR(VLOOKUP(Tabela2[[#This Row],[Goods]],'Calculations and Tests'!$J$5:$M$206,4,FALSE),"")</f>
        <v/>
      </c>
      <c r="F14" s="3">
        <v>50</v>
      </c>
      <c r="G14" s="6">
        <f>IFERROR(VLOOKUP(Tabela2[[#This Row],[Goods]],'Calculations and Tests'!$J$5:$M$206,2,FALSE),0)</f>
        <v>0</v>
      </c>
      <c r="H14" s="7"/>
      <c r="I14" s="6">
        <f>Tabela2[[#This Row],[Quantity]]*Tabela2[[#This Row],[Unit price]]*(1-Tabela2[[#This Row],[Discount]])</f>
        <v>0</v>
      </c>
    </row>
    <row r="15" spans="2:9" x14ac:dyDescent="0.25">
      <c r="B15" s="5">
        <v>42188</v>
      </c>
      <c r="C15" s="3" t="s">
        <v>31</v>
      </c>
      <c r="D15" s="3" t="s">
        <v>24</v>
      </c>
      <c r="E15" s="3" t="str">
        <f>IFERROR(VLOOKUP(Tabela2[[#This Row],[Goods]],'Calculations and Tests'!$J$5:$M$206,4,FALSE),"")</f>
        <v/>
      </c>
      <c r="F15" s="3">
        <v>300</v>
      </c>
      <c r="G15" s="6">
        <f>IFERROR(VLOOKUP(Tabela2[[#This Row],[Goods]],'Calculations and Tests'!$J$5:$M$206,2,FALSE),0)</f>
        <v>0</v>
      </c>
      <c r="H15" s="7"/>
      <c r="I15" s="6">
        <f>Tabela2[[#This Row],[Quantity]]*Tabela2[[#This Row],[Unit price]]*(1-Tabela2[[#This Row],[Discount]])</f>
        <v>0</v>
      </c>
    </row>
    <row r="16" spans="2:9" x14ac:dyDescent="0.25">
      <c r="B16" s="5">
        <v>42188</v>
      </c>
      <c r="C16" s="3" t="s">
        <v>30</v>
      </c>
      <c r="D16" s="3" t="s">
        <v>18</v>
      </c>
      <c r="E16" s="3" t="str">
        <f>IFERROR(VLOOKUP(Tabela2[[#This Row],[Goods]],'Calculations and Tests'!$J$5:$M$206,4,FALSE),"")</f>
        <v/>
      </c>
      <c r="F16" s="3">
        <v>100</v>
      </c>
      <c r="G16" s="6">
        <f>IFERROR(VLOOKUP(Tabela2[[#This Row],[Goods]],'Calculations and Tests'!$J$5:$M$206,2,FALSE),0)</f>
        <v>0</v>
      </c>
      <c r="H16" s="7"/>
      <c r="I16" s="6">
        <f>Tabela2[[#This Row],[Quantity]]*Tabela2[[#This Row],[Unit price]]*(1-Tabela2[[#This Row],[Discount]])</f>
        <v>0</v>
      </c>
    </row>
    <row r="17" spans="2:9" x14ac:dyDescent="0.25">
      <c r="B17" s="5">
        <v>42188</v>
      </c>
      <c r="C17" s="3" t="s">
        <v>28</v>
      </c>
      <c r="D17" s="3" t="s">
        <v>14</v>
      </c>
      <c r="E17" s="3" t="str">
        <f>IFERROR(VLOOKUP(Tabela2[[#This Row],[Goods]],'Calculations and Tests'!$J$5:$M$206,4,FALSE),"")</f>
        <v/>
      </c>
      <c r="F17" s="3">
        <v>100</v>
      </c>
      <c r="G17" s="6">
        <f>IFERROR(VLOOKUP(Tabela2[[#This Row],[Goods]],'Calculations and Tests'!$J$5:$M$206,2,FALSE),0)</f>
        <v>0</v>
      </c>
      <c r="H17" s="7"/>
      <c r="I17" s="6">
        <f>Tabela2[[#This Row],[Quantity]]*Tabela2[[#This Row],[Unit price]]*(1-Tabela2[[#This Row],[Discount]])</f>
        <v>0</v>
      </c>
    </row>
    <row r="18" spans="2:9" x14ac:dyDescent="0.25">
      <c r="B18" s="5">
        <v>42188</v>
      </c>
      <c r="C18" s="3" t="s">
        <v>32</v>
      </c>
      <c r="D18" s="3" t="s">
        <v>6</v>
      </c>
      <c r="E18" s="3" t="str">
        <f>IFERROR(VLOOKUP(Tabela2[[#This Row],[Goods]],'Calculations and Tests'!$J$5:$M$206,4,FALSE),"")</f>
        <v/>
      </c>
      <c r="F18" s="3">
        <v>110</v>
      </c>
      <c r="G18" s="6">
        <f>IFERROR(VLOOKUP(Tabela2[[#This Row],[Goods]],'Calculations and Tests'!$J$5:$M$206,2,FALSE),0)</f>
        <v>0</v>
      </c>
      <c r="H18" s="7"/>
      <c r="I18" s="6">
        <f>Tabela2[[#This Row],[Quantity]]*Tabela2[[#This Row],[Unit price]]*(1-Tabela2[[#This Row],[Discount]])</f>
        <v>0</v>
      </c>
    </row>
    <row r="19" spans="2:9" x14ac:dyDescent="0.25">
      <c r="B19" s="5">
        <v>42188</v>
      </c>
      <c r="C19" s="3" t="s">
        <v>33</v>
      </c>
      <c r="D19" s="3" t="s">
        <v>7</v>
      </c>
      <c r="E19" s="3" t="str">
        <f>IFERROR(VLOOKUP(Tabela2[[#This Row],[Goods]],'Calculations and Tests'!$J$5:$M$206,4,FALSE),"")</f>
        <v/>
      </c>
      <c r="F19" s="3">
        <v>50</v>
      </c>
      <c r="G19" s="6">
        <f>IFERROR(VLOOKUP(Tabela2[[#This Row],[Goods]],'Calculations and Tests'!$J$5:$M$206,2,FALSE),0)</f>
        <v>0</v>
      </c>
      <c r="H19" s="7"/>
      <c r="I19" s="6">
        <f>Tabela2[[#This Row],[Quantity]]*Tabela2[[#This Row],[Unit price]]*(1-Tabela2[[#This Row],[Discount]])</f>
        <v>0</v>
      </c>
    </row>
    <row r="20" spans="2:9" x14ac:dyDescent="0.25">
      <c r="B20" s="5">
        <v>42187</v>
      </c>
      <c r="C20" s="3" t="s">
        <v>27</v>
      </c>
      <c r="D20" s="3" t="s">
        <v>1</v>
      </c>
      <c r="E20" s="3" t="str">
        <f>IFERROR(VLOOKUP(Tabela2[[#This Row],[Goods]],'Calculations and Tests'!$J$5:$M$206,4,FALSE),"")</f>
        <v/>
      </c>
      <c r="F20" s="3">
        <v>300</v>
      </c>
      <c r="G20" s="6">
        <f>IFERROR(VLOOKUP(Tabela2[[#This Row],[Goods]],'Calculations and Tests'!$J$5:$M$206,2,FALSE),0)</f>
        <v>0</v>
      </c>
      <c r="H20" s="7"/>
      <c r="I20" s="6">
        <f>Tabela2[[#This Row],[Quantity]]*Tabela2[[#This Row],[Unit price]]*(1-Tabela2[[#This Row],[Discount]])</f>
        <v>0</v>
      </c>
    </row>
    <row r="21" spans="2:9" x14ac:dyDescent="0.25">
      <c r="B21" s="5">
        <v>42187</v>
      </c>
      <c r="C21" s="3" t="s">
        <v>26</v>
      </c>
      <c r="D21" s="3" t="s">
        <v>4</v>
      </c>
      <c r="E21" s="3" t="str">
        <f>IFERROR(VLOOKUP(Tabela2[[#This Row],[Goods]],'Calculations and Tests'!$J$5:$M$206,4,FALSE),"")</f>
        <v/>
      </c>
      <c r="F21" s="3">
        <v>150</v>
      </c>
      <c r="G21" s="6">
        <f>IFERROR(VLOOKUP(Tabela2[[#This Row],[Goods]],'Calculations and Tests'!$J$5:$M$206,2,FALSE),0)</f>
        <v>0</v>
      </c>
      <c r="H21" s="7"/>
      <c r="I21" s="6">
        <f>Tabela2[[#This Row],[Quantity]]*Tabela2[[#This Row],[Unit price]]*(1-Tabela2[[#This Row],[Discount]])</f>
        <v>0</v>
      </c>
    </row>
    <row r="22" spans="2:9" x14ac:dyDescent="0.25">
      <c r="B22" s="5">
        <v>42187</v>
      </c>
      <c r="C22" s="3" t="s">
        <v>34</v>
      </c>
      <c r="D22" s="3" t="s">
        <v>11</v>
      </c>
      <c r="E22" s="3" t="str">
        <f>IFERROR(VLOOKUP(Tabela2[[#This Row],[Goods]],'Calculations and Tests'!$J$5:$M$206,4,FALSE),"")</f>
        <v/>
      </c>
      <c r="F22" s="3">
        <v>150</v>
      </c>
      <c r="G22" s="6">
        <f>IFERROR(VLOOKUP(Tabela2[[#This Row],[Goods]],'Calculations and Tests'!$J$5:$M$206,2,FALSE),0)</f>
        <v>0</v>
      </c>
      <c r="H22" s="7"/>
      <c r="I22" s="6">
        <f>Tabela2[[#This Row],[Quantity]]*Tabela2[[#This Row],[Unit price]]*(1-Tabela2[[#This Row],[Discount]])</f>
        <v>0</v>
      </c>
    </row>
    <row r="23" spans="2:9" x14ac:dyDescent="0.25">
      <c r="B23" s="5">
        <v>42187</v>
      </c>
      <c r="C23" s="3" t="s">
        <v>35</v>
      </c>
      <c r="D23" s="3" t="s">
        <v>5</v>
      </c>
      <c r="E23" s="3" t="str">
        <f>IFERROR(VLOOKUP(Tabela2[[#This Row],[Goods]],'Calculations and Tests'!$J$5:$M$206,4,FALSE),"")</f>
        <v/>
      </c>
      <c r="F23" s="3">
        <v>150</v>
      </c>
      <c r="G23" s="6">
        <f>IFERROR(VLOOKUP(Tabela2[[#This Row],[Goods]],'Calculations and Tests'!$J$5:$M$206,2,FALSE),0)</f>
        <v>0</v>
      </c>
      <c r="H23" s="7"/>
      <c r="I23" s="6">
        <f>Tabela2[[#This Row],[Quantity]]*Tabela2[[#This Row],[Unit price]]*(1-Tabela2[[#This Row],[Discount]])</f>
        <v>0</v>
      </c>
    </row>
    <row r="24" spans="2:9" x14ac:dyDescent="0.25">
      <c r="B24" s="5">
        <v>42187</v>
      </c>
      <c r="C24" s="3" t="s">
        <v>28</v>
      </c>
      <c r="D24" s="3" t="s">
        <v>14</v>
      </c>
      <c r="E24" s="3" t="str">
        <f>IFERROR(VLOOKUP(Tabela2[[#This Row],[Goods]],'Calculations and Tests'!$J$5:$M$206,4,FALSE),"")</f>
        <v/>
      </c>
      <c r="F24" s="3">
        <v>100</v>
      </c>
      <c r="G24" s="6">
        <f>IFERROR(VLOOKUP(Tabela2[[#This Row],[Goods]],'Calculations and Tests'!$J$5:$M$206,2,FALSE),0)</f>
        <v>0</v>
      </c>
      <c r="H24" s="7"/>
      <c r="I24" s="6">
        <f>Tabela2[[#This Row],[Quantity]]*Tabela2[[#This Row],[Unit price]]*(1-Tabela2[[#This Row],[Discount]])</f>
        <v>0</v>
      </c>
    </row>
    <row r="25" spans="2:9" x14ac:dyDescent="0.25">
      <c r="B25" s="5">
        <v>42187</v>
      </c>
      <c r="C25" s="3" t="s">
        <v>28</v>
      </c>
      <c r="D25" s="3" t="s">
        <v>9</v>
      </c>
      <c r="E25" s="3" t="str">
        <f>IFERROR(VLOOKUP(Tabela2[[#This Row],[Goods]],'Calculations and Tests'!$J$5:$M$206,4,FALSE),"")</f>
        <v/>
      </c>
      <c r="F25" s="3">
        <v>80</v>
      </c>
      <c r="G25" s="6">
        <f>IFERROR(VLOOKUP(Tabela2[[#This Row],[Goods]],'Calculations and Tests'!$J$5:$M$206,2,FALSE),0)</f>
        <v>0</v>
      </c>
      <c r="H25" s="7"/>
      <c r="I25" s="6">
        <f>Tabela2[[#This Row],[Quantity]]*Tabela2[[#This Row],[Unit price]]*(1-Tabela2[[#This Row],[Discount]])</f>
        <v>0</v>
      </c>
    </row>
    <row r="26" spans="2:9" x14ac:dyDescent="0.25">
      <c r="B26" s="5">
        <v>42187</v>
      </c>
      <c r="C26" s="3" t="s">
        <v>26</v>
      </c>
      <c r="D26" s="3" t="s">
        <v>16</v>
      </c>
      <c r="E26" s="3" t="str">
        <f>IFERROR(VLOOKUP(Tabela2[[#This Row],[Goods]],'Calculations and Tests'!$J$5:$M$206,4,FALSE),"")</f>
        <v/>
      </c>
      <c r="F26" s="3">
        <v>100</v>
      </c>
      <c r="G26" s="6">
        <f>IFERROR(VLOOKUP(Tabela2[[#This Row],[Goods]],'Calculations and Tests'!$J$5:$M$206,2,FALSE),0)</f>
        <v>0</v>
      </c>
      <c r="H26" s="7"/>
      <c r="I26" s="6">
        <f>Tabela2[[#This Row],[Quantity]]*Tabela2[[#This Row],[Unit price]]*(1-Tabela2[[#This Row],[Discount]])</f>
        <v>0</v>
      </c>
    </row>
    <row r="27" spans="2:9" x14ac:dyDescent="0.25">
      <c r="B27" s="9"/>
    </row>
    <row r="28" spans="2:9" ht="21" x14ac:dyDescent="0.35">
      <c r="B28" s="10" t="s">
        <v>63</v>
      </c>
      <c r="C28" s="10"/>
      <c r="D28" s="10"/>
      <c r="E28" s="10"/>
      <c r="F28" s="10"/>
      <c r="G28" s="10"/>
      <c r="H28" s="10"/>
      <c r="I28" s="11">
        <f>SUM(Tabela2[Aomunt Paid])</f>
        <v>454.09000000000003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H12"/>
  <sheetViews>
    <sheetView showGridLines="0" workbookViewId="0"/>
  </sheetViews>
  <sheetFormatPr defaultRowHeight="15" x14ac:dyDescent="0.25"/>
  <cols>
    <col min="2" max="2" width="54.85546875" bestFit="1" customWidth="1"/>
    <col min="3" max="3" width="17" customWidth="1"/>
    <col min="4" max="4" width="56.140625" customWidth="1"/>
    <col min="5" max="5" width="24.7109375" customWidth="1"/>
  </cols>
  <sheetData>
    <row r="2" spans="2:8" s="1" customFormat="1" ht="27.95" customHeight="1" x14ac:dyDescent="0.25">
      <c r="B2" s="2" t="s">
        <v>48</v>
      </c>
    </row>
    <row r="3" spans="2:8" ht="29.25" customHeight="1" x14ac:dyDescent="0.25"/>
    <row r="4" spans="2:8" x14ac:dyDescent="0.25">
      <c r="B4" s="3" t="s">
        <v>48</v>
      </c>
      <c r="C4" s="3" t="s">
        <v>58</v>
      </c>
      <c r="D4" s="3" t="s">
        <v>92</v>
      </c>
      <c r="E4" s="3" t="s">
        <v>93</v>
      </c>
    </row>
    <row r="5" spans="2:8" ht="39.75" customHeight="1" x14ac:dyDescent="0.25">
      <c r="B5" s="3" t="s">
        <v>94</v>
      </c>
      <c r="C5" s="5">
        <v>42129</v>
      </c>
      <c r="D5" s="14" t="s">
        <v>96</v>
      </c>
      <c r="E5" s="6">
        <v>400000</v>
      </c>
    </row>
    <row r="6" spans="2:8" ht="39.75" customHeight="1" x14ac:dyDescent="0.25">
      <c r="B6" s="3" t="s">
        <v>83</v>
      </c>
      <c r="C6" s="5"/>
      <c r="D6" s="14"/>
      <c r="E6" s="6">
        <v>0</v>
      </c>
    </row>
    <row r="7" spans="2:8" ht="39.75" customHeight="1" x14ac:dyDescent="0.25">
      <c r="B7" s="3" t="s">
        <v>97</v>
      </c>
      <c r="C7" s="5"/>
      <c r="D7" s="14"/>
      <c r="E7" s="6">
        <v>0</v>
      </c>
    </row>
    <row r="8" spans="2:8" ht="39.75" customHeight="1" x14ac:dyDescent="0.25">
      <c r="B8" s="3" t="s">
        <v>95</v>
      </c>
      <c r="C8" s="5"/>
      <c r="D8" s="14"/>
      <c r="E8" s="6">
        <v>0</v>
      </c>
    </row>
    <row r="9" spans="2:8" ht="39.75" customHeight="1" x14ac:dyDescent="0.25">
      <c r="B9" s="3" t="s">
        <v>70</v>
      </c>
      <c r="C9" s="5"/>
      <c r="D9" s="14"/>
      <c r="E9" s="6">
        <v>0</v>
      </c>
    </row>
    <row r="11" spans="2:8" ht="21" x14ac:dyDescent="0.35">
      <c r="B11" s="10" t="s">
        <v>98</v>
      </c>
      <c r="C11" s="10"/>
      <c r="D11" s="10"/>
      <c r="E11" s="11">
        <f>SUM(Tabela3[Value])</f>
        <v>400000</v>
      </c>
      <c r="F11" s="12"/>
      <c r="G11" s="12"/>
      <c r="H11" s="12"/>
    </row>
    <row r="12" spans="2:8" x14ac:dyDescent="0.25">
      <c r="E12" t="s">
        <v>36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H28"/>
  <sheetViews>
    <sheetView showGridLines="0" workbookViewId="0"/>
  </sheetViews>
  <sheetFormatPr defaultRowHeight="15" x14ac:dyDescent="0.25"/>
  <cols>
    <col min="2" max="2" width="31" bestFit="1" customWidth="1"/>
    <col min="3" max="3" width="23.2851562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5.5703125" customWidth="1"/>
  </cols>
  <sheetData>
    <row r="2" spans="2:8" s="16" customFormat="1" ht="27.95" customHeight="1" x14ac:dyDescent="0.25">
      <c r="B2" s="15" t="s">
        <v>47</v>
      </c>
    </row>
    <row r="3" spans="2:8" ht="29.25" customHeight="1" x14ac:dyDescent="0.25"/>
    <row r="4" spans="2:8" x14ac:dyDescent="0.25">
      <c r="B4" s="3" t="s">
        <v>99</v>
      </c>
      <c r="C4" s="3" t="s">
        <v>100</v>
      </c>
      <c r="D4" s="3" t="s">
        <v>101</v>
      </c>
      <c r="E4" s="3" t="s">
        <v>102</v>
      </c>
      <c r="F4" s="3" t="s">
        <v>103</v>
      </c>
      <c r="G4" s="3" t="s">
        <v>104</v>
      </c>
      <c r="H4" s="3" t="s">
        <v>105</v>
      </c>
    </row>
    <row r="5" spans="2:8" x14ac:dyDescent="0.25">
      <c r="B5" s="3" t="s">
        <v>4</v>
      </c>
      <c r="C5" s="5">
        <f>IFERROR(INDEX(Tabela2[],MATCH(Tabela4[[#This Row],[Product]],Tabela2[Goods],0),1),"")</f>
        <v>42187</v>
      </c>
      <c r="D5" s="3">
        <v>15</v>
      </c>
      <c r="E5" s="3">
        <f>SUMIF(Tabela2[Goods],Tabela4[[#This Row],[Product]],Tabela2[Quantity])</f>
        <v>150</v>
      </c>
      <c r="F5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5" s="3">
        <f>Tabela4[[#This Row],[Initial Quantity]]+Tabela4[[#This Row],[Quantity Purchased]]-Tabela4[[#This Row],[Quantity Sold]]</f>
        <v>165</v>
      </c>
      <c r="H5" s="3" t="str">
        <f>IF(Tabela4[[#This Row],[Current Quantity]]&lt;50,IF(Tabela4[[#This Row],[Current Quantity]]&lt;21,"Purchase","Attention"),"OK")</f>
        <v>OK</v>
      </c>
    </row>
    <row r="6" spans="2:8" x14ac:dyDescent="0.25">
      <c r="B6" s="3" t="s">
        <v>13</v>
      </c>
      <c r="C6" s="5">
        <f>IFERROR(INDEX(Tabela2[],MATCH(Tabela4[[#This Row],[Product]],Tabela2[Goods],0),1),"")</f>
        <v>42188</v>
      </c>
      <c r="D6" s="3">
        <v>10</v>
      </c>
      <c r="E6" s="3">
        <f>SUMIF(Tabela2[Goods],Tabela4[[#This Row],[Product]],Tabela2[Quantity])</f>
        <v>50</v>
      </c>
      <c r="F6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6" s="3">
        <f>Tabela4[[#This Row],[Initial Quantity]]+Tabela4[[#This Row],[Quantity Purchased]]-Tabela4[[#This Row],[Quantity Sold]]</f>
        <v>60</v>
      </c>
      <c r="H6" s="3" t="str">
        <f>IF(Tabela4[[#This Row],[Current Quantity]]&lt;50,IF(Tabela4[[#This Row],[Current Quantity]]&lt;21,"Purchase","Attention"),"OK")</f>
        <v>OK</v>
      </c>
    </row>
    <row r="7" spans="2:8" x14ac:dyDescent="0.25">
      <c r="B7" s="3" t="s">
        <v>1</v>
      </c>
      <c r="C7" s="5">
        <f>IFERROR(INDEX(Tabela2[],MATCH(Tabela4[[#This Row],[Product]],Tabela2[Goods],0),1),"")</f>
        <v>42189</v>
      </c>
      <c r="D7" s="3">
        <v>0</v>
      </c>
      <c r="E7" s="3">
        <f>SUMIF(Tabela2[Goods],Tabela4[[#This Row],[Product]],Tabela2[Quantity])</f>
        <v>450</v>
      </c>
      <c r="F7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7" s="3">
        <f>Tabela4[[#This Row],[Initial Quantity]]+Tabela4[[#This Row],[Quantity Purchased]]-Tabela4[[#This Row],[Quantity Sold]]</f>
        <v>450</v>
      </c>
      <c r="H7" s="3" t="str">
        <f>IF(Tabela4[[#This Row],[Current Quantity]]&lt;50,IF(Tabela4[[#This Row],[Current Quantity]]&lt;21,"Purchase","Attention"),"OK")</f>
        <v>OK</v>
      </c>
    </row>
    <row r="8" spans="2:8" x14ac:dyDescent="0.25">
      <c r="B8" s="3" t="s">
        <v>18</v>
      </c>
      <c r="C8" s="5">
        <f>IFERROR(INDEX(Tabela2[],MATCH(Tabela4[[#This Row],[Product]],Tabela2[Goods],0),1),"")</f>
        <v>42188</v>
      </c>
      <c r="D8" s="3">
        <v>0</v>
      </c>
      <c r="E8" s="3">
        <f>SUMIF(Tabela2[Goods],Tabela4[[#This Row],[Product]],Tabela2[Quantity])</f>
        <v>100</v>
      </c>
      <c r="F8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8" s="3">
        <f>Tabela4[[#This Row],[Initial Quantity]]+Tabela4[[#This Row],[Quantity Purchased]]-Tabela4[[#This Row],[Quantity Sold]]</f>
        <v>100</v>
      </c>
      <c r="H8" s="3" t="str">
        <f>IF(Tabela4[[#This Row],[Current Quantity]]&lt;50,IF(Tabela4[[#This Row],[Current Quantity]]&lt;21,"Purchase","Attention"),"OK")</f>
        <v>OK</v>
      </c>
    </row>
    <row r="9" spans="2:8" x14ac:dyDescent="0.25">
      <c r="B9" s="3" t="s">
        <v>21</v>
      </c>
      <c r="C9" s="5" t="str">
        <f>IFERROR(INDEX(Tabela2[],MATCH(Tabela4[[#This Row],[Product]],Tabela2[Goods],0),1),"")</f>
        <v/>
      </c>
      <c r="D9" s="3">
        <v>150</v>
      </c>
      <c r="E9" s="3">
        <f>SUMIF(Tabela2[Goods],Tabela4[[#This Row],[Product]],Tabela2[Quantity])</f>
        <v>0</v>
      </c>
      <c r="F9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9" s="3">
        <f>Tabela4[[#This Row],[Initial Quantity]]+Tabela4[[#This Row],[Quantity Purchased]]-Tabela4[[#This Row],[Quantity Sold]]</f>
        <v>150</v>
      </c>
      <c r="H9" s="3" t="str">
        <f>IF(Tabela4[[#This Row],[Current Quantity]]&lt;50,IF(Tabela4[[#This Row],[Current Quantity]]&lt;21,"Purchase","Attention"),"OK")</f>
        <v>OK</v>
      </c>
    </row>
    <row r="10" spans="2:8" x14ac:dyDescent="0.25">
      <c r="B10" s="3" t="s">
        <v>17</v>
      </c>
      <c r="C10" s="5" t="str">
        <f>IFERROR(INDEX(Tabela2[],MATCH(Tabela4[[#This Row],[Product]],Tabela2[Goods],0),1),"")</f>
        <v/>
      </c>
      <c r="D10" s="3">
        <v>15</v>
      </c>
      <c r="E10" s="3">
        <f>SUMIF(Tabela2[Goods],Tabela4[[#This Row],[Product]],Tabela2[Quantity])</f>
        <v>0</v>
      </c>
      <c r="F10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0" s="3">
        <f>Tabela4[[#This Row],[Initial Quantity]]+Tabela4[[#This Row],[Quantity Purchased]]-Tabela4[[#This Row],[Quantity Sold]]</f>
        <v>15</v>
      </c>
      <c r="H10" s="3" t="str">
        <f>IF(Tabela4[[#This Row],[Current Quantity]]&lt;50,IF(Tabela4[[#This Row],[Current Quantity]]&lt;21,"Purchase","Attention"),"OK")</f>
        <v>Purchase</v>
      </c>
    </row>
    <row r="11" spans="2:8" x14ac:dyDescent="0.25">
      <c r="B11" s="3" t="s">
        <v>5</v>
      </c>
      <c r="C11" s="5">
        <f>IFERROR(INDEX(Tabela2[],MATCH(Tabela4[[#This Row],[Product]],Tabela2[Goods],0),1),"")</f>
        <v>42187</v>
      </c>
      <c r="D11" s="3">
        <v>25</v>
      </c>
      <c r="E11" s="3">
        <f>SUMIF(Tabela2[Goods],Tabela4[[#This Row],[Product]],Tabela2[Quantity])</f>
        <v>150</v>
      </c>
      <c r="F11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1" s="3">
        <f>Tabela4[[#This Row],[Initial Quantity]]+Tabela4[[#This Row],[Quantity Purchased]]-Tabela4[[#This Row],[Quantity Sold]]</f>
        <v>175</v>
      </c>
      <c r="H11" s="3" t="str">
        <f>IF(Tabela4[[#This Row],[Current Quantity]]&lt;50,IF(Tabela4[[#This Row],[Current Quantity]]&lt;21,"Purchase","Attention"),"OK")</f>
        <v>OK</v>
      </c>
    </row>
    <row r="12" spans="2:8" x14ac:dyDescent="0.25">
      <c r="B12" s="3" t="s">
        <v>11</v>
      </c>
      <c r="C12" s="5">
        <f>IFERROR(INDEX(Tabela2[],MATCH(Tabela4[[#This Row],[Product]],Tabela2[Goods],0),1),"")</f>
        <v>42187</v>
      </c>
      <c r="D12" s="3">
        <v>0</v>
      </c>
      <c r="E12" s="3">
        <f>SUMIF(Tabela2[Goods],Tabela4[[#This Row],[Product]],Tabela2[Quantity])</f>
        <v>150</v>
      </c>
      <c r="F12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2" s="3">
        <f>Tabela4[[#This Row],[Initial Quantity]]+Tabela4[[#This Row],[Quantity Purchased]]-Tabela4[[#This Row],[Quantity Sold]]</f>
        <v>150</v>
      </c>
      <c r="H12" s="3" t="str">
        <f>IF(Tabela4[[#This Row],[Current Quantity]]&lt;50,IF(Tabela4[[#This Row],[Current Quantity]]&lt;21,"Purchase","Attention"),"OK")</f>
        <v>OK</v>
      </c>
    </row>
    <row r="13" spans="2:8" x14ac:dyDescent="0.25">
      <c r="B13" s="3" t="s">
        <v>14</v>
      </c>
      <c r="C13" s="5">
        <f>IFERROR(INDEX(Tabela2[],MATCH(Tabela4[[#This Row],[Product]],Tabela2[Goods],0),1),"")</f>
        <v>42189</v>
      </c>
      <c r="D13" s="3">
        <v>0</v>
      </c>
      <c r="E13" s="3">
        <f>SUMIF(Tabela2[Goods],Tabela4[[#This Row],[Product]],Tabela2[Quantity])</f>
        <v>300</v>
      </c>
      <c r="F13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3" s="3">
        <f>Tabela4[[#This Row],[Initial Quantity]]+Tabela4[[#This Row],[Quantity Purchased]]-Tabela4[[#This Row],[Quantity Sold]]</f>
        <v>300</v>
      </c>
      <c r="H13" s="3" t="str">
        <f>IF(Tabela4[[#This Row],[Current Quantity]]&lt;50,IF(Tabela4[[#This Row],[Current Quantity]]&lt;21,"Purchase","Attention"),"OK")</f>
        <v>OK</v>
      </c>
    </row>
    <row r="14" spans="2:8" x14ac:dyDescent="0.25">
      <c r="B14" s="3" t="s">
        <v>19</v>
      </c>
      <c r="C14" s="5">
        <f>IFERROR(INDEX(Tabela2[],MATCH(Tabela4[[#This Row],[Product]],Tabela2[Goods],0),1),"")</f>
        <v>42188</v>
      </c>
      <c r="D14" s="3">
        <v>30</v>
      </c>
      <c r="E14" s="3">
        <f>SUMIF(Tabela2[Goods],Tabela4[[#This Row],[Product]],Tabela2[Quantity])</f>
        <v>100</v>
      </c>
      <c r="F14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4" s="3">
        <f>Tabela4[[#This Row],[Initial Quantity]]+Tabela4[[#This Row],[Quantity Purchased]]-Tabela4[[#This Row],[Quantity Sold]]</f>
        <v>130</v>
      </c>
      <c r="H14" s="3" t="str">
        <f>IF(Tabela4[[#This Row],[Current Quantity]]&lt;50,IF(Tabela4[[#This Row],[Current Quantity]]&lt;21,"Purchase","Attention"),"OK")</f>
        <v>OK</v>
      </c>
    </row>
    <row r="15" spans="2:8" x14ac:dyDescent="0.25">
      <c r="B15" s="3" t="s">
        <v>20</v>
      </c>
      <c r="C15" s="5">
        <f>IFERROR(INDEX(Tabela2[],MATCH(Tabela4[[#This Row],[Product]],Tabela2[Goods],0),1),"")</f>
        <v>42188</v>
      </c>
      <c r="D15" s="3">
        <v>0</v>
      </c>
      <c r="E15" s="3">
        <f>SUMIF(Tabela2[Goods],Tabela4[[#This Row],[Product]],Tabela2[Quantity])</f>
        <v>100</v>
      </c>
      <c r="F15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5" s="3">
        <f>Tabela4[[#This Row],[Initial Quantity]]+Tabela4[[#This Row],[Quantity Purchased]]-Tabela4[[#This Row],[Quantity Sold]]</f>
        <v>100</v>
      </c>
      <c r="H15" s="3" t="str">
        <f>IF(Tabela4[[#This Row],[Current Quantity]]&lt;50,IF(Tabela4[[#This Row],[Current Quantity]]&lt;21,"Purchase","Attention"),"OK")</f>
        <v>OK</v>
      </c>
    </row>
    <row r="16" spans="2:8" x14ac:dyDescent="0.25">
      <c r="B16" s="3" t="s">
        <v>16</v>
      </c>
      <c r="C16" s="5">
        <f>IFERROR(INDEX(Tabela2[],MATCH(Tabela4[[#This Row],[Product]],Tabela2[Goods],0),1),"")</f>
        <v>42190</v>
      </c>
      <c r="D16" s="3">
        <v>0</v>
      </c>
      <c r="E16" s="3">
        <f>SUMIF(Tabela2[Goods],Tabela4[[#This Row],[Product]],Tabela2[Quantity])</f>
        <v>150</v>
      </c>
      <c r="F16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6" s="3">
        <f>Tabela4[[#This Row],[Initial Quantity]]+Tabela4[[#This Row],[Quantity Purchased]]-Tabela4[[#This Row],[Quantity Sold]]</f>
        <v>150</v>
      </c>
      <c r="H16" s="3" t="str">
        <f>IF(Tabela4[[#This Row],[Current Quantity]]&lt;50,IF(Tabela4[[#This Row],[Current Quantity]]&lt;21,"Purchase","Attention"),"OK")</f>
        <v>OK</v>
      </c>
    </row>
    <row r="17" spans="2:8" x14ac:dyDescent="0.25">
      <c r="B17" s="3" t="s">
        <v>2</v>
      </c>
      <c r="C17" s="5">
        <f>IFERROR(INDEX(Tabela2[],MATCH(Tabela4[[#This Row],[Product]],Tabela2[Goods],0),1),"")</f>
        <v>42190</v>
      </c>
      <c r="D17" s="3">
        <v>0</v>
      </c>
      <c r="E17" s="3">
        <f>SUMIF(Tabela2[Goods],Tabela4[[#This Row],[Product]],Tabela2[Quantity])</f>
        <v>570</v>
      </c>
      <c r="F17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7" s="3">
        <f>Tabela4[[#This Row],[Initial Quantity]]+Tabela4[[#This Row],[Quantity Purchased]]-Tabela4[[#This Row],[Quantity Sold]]</f>
        <v>570</v>
      </c>
      <c r="H17" s="3" t="str">
        <f>IF(Tabela4[[#This Row],[Current Quantity]]&lt;50,IF(Tabela4[[#This Row],[Current Quantity]]&lt;21,"Purchase","Attention"),"OK")</f>
        <v>OK</v>
      </c>
    </row>
    <row r="18" spans="2:8" x14ac:dyDescent="0.25">
      <c r="B18" s="3" t="s">
        <v>6</v>
      </c>
      <c r="C18" s="5">
        <f>IFERROR(INDEX(Tabela2[],MATCH(Tabela4[[#This Row],[Product]],Tabela2[Goods],0),1),"")</f>
        <v>42188</v>
      </c>
      <c r="D18" s="3">
        <v>0</v>
      </c>
      <c r="E18" s="3">
        <f>SUMIF(Tabela2[Goods],Tabela4[[#This Row],[Product]],Tabela2[Quantity])</f>
        <v>110</v>
      </c>
      <c r="F18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8" s="3">
        <f>Tabela4[[#This Row],[Initial Quantity]]+Tabela4[[#This Row],[Quantity Purchased]]-Tabela4[[#This Row],[Quantity Sold]]</f>
        <v>110</v>
      </c>
      <c r="H18" s="3" t="str">
        <f>IF(Tabela4[[#This Row],[Current Quantity]]&lt;50,IF(Tabela4[[#This Row],[Current Quantity]]&lt;21,"Purchase","Attention"),"OK")</f>
        <v>OK</v>
      </c>
    </row>
    <row r="19" spans="2:8" x14ac:dyDescent="0.25">
      <c r="B19" s="3" t="s">
        <v>23</v>
      </c>
      <c r="C19" s="5" t="str">
        <f>IFERROR(INDEX(Tabela2[],MATCH(Tabela4[[#This Row],[Product]],Tabela2[Goods],0),1),"")</f>
        <v/>
      </c>
      <c r="D19" s="3">
        <v>39</v>
      </c>
      <c r="E19" s="3">
        <f>SUMIF(Tabela2[Goods],Tabela4[[#This Row],[Product]],Tabela2[Quantity])</f>
        <v>0</v>
      </c>
      <c r="F19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9" s="3">
        <f>Tabela4[[#This Row],[Initial Quantity]]+Tabela4[[#This Row],[Quantity Purchased]]-Tabela4[[#This Row],[Quantity Sold]]</f>
        <v>39</v>
      </c>
      <c r="H19" s="3" t="str">
        <f>IF(Tabela4[[#This Row],[Current Quantity]]&lt;50,IF(Tabela4[[#This Row],[Current Quantity]]&lt;21,"Purchase","Attention"),"OK")</f>
        <v>Attention</v>
      </c>
    </row>
    <row r="20" spans="2:8" x14ac:dyDescent="0.25">
      <c r="B20" s="3" t="s">
        <v>24</v>
      </c>
      <c r="C20" s="5">
        <f>IFERROR(INDEX(Tabela2[],MATCH(Tabela4[[#This Row],[Product]],Tabela2[Goods],0),1),"")</f>
        <v>42188</v>
      </c>
      <c r="D20" s="3">
        <v>0</v>
      </c>
      <c r="E20" s="3">
        <f>SUMIF(Tabela2[Goods],Tabela4[[#This Row],[Product]],Tabela2[Quantity])</f>
        <v>300</v>
      </c>
      <c r="F20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0" s="3">
        <f>Tabela4[[#This Row],[Initial Quantity]]+Tabela4[[#This Row],[Quantity Purchased]]-Tabela4[[#This Row],[Quantity Sold]]</f>
        <v>300</v>
      </c>
      <c r="H20" s="3" t="str">
        <f>IF(Tabela4[[#This Row],[Current Quantity]]&lt;50,IF(Tabela4[[#This Row],[Current Quantity]]&lt;21,"Purchase","Attention"),"OK")</f>
        <v>OK</v>
      </c>
    </row>
    <row r="21" spans="2:8" x14ac:dyDescent="0.25">
      <c r="B21" s="3" t="s">
        <v>7</v>
      </c>
      <c r="C21" s="5">
        <f>IFERROR(INDEX(Tabela2[],MATCH(Tabela4[[#This Row],[Product]],Tabela2[Goods],0),1),"")</f>
        <v>42188</v>
      </c>
      <c r="D21" s="3">
        <v>0</v>
      </c>
      <c r="E21" s="3">
        <f>SUMIF(Tabela2[Goods],Tabela4[[#This Row],[Product]],Tabela2[Quantity])</f>
        <v>50</v>
      </c>
      <c r="F21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1" s="3">
        <f>Tabela4[[#This Row],[Initial Quantity]]+Tabela4[[#This Row],[Quantity Purchased]]-Tabela4[[#This Row],[Quantity Sold]]</f>
        <v>50</v>
      </c>
      <c r="H21" s="3" t="str">
        <f>IF(Tabela4[[#This Row],[Current Quantity]]&lt;50,IF(Tabela4[[#This Row],[Current Quantity]]&lt;21,"Purchase","Attention"),"OK")</f>
        <v>OK</v>
      </c>
    </row>
    <row r="22" spans="2:8" x14ac:dyDescent="0.25">
      <c r="B22" s="3" t="s">
        <v>8</v>
      </c>
      <c r="C22" s="5" t="str">
        <f>IFERROR(INDEX(Tabela2[],MATCH(Tabela4[[#This Row],[Product]],Tabela2[Goods],0),1),"")</f>
        <v/>
      </c>
      <c r="D22" s="3">
        <v>10</v>
      </c>
      <c r="E22" s="3">
        <f>SUMIF(Tabela2[Goods],Tabela4[[#This Row],[Product]],Tabela2[Quantity])</f>
        <v>0</v>
      </c>
      <c r="F22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2" s="3">
        <f>Tabela4[[#This Row],[Initial Quantity]]+Tabela4[[#This Row],[Quantity Purchased]]-Tabela4[[#This Row],[Quantity Sold]]</f>
        <v>10</v>
      </c>
      <c r="H22" s="3" t="str">
        <f>IF(Tabela4[[#This Row],[Current Quantity]]&lt;50,IF(Tabela4[[#This Row],[Current Quantity]]&lt;21,"Purchase","Attention"),"OK")</f>
        <v>Purchase</v>
      </c>
    </row>
    <row r="23" spans="2:8" x14ac:dyDescent="0.25">
      <c r="B23" s="3" t="s">
        <v>25</v>
      </c>
      <c r="C23" s="5" t="str">
        <f>IFERROR(INDEX(Tabela2[],MATCH(Tabela4[[#This Row],[Product]],Tabela2[Goods],0),1),"")</f>
        <v/>
      </c>
      <c r="D23" s="3">
        <v>100</v>
      </c>
      <c r="E23" s="3">
        <f>SUMIF(Tabela2[Goods],Tabela4[[#This Row],[Product]],Tabela2[Quantity])</f>
        <v>0</v>
      </c>
      <c r="F23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3" s="3">
        <f>Tabela4[[#This Row],[Initial Quantity]]+Tabela4[[#This Row],[Quantity Purchased]]-Tabela4[[#This Row],[Quantity Sold]]</f>
        <v>100</v>
      </c>
      <c r="H23" s="3" t="str">
        <f>IF(Tabela4[[#This Row],[Current Quantity]]&lt;50,IF(Tabela4[[#This Row],[Current Quantity]]&lt;21,"Purchase","Attention"),"OK")</f>
        <v>OK</v>
      </c>
    </row>
    <row r="24" spans="2:8" x14ac:dyDescent="0.25">
      <c r="B24" s="3" t="s">
        <v>10</v>
      </c>
      <c r="C24" s="5">
        <f>IFERROR(INDEX(Tabela2[],MATCH(Tabela4[[#This Row],[Product]],Tabela2[Goods],0),1),"")</f>
        <v>42189</v>
      </c>
      <c r="D24" s="3">
        <v>0</v>
      </c>
      <c r="E24" s="3">
        <f>SUMIF(Tabela2[Goods],Tabela4[[#This Row],[Product]],Tabela2[Quantity])</f>
        <v>200</v>
      </c>
      <c r="F24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4" s="3">
        <f>Tabela4[[#This Row],[Initial Quantity]]+Tabela4[[#This Row],[Quantity Purchased]]-Tabela4[[#This Row],[Quantity Sold]]</f>
        <v>200</v>
      </c>
      <c r="H24" s="3" t="str">
        <f>IF(Tabela4[[#This Row],[Current Quantity]]&lt;50,IF(Tabela4[[#This Row],[Current Quantity]]&lt;21,"Purchase","Attention"),"OK")</f>
        <v>OK</v>
      </c>
    </row>
    <row r="25" spans="2:8" x14ac:dyDescent="0.25">
      <c r="B25" s="3" t="s">
        <v>3</v>
      </c>
      <c r="C25" s="5" t="str">
        <f>IFERROR(INDEX(Tabela2[],MATCH(Tabela4[[#This Row],[Product]],Tabela2[Goods],0),1),"")</f>
        <v/>
      </c>
      <c r="D25" s="3">
        <v>30</v>
      </c>
      <c r="E25" s="3">
        <f>SUMIF(Tabela2[Goods],Tabela4[[#This Row],[Product]],Tabela2[Quantity])</f>
        <v>0</v>
      </c>
      <c r="F25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5" s="3">
        <f>Tabela4[[#This Row],[Initial Quantity]]+Tabela4[[#This Row],[Quantity Purchased]]-Tabela4[[#This Row],[Quantity Sold]]</f>
        <v>30</v>
      </c>
      <c r="H25" s="3" t="str">
        <f>IF(Tabela4[[#This Row],[Current Quantity]]&lt;50,IF(Tabela4[[#This Row],[Current Quantity]]&lt;21,"Purchase","Attention"),"OK")</f>
        <v>Attention</v>
      </c>
    </row>
    <row r="26" spans="2:8" x14ac:dyDescent="0.25">
      <c r="B26" s="3" t="s">
        <v>12</v>
      </c>
      <c r="C26" s="5" t="str">
        <f>IFERROR(INDEX(Tabela2[],MATCH(Tabela4[[#This Row],[Product]],Tabela2[Goods],0),1),"")</f>
        <v/>
      </c>
      <c r="D26" s="3">
        <v>50</v>
      </c>
      <c r="E26" s="3">
        <f>SUMIF(Tabela2[Goods],Tabela4[[#This Row],[Product]],Tabela2[Quantity])</f>
        <v>0</v>
      </c>
      <c r="F26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6" s="3">
        <f>Tabela4[[#This Row],[Initial Quantity]]+Tabela4[[#This Row],[Quantity Purchased]]-Tabela4[[#This Row],[Quantity Sold]]</f>
        <v>50</v>
      </c>
      <c r="H26" s="3" t="str">
        <f>IF(Tabela4[[#This Row],[Current Quantity]]&lt;50,IF(Tabela4[[#This Row],[Current Quantity]]&lt;21,"Purchase","Attention"),"OK")</f>
        <v>OK</v>
      </c>
    </row>
    <row r="27" spans="2:8" x14ac:dyDescent="0.25">
      <c r="B27" s="3" t="s">
        <v>9</v>
      </c>
      <c r="C27" s="5">
        <f>IFERROR(INDEX(Tabela2[],MATCH(Tabela4[[#This Row],[Product]],Tabela2[Goods],0),1),"")</f>
        <v>42187</v>
      </c>
      <c r="D27" s="3">
        <v>0</v>
      </c>
      <c r="E27" s="3">
        <f>SUMIF(Tabela2[Goods],Tabela4[[#This Row],[Product]],Tabela2[Quantity])</f>
        <v>80</v>
      </c>
      <c r="F27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7" s="3">
        <f>Tabela4[[#This Row],[Initial Quantity]]+Tabela4[[#This Row],[Quantity Purchased]]-Tabela4[[#This Row],[Quantity Sold]]</f>
        <v>80</v>
      </c>
      <c r="H27" s="3" t="str">
        <f>IF(Tabela4[[#This Row],[Current Quantity]]&lt;50,IF(Tabela4[[#This Row],[Current Quantity]]&lt;21,"Purchase","Attention"),"OK")</f>
        <v>OK</v>
      </c>
    </row>
    <row r="28" spans="2:8" x14ac:dyDescent="0.25">
      <c r="B28" s="3" t="s">
        <v>15</v>
      </c>
      <c r="C28" s="5" t="str">
        <f>IFERROR(INDEX(Tabela2[],MATCH(Tabela4[[#This Row],[Product]],Tabela2[Goods],0),1),"")</f>
        <v/>
      </c>
      <c r="D28" s="3">
        <v>20</v>
      </c>
      <c r="E28" s="3">
        <f>SUMIF(Tabela2[Goods],Tabela4[[#This Row],[Product]],Tabela2[Quantity])</f>
        <v>0</v>
      </c>
      <c r="F28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8" s="3">
        <f>Tabela4[[#This Row],[Initial Quantity]]+Tabela4[[#This Row],[Quantity Purchased]]-Tabela4[[#This Row],[Quantity Sold]]</f>
        <v>20</v>
      </c>
      <c r="H28" s="3" t="str">
        <f>IF(Tabela4[[#This Row],[Current Quantity]]&lt;50,IF(Tabela4[[#This Row],[Current Quantity]]&lt;21,"Purchase","Attention"),"OK")</f>
        <v>Purchase</v>
      </c>
    </row>
  </sheetData>
  <conditionalFormatting sqref="H5:H28">
    <cfRule type="containsText" dxfId="4" priority="1" operator="containsText" text="OK">
      <formula>NOT(ISERROR(SEARCH("OK",H5)))</formula>
    </cfRule>
    <cfRule type="containsText" dxfId="3" priority="2" operator="containsText" text="Attention">
      <formula>NOT(ISERROR(SEARCH("Attention",H5)))</formula>
    </cfRule>
    <cfRule type="containsText" dxfId="2" priority="3" operator="containsText" text="Purchase">
      <formula>NOT(ISERROR(SEARCH("Purchase",H5)))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3:H26"/>
  <sheetViews>
    <sheetView showGridLines="0" workbookViewId="0"/>
  </sheetViews>
  <sheetFormatPr defaultRowHeight="15" x14ac:dyDescent="0.25"/>
  <cols>
    <col min="2" max="4" width="25" customWidth="1"/>
  </cols>
  <sheetData>
    <row r="3" spans="2:8" s="54" customFormat="1" ht="27.95" customHeight="1" x14ac:dyDescent="0.25">
      <c r="B3" s="17" t="s">
        <v>46</v>
      </c>
    </row>
    <row r="4" spans="2:8" ht="29.25" customHeight="1" thickBot="1" x14ac:dyDescent="0.3"/>
    <row r="5" spans="2:8" ht="18.75" x14ac:dyDescent="0.3">
      <c r="B5" s="55" t="s">
        <v>106</v>
      </c>
      <c r="C5" s="56"/>
      <c r="D5" s="70">
        <f>SUM(D6:D7)</f>
        <v>737.12500000000011</v>
      </c>
    </row>
    <row r="6" spans="2:8" ht="18.75" x14ac:dyDescent="0.3">
      <c r="B6" s="57"/>
      <c r="C6" s="58" t="s">
        <v>107</v>
      </c>
      <c r="D6" s="59">
        <f>Sales!D16-Results!D7</f>
        <v>665.62500000000011</v>
      </c>
    </row>
    <row r="7" spans="2:8" ht="18.75" x14ac:dyDescent="0.3">
      <c r="B7" s="57"/>
      <c r="C7" s="60" t="s">
        <v>108</v>
      </c>
      <c r="D7" s="61">
        <f>Sales!D29</f>
        <v>71.5</v>
      </c>
    </row>
    <row r="8" spans="2:8" ht="18.75" x14ac:dyDescent="0.3">
      <c r="B8" s="62" t="s">
        <v>109</v>
      </c>
      <c r="C8" s="63"/>
      <c r="D8" s="64">
        <f>0.15*D5</f>
        <v>110.56875000000001</v>
      </c>
    </row>
    <row r="9" spans="2:8" ht="19.5" thickBot="1" x14ac:dyDescent="0.35">
      <c r="B9" s="65" t="s">
        <v>110</v>
      </c>
      <c r="C9" s="66"/>
      <c r="D9" s="67">
        <f>D5-D8</f>
        <v>626.55625000000009</v>
      </c>
    </row>
    <row r="10" spans="2:8" ht="19.5" thickBot="1" x14ac:dyDescent="0.35">
      <c r="B10" s="68"/>
      <c r="C10" s="68"/>
      <c r="D10" s="69"/>
    </row>
    <row r="11" spans="2:8" ht="18.75" x14ac:dyDescent="0.3">
      <c r="B11" s="55" t="s">
        <v>64</v>
      </c>
      <c r="C11" s="56"/>
      <c r="D11" s="70">
        <f>SUM(D12:D13)</f>
        <v>45854.09</v>
      </c>
    </row>
    <row r="12" spans="2:8" ht="18.75" x14ac:dyDescent="0.3">
      <c r="B12" s="57"/>
      <c r="C12" s="60" t="s">
        <v>111</v>
      </c>
      <c r="D12" s="71">
        <f>'Goods Control'!I28</f>
        <v>454.09000000000003</v>
      </c>
      <c r="H12" s="8"/>
    </row>
    <row r="13" spans="2:8" ht="19.5" thickBot="1" x14ac:dyDescent="0.35">
      <c r="B13" s="72"/>
      <c r="C13" s="73" t="s">
        <v>56</v>
      </c>
      <c r="D13" s="74">
        <f>Expenses!G31</f>
        <v>45400</v>
      </c>
    </row>
    <row r="14" spans="2:8" ht="18.75" x14ac:dyDescent="0.3">
      <c r="B14" s="25"/>
      <c r="C14" s="25"/>
      <c r="D14" s="25"/>
      <c r="H14" s="8"/>
    </row>
    <row r="15" spans="2:8" ht="19.5" thickBot="1" x14ac:dyDescent="0.35">
      <c r="B15" s="25"/>
      <c r="C15" s="25"/>
      <c r="D15" s="25"/>
    </row>
    <row r="16" spans="2:8" ht="18.75" x14ac:dyDescent="0.3">
      <c r="B16" s="55" t="s">
        <v>112</v>
      </c>
      <c r="C16" s="56"/>
      <c r="D16" s="70">
        <f>D5-D11</f>
        <v>-45116.964999999997</v>
      </c>
    </row>
    <row r="17" spans="2:4" ht="18.75" x14ac:dyDescent="0.3">
      <c r="B17" s="57"/>
      <c r="C17" s="68"/>
      <c r="D17" s="75"/>
    </row>
    <row r="18" spans="2:4" ht="18.75" x14ac:dyDescent="0.3">
      <c r="B18" s="62" t="s">
        <v>48</v>
      </c>
      <c r="C18" s="63"/>
      <c r="D18" s="64">
        <f>Investments!E11</f>
        <v>400000</v>
      </c>
    </row>
    <row r="19" spans="2:4" ht="18.75" x14ac:dyDescent="0.3">
      <c r="B19" s="57"/>
      <c r="C19" s="68"/>
      <c r="D19" s="75"/>
    </row>
    <row r="20" spans="2:4" ht="18.75" x14ac:dyDescent="0.3">
      <c r="B20" s="62" t="s">
        <v>113</v>
      </c>
      <c r="C20" s="63"/>
      <c r="D20" s="64">
        <v>300</v>
      </c>
    </row>
    <row r="21" spans="2:4" ht="18.75" x14ac:dyDescent="0.3">
      <c r="B21" s="57"/>
      <c r="C21" s="68"/>
      <c r="D21" s="75"/>
    </row>
    <row r="22" spans="2:4" ht="19.5" thickBot="1" x14ac:dyDescent="0.35">
      <c r="B22" s="65" t="s">
        <v>114</v>
      </c>
      <c r="C22" s="66"/>
      <c r="D22" s="67">
        <f>D16-D18-D20</f>
        <v>-445416.96499999997</v>
      </c>
    </row>
    <row r="23" spans="2:4" ht="19.5" thickBot="1" x14ac:dyDescent="0.35">
      <c r="B23" s="68"/>
      <c r="C23" s="68"/>
      <c r="D23" s="69"/>
    </row>
    <row r="24" spans="2:4" ht="18.75" x14ac:dyDescent="0.3">
      <c r="B24" s="55" t="s">
        <v>69</v>
      </c>
      <c r="C24" s="56"/>
      <c r="D24" s="70">
        <f>IF(D22&gt;1000,0.3*D22,0)</f>
        <v>0</v>
      </c>
    </row>
    <row r="25" spans="2:4" ht="18.75" x14ac:dyDescent="0.3">
      <c r="B25" s="57"/>
      <c r="C25" s="68"/>
      <c r="D25" s="75"/>
    </row>
    <row r="26" spans="2:4" ht="19.5" thickBot="1" x14ac:dyDescent="0.35">
      <c r="B26" s="65" t="s">
        <v>115</v>
      </c>
      <c r="C26" s="66"/>
      <c r="D26" s="67">
        <f>D22-D24</f>
        <v>-445416.96499999997</v>
      </c>
    </row>
  </sheetData>
  <conditionalFormatting sqref="D16 D22 D26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K52"/>
  <sheetViews>
    <sheetView showGridLines="0" topLeftCell="A37" workbookViewId="0">
      <selection activeCell="B57" sqref="B57"/>
    </sheetView>
  </sheetViews>
  <sheetFormatPr defaultRowHeight="15" x14ac:dyDescent="0.25"/>
  <cols>
    <col min="2" max="2" width="22.140625" customWidth="1"/>
    <col min="3" max="3" width="39.42578125" bestFit="1" customWidth="1"/>
    <col min="4" max="4" width="14.42578125" bestFit="1" customWidth="1"/>
    <col min="7" max="11" width="16.7109375" customWidth="1"/>
  </cols>
  <sheetData>
    <row r="2" spans="2:11" s="18" customFormat="1" ht="27.95" customHeight="1" x14ac:dyDescent="0.25">
      <c r="B2" s="17" t="s">
        <v>45</v>
      </c>
    </row>
    <row r="3" spans="2:11" ht="29.25" customHeight="1" x14ac:dyDescent="0.25"/>
    <row r="4" spans="2:11" ht="21.75" thickBot="1" x14ac:dyDescent="0.4">
      <c r="K4" s="39" t="s">
        <v>50</v>
      </c>
    </row>
    <row r="5" spans="2:11" ht="15.75" thickBot="1" x14ac:dyDescent="0.3"/>
    <row r="6" spans="2:11" x14ac:dyDescent="0.25">
      <c r="B6" s="26"/>
      <c r="C6" s="27"/>
      <c r="D6" s="27"/>
      <c r="E6" s="27"/>
      <c r="F6" s="27"/>
      <c r="G6" s="27"/>
      <c r="H6" s="27"/>
      <c r="I6" s="27"/>
      <c r="J6" s="27"/>
      <c r="K6" s="28"/>
    </row>
    <row r="7" spans="2:11" x14ac:dyDescent="0.25">
      <c r="B7" s="29"/>
      <c r="K7" s="30"/>
    </row>
    <row r="8" spans="2:11" ht="18.75" x14ac:dyDescent="0.3">
      <c r="B8" s="29"/>
      <c r="C8" s="35" t="s">
        <v>116</v>
      </c>
      <c r="D8" s="48">
        <f>'Week 1'!M31</f>
        <v>669.0250000000002</v>
      </c>
      <c r="K8" s="30"/>
    </row>
    <row r="9" spans="2:11" ht="18.75" x14ac:dyDescent="0.3">
      <c r="B9" s="29"/>
      <c r="C9" s="36" t="s">
        <v>117</v>
      </c>
      <c r="D9" s="49">
        <f>'Week 2'!M32</f>
        <v>41.7</v>
      </c>
      <c r="K9" s="30"/>
    </row>
    <row r="10" spans="2:11" ht="18.75" x14ac:dyDescent="0.3">
      <c r="B10" s="29"/>
      <c r="C10" s="36" t="s">
        <v>118</v>
      </c>
      <c r="D10" s="49">
        <f>'Week 3'!M29</f>
        <v>8.8000000000000007</v>
      </c>
      <c r="K10" s="30"/>
    </row>
    <row r="11" spans="2:11" ht="18.75" x14ac:dyDescent="0.3">
      <c r="B11" s="29"/>
      <c r="C11" s="36" t="s">
        <v>119</v>
      </c>
      <c r="D11" s="49">
        <f>'Week 4'!M29</f>
        <v>8.8000000000000007</v>
      </c>
      <c r="K11" s="30"/>
    </row>
    <row r="12" spans="2:11" ht="18.75" x14ac:dyDescent="0.3">
      <c r="B12" s="29"/>
      <c r="C12" s="37" t="s">
        <v>120</v>
      </c>
      <c r="D12" s="46">
        <f>'Week 5'!M29</f>
        <v>8.8000000000000007</v>
      </c>
      <c r="K12" s="30"/>
    </row>
    <row r="13" spans="2:11" x14ac:dyDescent="0.25">
      <c r="B13" s="29"/>
      <c r="C13" s="34"/>
      <c r="D13" s="34"/>
      <c r="K13" s="30"/>
    </row>
    <row r="14" spans="2:11" x14ac:dyDescent="0.25">
      <c r="B14" s="29"/>
      <c r="C14" s="34"/>
      <c r="D14" s="34"/>
      <c r="K14" s="30"/>
    </row>
    <row r="15" spans="2:11" x14ac:dyDescent="0.25">
      <c r="B15" s="29"/>
      <c r="K15" s="30"/>
    </row>
    <row r="16" spans="2:11" ht="18.75" x14ac:dyDescent="0.3">
      <c r="B16" s="29"/>
      <c r="C16" s="38" t="str">
        <f>"Total Sales  "&amp;K4</f>
        <v>Total Sales  July</v>
      </c>
      <c r="D16" s="47">
        <f>SUM(D8:D12)</f>
        <v>737.12500000000011</v>
      </c>
      <c r="K16" s="30"/>
    </row>
    <row r="17" spans="2:11" x14ac:dyDescent="0.25">
      <c r="B17" s="29"/>
      <c r="K17" s="30"/>
    </row>
    <row r="18" spans="2:11" x14ac:dyDescent="0.25">
      <c r="B18" s="29"/>
      <c r="K18" s="30"/>
    </row>
    <row r="19" spans="2:11" x14ac:dyDescent="0.25">
      <c r="B19" s="29"/>
      <c r="K19" s="30"/>
    </row>
    <row r="20" spans="2:11" x14ac:dyDescent="0.25">
      <c r="B20" s="29"/>
      <c r="K20" s="30"/>
    </row>
    <row r="21" spans="2:11" ht="15.75" thickBot="1" x14ac:dyDescent="0.3">
      <c r="B21" s="31"/>
      <c r="C21" s="32"/>
      <c r="D21" s="32"/>
      <c r="E21" s="32"/>
      <c r="F21" s="32"/>
      <c r="G21" s="32"/>
      <c r="H21" s="32"/>
      <c r="I21" s="32"/>
      <c r="J21" s="32"/>
      <c r="K21" s="33"/>
    </row>
    <row r="23" spans="2:11" ht="15.75" thickBot="1" x14ac:dyDescent="0.3"/>
    <row r="24" spans="2:11" x14ac:dyDescent="0.25">
      <c r="B24" s="26"/>
      <c r="C24" s="27"/>
      <c r="D24" s="27"/>
      <c r="E24" s="27"/>
      <c r="F24" s="27"/>
      <c r="G24" s="27"/>
      <c r="H24" s="27"/>
      <c r="I24" s="27"/>
      <c r="J24" s="27"/>
      <c r="K24" s="28"/>
    </row>
    <row r="25" spans="2:11" x14ac:dyDescent="0.25">
      <c r="B25" s="29"/>
      <c r="K25" s="30"/>
    </row>
    <row r="26" spans="2:11" x14ac:dyDescent="0.25">
      <c r="B26" s="29"/>
      <c r="K26" s="30"/>
    </row>
    <row r="27" spans="2:11" ht="18.75" x14ac:dyDescent="0.3">
      <c r="B27" s="29"/>
      <c r="C27" s="35" t="s">
        <v>121</v>
      </c>
      <c r="D27" s="45">
        <f>SUM(COUNTIF(Tabela5[Delivery Value],"&gt;0"),COUNTIF(Tabela58[Delivery Value],"&gt;0"),COUNTIF(Tabela59[Delivery Value],"&gt;0"),COUNTIF(Tabela510[Delivery Value],"&gt;0"),COUNTIF(Tabela511[Delivery Value],"&gt;0"))/SUM('Week 1'!M35,'Week 2'!M36,'Week 3'!M33,'Week 4'!M33,'Week 5'!M33,)</f>
        <v>0.61111111111111116</v>
      </c>
      <c r="K27" s="30"/>
    </row>
    <row r="28" spans="2:11" ht="18.75" x14ac:dyDescent="0.3">
      <c r="B28" s="29"/>
      <c r="C28" s="36" t="s">
        <v>122</v>
      </c>
      <c r="D28" s="49">
        <f>SUMIF(Tabela5[Delivery Value],"&gt;0",Tabela5[Total for the Customer])+SUMIF(Tabela58[Delivery Value],"&gt;0",Tabela58[Total for the Customer])+SUMIF(Tabela59[Delivery Value],"&gt;0",Tabela59[Total for the Customer])+SUMIF(Tabela510[Delivery Value],"&gt;0",Tabela510[Total for the Customer])+SUMIF(Tabela511[Delivery Value],"&gt;0",Tabela511[Total for the Customer])</f>
        <v>410.73500000000007</v>
      </c>
      <c r="K28" s="30"/>
    </row>
    <row r="29" spans="2:11" ht="18.75" x14ac:dyDescent="0.3">
      <c r="B29" s="29"/>
      <c r="C29" s="37" t="s">
        <v>123</v>
      </c>
      <c r="D29" s="46">
        <f>SUM('Week 1'!M33,'Week 2'!M34,'Week 3'!M31,'Week 4'!M31,'Week 5'!M31)</f>
        <v>71.5</v>
      </c>
      <c r="K29" s="30"/>
    </row>
    <row r="30" spans="2:11" x14ac:dyDescent="0.25">
      <c r="B30" s="29"/>
      <c r="K30" s="30"/>
    </row>
    <row r="31" spans="2:11" x14ac:dyDescent="0.25">
      <c r="B31" s="29"/>
      <c r="K31" s="30"/>
    </row>
    <row r="32" spans="2:11" x14ac:dyDescent="0.25">
      <c r="B32" s="29"/>
      <c r="K32" s="30"/>
    </row>
    <row r="33" spans="2:11" ht="18.75" x14ac:dyDescent="0.3">
      <c r="B33" s="29"/>
      <c r="C33" s="38" t="s">
        <v>124</v>
      </c>
      <c r="D33" s="47">
        <f>SUM('Week 1'!M31,'Week 2'!M32,'Week 3'!M29,'Week 4'!M29,'Week 5'!M29)/SUM('Week 1'!M35,'Week 2'!M36,'Week 3'!M33,'Week 4'!M33,'Week 5'!M33)</f>
        <v>40.951388888888893</v>
      </c>
      <c r="K33" s="30"/>
    </row>
    <row r="34" spans="2:11" x14ac:dyDescent="0.25">
      <c r="B34" s="29"/>
      <c r="K34" s="30"/>
    </row>
    <row r="35" spans="2:11" x14ac:dyDescent="0.25">
      <c r="B35" s="29"/>
      <c r="K35" s="30"/>
    </row>
    <row r="36" spans="2:11" ht="15.75" thickBot="1" x14ac:dyDescent="0.3">
      <c r="B36" s="31"/>
      <c r="C36" s="32"/>
      <c r="D36" s="32"/>
      <c r="E36" s="32"/>
      <c r="F36" s="32"/>
      <c r="G36" s="32"/>
      <c r="H36" s="32"/>
      <c r="I36" s="32"/>
      <c r="J36" s="32"/>
      <c r="K36" s="33"/>
    </row>
    <row r="39" spans="2:11" ht="15.75" thickBot="1" x14ac:dyDescent="0.3"/>
    <row r="40" spans="2:11" x14ac:dyDescent="0.25">
      <c r="B40" s="26"/>
      <c r="C40" s="27"/>
      <c r="D40" s="27"/>
      <c r="E40" s="27"/>
      <c r="F40" s="27"/>
      <c r="G40" s="27"/>
      <c r="H40" s="27"/>
      <c r="I40" s="27"/>
      <c r="J40" s="27"/>
      <c r="K40" s="28"/>
    </row>
    <row r="41" spans="2:11" ht="18.75" x14ac:dyDescent="0.3">
      <c r="B41" s="29"/>
      <c r="C41" s="43" t="s">
        <v>125</v>
      </c>
      <c r="K41" s="30"/>
    </row>
    <row r="42" spans="2:11" x14ac:dyDescent="0.25">
      <c r="B42" s="29"/>
      <c r="K42" s="30"/>
    </row>
    <row r="43" spans="2:11" x14ac:dyDescent="0.25">
      <c r="B43" s="29"/>
      <c r="K43" s="30"/>
    </row>
    <row r="44" spans="2:11" x14ac:dyDescent="0.25">
      <c r="B44" s="29"/>
      <c r="D44" s="53" t="s">
        <v>39</v>
      </c>
      <c r="K44" s="30"/>
    </row>
    <row r="45" spans="2:11" ht="18.75" x14ac:dyDescent="0.3">
      <c r="B45" s="29"/>
      <c r="C45" s="50" t="s">
        <v>126</v>
      </c>
      <c r="D45" s="40">
        <f>COUNTIFS(Tabela5[Deliver],Sales!C45,Tabela5[Total for the Customer],"&gt;0")+COUNTIFS(Tabela58[Deliver],Sales!C45,Tabela58[Total for the Customer],"&gt;0")+COUNTIFS(Tabela59[Deliver],Sales!C45,Tabela59[Total for the Customer],"&gt;0")+COUNTIFS(Tabela510[Deliver],Sales!C45,Tabela510[Total for the Customer],"&gt;0")+COUNTIFS(Tabela511[Deliver],Sales!C45,Tabela511[Total for the Customer],"&gt;0")</f>
        <v>7</v>
      </c>
      <c r="K45" s="30"/>
    </row>
    <row r="46" spans="2:11" ht="18.75" x14ac:dyDescent="0.3">
      <c r="B46" s="29"/>
      <c r="C46" s="51" t="s">
        <v>127</v>
      </c>
      <c r="D46" s="41">
        <f>COUNTIFS(Tabela5[Deliver],Sales!C46,Tabela5[Total for the Customer],"&gt;0")+COUNTIFS(Tabela58[Deliver],Sales!C46,Tabela58[Total for the Customer],"&gt;0")+COUNTIFS(Tabela59[Deliver],Sales!C46,Tabela59[Total for the Customer],"&gt;0")+COUNTIFS(Tabela510[Deliver],Sales!C46,Tabela510[Total for the Customer],"&gt;0")+COUNTIFS(Tabela511[Deliver],Sales!C46,Tabela511[Total for the Customer],"&gt;0")</f>
        <v>1</v>
      </c>
      <c r="K46" s="30"/>
    </row>
    <row r="47" spans="2:11" ht="18.75" x14ac:dyDescent="0.3">
      <c r="B47" s="29"/>
      <c r="C47" s="51" t="s">
        <v>128</v>
      </c>
      <c r="D47" s="41">
        <f>COUNTIFS(Tabela5[Deliver],Sales!C47,Tabela5[Total for the Customer],"&gt;0")+COUNTIFS(Tabela58[Deliver],Sales!C47,Tabela58[Total for the Customer],"&gt;0")+COUNTIFS(Tabela59[Deliver],Sales!C47,Tabela59[Total for the Customer],"&gt;0")+COUNTIFS(Tabela510[Deliver],Sales!C47,Tabela510[Total for the Customer],"&gt;0")+COUNTIFS(Tabela511[Deliver],Sales!C47,Tabela511[Total for the Customer],"&gt;0")</f>
        <v>5</v>
      </c>
      <c r="K47" s="30"/>
    </row>
    <row r="48" spans="2:11" ht="18.75" x14ac:dyDescent="0.3">
      <c r="B48" s="29"/>
      <c r="C48" s="51" t="s">
        <v>129</v>
      </c>
      <c r="D48" s="41">
        <f>COUNTIFS(Tabela5[Deliver],Sales!C48,Tabela5[Total for the Customer],"&gt;0")+COUNTIFS(Tabela58[Deliver],Sales!C48,Tabela58[Total for the Customer],"&gt;0")+COUNTIFS(Tabela59[Deliver],Sales!C48,Tabela59[Total for the Customer],"&gt;0")+COUNTIFS(Tabela510[Deliver],Sales!C48,Tabela510[Total for the Customer],"&gt;0")+COUNTIFS(Tabela511[Deliver],Sales!C48,Tabela511[Total for the Customer],"&gt;0")</f>
        <v>1</v>
      </c>
      <c r="K48" s="30"/>
    </row>
    <row r="49" spans="2:11" ht="18.75" x14ac:dyDescent="0.3">
      <c r="B49" s="29"/>
      <c r="C49" s="52" t="s">
        <v>130</v>
      </c>
      <c r="D49" s="42">
        <f>COUNTIFS(Tabela5[Deliver],Sales!C49,Tabela5[Total for the Customer],"&gt;0")+COUNTIFS(Tabela58[Deliver],Sales!C49,Tabela58[Total for the Customer],"&gt;0")+COUNTIFS(Tabela59[Deliver],Sales!C49,Tabela59[Total for the Customer],"&gt;0")+COUNTIFS(Tabela510[Deliver],Sales!C49,Tabela510[Total for the Customer],"&gt;0")+COUNTIFS(Tabela511[Deliver],Sales!C49,Tabela511[Total for the Customer],"&gt;0")</f>
        <v>4</v>
      </c>
      <c r="K49" s="30"/>
    </row>
    <row r="50" spans="2:11" x14ac:dyDescent="0.25">
      <c r="B50" s="29"/>
      <c r="K50" s="30"/>
    </row>
    <row r="51" spans="2:11" x14ac:dyDescent="0.25">
      <c r="B51" s="29"/>
      <c r="K51" s="30"/>
    </row>
    <row r="52" spans="2:11" ht="15.75" thickBot="1" x14ac:dyDescent="0.3">
      <c r="B52" s="31"/>
      <c r="C52" s="32"/>
      <c r="D52" s="32"/>
      <c r="E52" s="32"/>
      <c r="F52" s="32"/>
      <c r="G52" s="32"/>
      <c r="H52" s="32"/>
      <c r="I52" s="32"/>
      <c r="J52" s="32"/>
      <c r="K52" s="33"/>
    </row>
  </sheetData>
  <phoneticPr fontId="9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26E47-6A68-4B74-9A9C-35D489785A8B}">
  <dimension ref="B2:M35"/>
  <sheetViews>
    <sheetView showGridLines="0" zoomScale="90" zoomScaleNormal="90" workbookViewId="0">
      <selection activeCell="A11" sqref="A11"/>
    </sheetView>
  </sheetViews>
  <sheetFormatPr defaultRowHeight="15" x14ac:dyDescent="0.25"/>
  <cols>
    <col min="1" max="1" width="20.42578125" customWidth="1"/>
    <col min="2" max="2" width="13" customWidth="1"/>
    <col min="3" max="3" width="11.5703125" customWidth="1"/>
    <col min="4" max="4" width="15.85546875" bestFit="1" customWidth="1"/>
    <col min="5" max="5" width="12.7109375" bestFit="1" customWidth="1"/>
    <col min="6" max="6" width="16.28515625" bestFit="1" customWidth="1"/>
    <col min="7" max="7" width="18.5703125" bestFit="1" customWidth="1"/>
    <col min="8" max="8" width="13.42578125" bestFit="1" customWidth="1"/>
    <col min="9" max="9" width="14.28515625" bestFit="1" customWidth="1"/>
    <col min="10" max="10" width="12.85546875" bestFit="1" customWidth="1"/>
    <col min="11" max="11" width="20.7109375" bestFit="1" customWidth="1"/>
    <col min="12" max="12" width="11.140625" bestFit="1" customWidth="1"/>
    <col min="13" max="13" width="23.140625" bestFit="1" customWidth="1"/>
  </cols>
  <sheetData>
    <row r="2" spans="2:13" s="18" customFormat="1" ht="27.95" customHeight="1" x14ac:dyDescent="0.25">
      <c r="B2" s="17" t="s">
        <v>51</v>
      </c>
    </row>
    <row r="3" spans="2:13" ht="29.25" customHeight="1" x14ac:dyDescent="0.25"/>
    <row r="4" spans="2:13" x14ac:dyDescent="0.25">
      <c r="B4" s="3" t="s">
        <v>131</v>
      </c>
      <c r="C4" s="3" t="s">
        <v>58</v>
      </c>
      <c r="D4" s="3" t="s">
        <v>99</v>
      </c>
      <c r="E4" s="3" t="s">
        <v>87</v>
      </c>
      <c r="F4" s="3" t="s">
        <v>88</v>
      </c>
      <c r="G4" s="3" t="s">
        <v>132</v>
      </c>
      <c r="H4" s="3" t="s">
        <v>37</v>
      </c>
      <c r="I4" s="3" t="s">
        <v>90</v>
      </c>
      <c r="J4" s="3" t="s">
        <v>133</v>
      </c>
      <c r="K4" s="3" t="s">
        <v>134</v>
      </c>
      <c r="L4" s="3" t="s">
        <v>38</v>
      </c>
      <c r="M4" s="3" t="s">
        <v>135</v>
      </c>
    </row>
    <row r="5" spans="2:13" x14ac:dyDescent="0.25">
      <c r="B5" s="3">
        <v>13</v>
      </c>
      <c r="C5" s="5">
        <v>42190</v>
      </c>
      <c r="D5" s="3" t="s">
        <v>146</v>
      </c>
      <c r="E5" s="3" t="str">
        <f>IFERROR(VLOOKUP(Tabela5[[#This Row],[Product]],'Calculations and Tests'!$J$5:$M$28,4,FALSE),"")</f>
        <v>Package</v>
      </c>
      <c r="F5" s="3">
        <v>10</v>
      </c>
      <c r="G5" s="6">
        <f>IFERROR(VLOOKUP(Tabela5[[#This Row],[Product]],'Calculations and Tests'!$J$5:$M$28,3,FALSE),0)</f>
        <v>1.1499999999999999</v>
      </c>
      <c r="H5" s="6">
        <f>Tabela5[[#This Row],[Quantity]]*Tabela5[[#This Row],[Unity Price]]</f>
        <v>11.5</v>
      </c>
      <c r="I5" s="7">
        <v>0.03</v>
      </c>
      <c r="J5" s="3" t="s">
        <v>130</v>
      </c>
      <c r="K5" s="6">
        <f>IFERROR(IF(Tabela5[[#This Row],[Sale id]]=B6,0,VLOOKUP(Tabela5[[#This Row],[Deliver]],'Calculations and Tests'!B$5:C$9,2,FALSE)),0)</f>
        <v>0</v>
      </c>
      <c r="L5" s="6">
        <f>Tabela5[[#This Row],[Subtotal]]*(1-Tabela5[[#This Row],[Discount]])+Tabela5[[#This Row],[Delivery Value]]</f>
        <v>11.154999999999999</v>
      </c>
      <c r="M5" s="6" t="str">
        <f>IF(Tabela5[[#This Row],[Sale id]]=B6,"",SUMIF(Tabela5[Sale id],Tabela5[[#This Row],[Sale id]],Tabela5[Total]))</f>
        <v/>
      </c>
    </row>
    <row r="6" spans="2:13" x14ac:dyDescent="0.25">
      <c r="B6" s="3">
        <v>13</v>
      </c>
      <c r="C6" s="5">
        <v>42190</v>
      </c>
      <c r="D6" s="3" t="s">
        <v>150</v>
      </c>
      <c r="E6" s="3" t="str">
        <f>IFERROR(VLOOKUP(Tabela5[[#This Row],[Product]],'Calculations and Tests'!$J$5:$M$28,4,FALSE),"")</f>
        <v>Package</v>
      </c>
      <c r="F6" s="3">
        <v>1</v>
      </c>
      <c r="G6" s="6">
        <f>IFERROR(VLOOKUP(Tabela5[[#This Row],[Product]],'Calculations and Tests'!$J$5:$M$28,3,FALSE),0)</f>
        <v>0.79</v>
      </c>
      <c r="H6" s="6">
        <f>Tabela5[[#This Row],[Quantity]]*Tabela5[[#This Row],[Unity Price]]</f>
        <v>0.79</v>
      </c>
      <c r="I6" s="7"/>
      <c r="J6" s="3" t="s">
        <v>130</v>
      </c>
      <c r="K6" s="6">
        <f>IFERROR(IF(Tabela5[[#This Row],[Sale id]]=B7,0,VLOOKUP(Tabela5[[#This Row],[Deliver]],'Calculations and Tests'!B$5:C$9,2,FALSE)),0)</f>
        <v>0</v>
      </c>
      <c r="L6" s="6">
        <f>Tabela5[[#This Row],[Subtotal]]*(1-Tabela5[[#This Row],[Discount]])+Tabela5[[#This Row],[Delivery Value]]</f>
        <v>0.79</v>
      </c>
      <c r="M6" s="6" t="str">
        <f>IF(Tabela5[[#This Row],[Sale id]]=B7,"",SUMIF(Tabela5[Sale id],Tabela5[[#This Row],[Sale id]],Tabela5[Total]))</f>
        <v/>
      </c>
    </row>
    <row r="7" spans="2:13" x14ac:dyDescent="0.25">
      <c r="B7" s="3">
        <v>13</v>
      </c>
      <c r="C7" s="5">
        <v>42190</v>
      </c>
      <c r="D7" s="3" t="s">
        <v>151</v>
      </c>
      <c r="E7" s="3" t="str">
        <f>IFERROR(VLOOKUP(Tabela5[[#This Row],[Product]],'Calculations and Tests'!$J$5:$M$28,4,FALSE),"")</f>
        <v>Kg</v>
      </c>
      <c r="F7" s="3">
        <v>10</v>
      </c>
      <c r="G7" s="6">
        <f>IFERROR(VLOOKUP(Tabela5[[#This Row],[Product]],'Calculations and Tests'!$J$5:$M$28,3,FALSE),0)</f>
        <v>15.9</v>
      </c>
      <c r="H7" s="6">
        <f>Tabela5[[#This Row],[Quantity]]*Tabela5[[#This Row],[Unity Price]]</f>
        <v>159</v>
      </c>
      <c r="I7" s="7"/>
      <c r="J7" s="3" t="s">
        <v>130</v>
      </c>
      <c r="K7" s="6">
        <f>IFERROR(IF(Tabela5[[#This Row],[Sale id]]=B8,0,VLOOKUP(Tabela5[[#This Row],[Deliver]],'Calculations and Tests'!B$5:C$9,2,FALSE)),0)</f>
        <v>0</v>
      </c>
      <c r="L7" s="6">
        <f>Tabela5[[#This Row],[Subtotal]]*(1-Tabela5[[#This Row],[Discount]])+Tabela5[[#This Row],[Delivery Value]]</f>
        <v>159</v>
      </c>
      <c r="M7" s="6" t="str">
        <f>IF(Tabela5[[#This Row],[Sale id]]=B8,"",SUMIF(Tabela5[Sale id],Tabela5[[#This Row],[Sale id]],Tabela5[Total]))</f>
        <v/>
      </c>
    </row>
    <row r="8" spans="2:13" x14ac:dyDescent="0.25">
      <c r="B8" s="3">
        <v>13</v>
      </c>
      <c r="C8" s="5">
        <v>42190</v>
      </c>
      <c r="D8" s="3" t="s">
        <v>153</v>
      </c>
      <c r="E8" s="3" t="str">
        <f>IFERROR(VLOOKUP(Tabela5[[#This Row],[Product]],'Calculations and Tests'!$J$5:$M$28,4,FALSE),"")</f>
        <v>Can</v>
      </c>
      <c r="F8" s="3">
        <v>24</v>
      </c>
      <c r="G8" s="6">
        <f>IFERROR(VLOOKUP(Tabela5[[#This Row],[Product]],'Calculations and Tests'!$J$5:$M$28,3,FALSE),0)</f>
        <v>2.19</v>
      </c>
      <c r="H8" s="6">
        <f>Tabela5[[#This Row],[Quantity]]*Tabela5[[#This Row],[Unity Price]]</f>
        <v>52.56</v>
      </c>
      <c r="I8" s="7"/>
      <c r="J8" s="3" t="s">
        <v>130</v>
      </c>
      <c r="K8" s="6">
        <f>IFERROR(IF(Tabela5[[#This Row],[Sale id]]=B9,0,VLOOKUP(Tabela5[[#This Row],[Deliver]],'Calculations and Tests'!B$5:C$9,2,FALSE)),0)</f>
        <v>6.5</v>
      </c>
      <c r="L8" s="6">
        <f>Tabela5[[#This Row],[Subtotal]]*(1-Tabela5[[#This Row],[Discount]])+Tabela5[[#This Row],[Delivery Value]]</f>
        <v>59.06</v>
      </c>
      <c r="M8" s="6">
        <f>IF(Tabela5[[#This Row],[Sale id]]=B9,"",SUMIF(Tabela5[Sale id],Tabela5[[#This Row],[Sale id]],Tabela5[Total]))</f>
        <v>230.005</v>
      </c>
    </row>
    <row r="9" spans="2:13" x14ac:dyDescent="0.25">
      <c r="B9" s="3">
        <v>12</v>
      </c>
      <c r="C9" s="5">
        <v>42189</v>
      </c>
      <c r="D9" s="3" t="s">
        <v>153</v>
      </c>
      <c r="E9" s="3" t="str">
        <f>IFERROR(VLOOKUP(Tabela5[[#This Row],[Product]],'Calculations and Tests'!$J$5:$M$28,4,FALSE),"")</f>
        <v>Can</v>
      </c>
      <c r="F9" s="3">
        <v>1</v>
      </c>
      <c r="G9" s="6">
        <f>IFERROR(VLOOKUP(Tabela5[[#This Row],[Product]],'Calculations and Tests'!$J$5:$M$28,3,FALSE),0)</f>
        <v>2.19</v>
      </c>
      <c r="H9" s="6">
        <f>Tabela5[[#This Row],[Quantity]]*Tabela5[[#This Row],[Unity Price]]</f>
        <v>2.19</v>
      </c>
      <c r="I9" s="7"/>
      <c r="J9" s="3" t="s">
        <v>126</v>
      </c>
      <c r="K9" s="6">
        <f>IFERROR(IF(Tabela5[[#This Row],[Sale id]]=B10,0,VLOOKUP(Tabela5[[#This Row],[Deliver]],'Calculations and Tests'!B$5:C$9,2,FALSE)),0)</f>
        <v>0</v>
      </c>
      <c r="L9" s="6">
        <f>Tabela5[[#This Row],[Subtotal]]*(1-Tabela5[[#This Row],[Discount]])+Tabela5[[#This Row],[Delivery Value]]</f>
        <v>2.19</v>
      </c>
      <c r="M9" s="6">
        <f>IF(Tabela5[[#This Row],[Sale id]]=B10,"",SUMIF(Tabela5[Sale id],Tabela5[[#This Row],[Sale id]],Tabela5[Total]))</f>
        <v>2.19</v>
      </c>
    </row>
    <row r="10" spans="2:13" x14ac:dyDescent="0.25">
      <c r="B10" s="3">
        <v>11</v>
      </c>
      <c r="C10" s="5">
        <v>42189</v>
      </c>
      <c r="D10" s="3" t="s">
        <v>153</v>
      </c>
      <c r="E10" s="3" t="str">
        <f>IFERROR(VLOOKUP(Tabela5[[#This Row],[Product]],'Calculations and Tests'!$J$5:$M$28,4,FALSE),"")</f>
        <v>Can</v>
      </c>
      <c r="F10" s="3">
        <v>10</v>
      </c>
      <c r="G10" s="6">
        <f>IFERROR(VLOOKUP(Tabela5[[#This Row],[Product]],'Calculations and Tests'!$J$5:$M$28,3,FALSE),0)</f>
        <v>2.19</v>
      </c>
      <c r="H10" s="6">
        <f>Tabela5[[#This Row],[Quantity]]*Tabela5[[#This Row],[Unity Price]]</f>
        <v>21.9</v>
      </c>
      <c r="I10" s="7"/>
      <c r="J10" s="3" t="s">
        <v>126</v>
      </c>
      <c r="K10" s="6">
        <f>IFERROR(IF(Tabela5[[#This Row],[Sale id]]=B11,0,VLOOKUP(Tabela5[[#This Row],[Deliver]],'Calculations and Tests'!B$5:C$9,2,FALSE)),0)</f>
        <v>0</v>
      </c>
      <c r="L10" s="6">
        <f>Tabela5[[#This Row],[Subtotal]]*(1-Tabela5[[#This Row],[Discount]])+Tabela5[[#This Row],[Delivery Value]]</f>
        <v>21.9</v>
      </c>
      <c r="M10" s="6">
        <f>IF(Tabela5[[#This Row],[Sale id]]=B11,"",SUMIF(Tabela5[Sale id],Tabela5[[#This Row],[Sale id]],Tabela5[Total]))</f>
        <v>21.9</v>
      </c>
    </row>
    <row r="11" spans="2:13" x14ac:dyDescent="0.25">
      <c r="B11" s="3">
        <v>10</v>
      </c>
      <c r="C11" s="5">
        <v>42189</v>
      </c>
      <c r="D11" s="3" t="s">
        <v>156</v>
      </c>
      <c r="E11" s="3" t="str">
        <f>IFERROR(VLOOKUP(Tabela5[[#This Row],[Product]],'Calculations and Tests'!$J$5:$M$28,4,FALSE),"")</f>
        <v>Kg</v>
      </c>
      <c r="F11" s="3">
        <v>6</v>
      </c>
      <c r="G11" s="6">
        <f>IFERROR(VLOOKUP(Tabela5[[#This Row],[Product]],'Calculations and Tests'!$J$5:$M$28,3,FALSE),0)</f>
        <v>4.28</v>
      </c>
      <c r="H11" s="6">
        <f>Tabela5[[#This Row],[Quantity]]*Tabela5[[#This Row],[Unity Price]]</f>
        <v>25.68</v>
      </c>
      <c r="I11" s="7"/>
      <c r="J11" s="3" t="s">
        <v>126</v>
      </c>
      <c r="K11" s="6">
        <f>IFERROR(IF(Tabela5[[#This Row],[Sale id]]=B12,0,VLOOKUP(Tabela5[[#This Row],[Deliver]],'Calculations and Tests'!B$5:C$9,2,FALSE)),0)</f>
        <v>0</v>
      </c>
      <c r="L11" s="6">
        <f>Tabela5[[#This Row],[Subtotal]]*(1-Tabela5[[#This Row],[Discount]])+Tabela5[[#This Row],[Delivery Value]]</f>
        <v>25.68</v>
      </c>
      <c r="M11" s="6" t="str">
        <f>IF(Tabela5[[#This Row],[Sale id]]=B12,"",SUMIF(Tabela5[Sale id],Tabela5[[#This Row],[Sale id]],Tabela5[Total]))</f>
        <v/>
      </c>
    </row>
    <row r="12" spans="2:13" x14ac:dyDescent="0.25">
      <c r="B12" s="3">
        <v>10</v>
      </c>
      <c r="C12" s="5">
        <v>42189</v>
      </c>
      <c r="D12" s="3" t="s">
        <v>162</v>
      </c>
      <c r="E12" s="3" t="str">
        <f>IFERROR(VLOOKUP(Tabela5[[#This Row],[Product]],'Calculations and Tests'!$J$5:$M$28,4,FALSE),"")</f>
        <v>Liter</v>
      </c>
      <c r="F12" s="3">
        <v>4</v>
      </c>
      <c r="G12" s="6">
        <f>IFERROR(VLOOKUP(Tabela5[[#This Row],[Product]],'Calculations and Tests'!$J$5:$M$28,3,FALSE),0)</f>
        <v>2.39</v>
      </c>
      <c r="H12" s="6">
        <f>Tabela5[[#This Row],[Quantity]]*Tabela5[[#This Row],[Unity Price]]</f>
        <v>9.56</v>
      </c>
      <c r="I12" s="7"/>
      <c r="J12" s="3" t="s">
        <v>126</v>
      </c>
      <c r="K12" s="6">
        <f>IFERROR(IF(Tabela5[[#This Row],[Sale id]]=B13,0,VLOOKUP(Tabela5[[#This Row],[Deliver]],'Calculations and Tests'!B$5:C$9,2,FALSE)),0)</f>
        <v>0</v>
      </c>
      <c r="L12" s="6">
        <f>Tabela5[[#This Row],[Subtotal]]*(1-Tabela5[[#This Row],[Discount]])+Tabela5[[#This Row],[Delivery Value]]</f>
        <v>9.56</v>
      </c>
      <c r="M12" s="6">
        <f>IF(Tabela5[[#This Row],[Sale id]]=B13,"",SUMIF(Tabela5[Sale id],Tabela5[[#This Row],[Sale id]],Tabela5[Total]))</f>
        <v>35.24</v>
      </c>
    </row>
    <row r="13" spans="2:13" x14ac:dyDescent="0.25">
      <c r="B13" s="3">
        <v>9</v>
      </c>
      <c r="C13" s="5">
        <v>42188</v>
      </c>
      <c r="D13" s="3" t="s">
        <v>159</v>
      </c>
      <c r="E13" s="3" t="str">
        <f>IFERROR(VLOOKUP(Tabela5[[#This Row],[Product]],'Calculations and Tests'!$J$5:$M$28,4,FALSE),"")</f>
        <v>Unit</v>
      </c>
      <c r="F13" s="3">
        <v>5</v>
      </c>
      <c r="G13" s="6">
        <f>IFERROR(VLOOKUP(Tabela5[[#This Row],[Product]],'Calculations and Tests'!$J$5:$M$28,3,FALSE),0)</f>
        <v>2.89</v>
      </c>
      <c r="H13" s="6">
        <f>Tabela5[[#This Row],[Quantity]]*Tabela5[[#This Row],[Unity Price]]</f>
        <v>14.450000000000001</v>
      </c>
      <c r="I13" s="7"/>
      <c r="J13" s="3" t="s">
        <v>126</v>
      </c>
      <c r="K13" s="6">
        <f>IFERROR(IF(Tabela5[[#This Row],[Sale id]]=B14,0,VLOOKUP(Tabela5[[#This Row],[Deliver]],'Calculations and Tests'!B$5:C$9,2,FALSE)),0)</f>
        <v>0</v>
      </c>
      <c r="L13" s="6">
        <f>Tabela5[[#This Row],[Subtotal]]*(1-Tabela5[[#This Row],[Discount]])+Tabela5[[#This Row],[Delivery Value]]</f>
        <v>14.450000000000001</v>
      </c>
      <c r="M13" s="6" t="str">
        <f>IF(Tabela5[[#This Row],[Sale id]]=B14,"",SUMIF(Tabela5[Sale id],Tabela5[[#This Row],[Sale id]],Tabela5[Total]))</f>
        <v/>
      </c>
    </row>
    <row r="14" spans="2:13" x14ac:dyDescent="0.25">
      <c r="B14" s="3">
        <v>9</v>
      </c>
      <c r="C14" s="5">
        <v>42188</v>
      </c>
      <c r="D14" s="3" t="s">
        <v>165</v>
      </c>
      <c r="E14" s="3" t="str">
        <f>IFERROR(VLOOKUP(Tabela5[[#This Row],[Product]],'Calculations and Tests'!$J$5:$M$28,4,FALSE),"")</f>
        <v>Kg</v>
      </c>
      <c r="F14" s="3">
        <v>2</v>
      </c>
      <c r="G14" s="6">
        <f>IFERROR(VLOOKUP(Tabela5[[#This Row],[Product]],'Calculations and Tests'!$J$5:$M$28,3,FALSE),0)</f>
        <v>9.58</v>
      </c>
      <c r="H14" s="6">
        <f>Tabela5[[#This Row],[Quantity]]*Tabela5[[#This Row],[Unity Price]]</f>
        <v>19.16</v>
      </c>
      <c r="I14" s="7"/>
      <c r="J14" s="3" t="s">
        <v>126</v>
      </c>
      <c r="K14" s="6">
        <f>IFERROR(IF(Tabela5[[#This Row],[Sale id]]=B15,0,VLOOKUP(Tabela5[[#This Row],[Deliver]],'Calculations and Tests'!B$5:C$9,2,FALSE)),0)</f>
        <v>0</v>
      </c>
      <c r="L14" s="6">
        <f>Tabela5[[#This Row],[Subtotal]]*(1-Tabela5[[#This Row],[Discount]])+Tabela5[[#This Row],[Delivery Value]]</f>
        <v>19.16</v>
      </c>
      <c r="M14" s="6" t="str">
        <f>IF(Tabela5[[#This Row],[Sale id]]=B15,"",SUMIF(Tabela5[Sale id],Tabela5[[#This Row],[Sale id]],Tabela5[Total]))</f>
        <v/>
      </c>
    </row>
    <row r="15" spans="2:13" x14ac:dyDescent="0.25">
      <c r="B15" s="3">
        <v>9</v>
      </c>
      <c r="C15" s="5">
        <v>42188</v>
      </c>
      <c r="D15" s="3" t="s">
        <v>161</v>
      </c>
      <c r="E15" s="3" t="str">
        <f>IFERROR(VLOOKUP(Tabela5[[#This Row],[Product]],'Calculations and Tests'!$J$5:$M$28,4,FALSE),"")</f>
        <v>Kg</v>
      </c>
      <c r="F15" s="3">
        <v>1.5</v>
      </c>
      <c r="G15" s="6">
        <f>IFERROR(VLOOKUP(Tabela5[[#This Row],[Product]],'Calculations and Tests'!$J$5:$M$28,3,FALSE),0)</f>
        <v>25.9</v>
      </c>
      <c r="H15" s="6">
        <f>Tabela5[[#This Row],[Quantity]]*Tabela5[[#This Row],[Unity Price]]</f>
        <v>38.849999999999994</v>
      </c>
      <c r="I15" s="7"/>
      <c r="J15" s="3" t="s">
        <v>126</v>
      </c>
      <c r="K15" s="6">
        <f>IFERROR(IF(Tabela5[[#This Row],[Sale id]]=B16,0,VLOOKUP(Tabela5[[#This Row],[Deliver]],'Calculations and Tests'!B$5:C$9,2,FALSE)),0)</f>
        <v>0</v>
      </c>
      <c r="L15" s="6">
        <f>Tabela5[[#This Row],[Subtotal]]*(1-Tabela5[[#This Row],[Discount]])+Tabela5[[#This Row],[Delivery Value]]</f>
        <v>38.849999999999994</v>
      </c>
      <c r="M15" s="6" t="str">
        <f>IF(Tabela5[[#This Row],[Sale id]]=B16,"",SUMIF(Tabela5[Sale id],Tabela5[[#This Row],[Sale id]],Tabela5[Total]))</f>
        <v/>
      </c>
    </row>
    <row r="16" spans="2:13" x14ac:dyDescent="0.25">
      <c r="B16" s="3">
        <v>9</v>
      </c>
      <c r="C16" s="5">
        <v>42188</v>
      </c>
      <c r="D16" s="3" t="s">
        <v>156</v>
      </c>
      <c r="E16" s="3" t="str">
        <f>IFERROR(VLOOKUP(Tabela5[[#This Row],[Product]],'Calculations and Tests'!$J$5:$M$28,4,FALSE),"")</f>
        <v>Kg</v>
      </c>
      <c r="F16" s="3">
        <v>4</v>
      </c>
      <c r="G16" s="6">
        <f>IFERROR(VLOOKUP(Tabela5[[#This Row],[Product]],'Calculations and Tests'!$J$5:$M$28,3,FALSE),0)</f>
        <v>4.28</v>
      </c>
      <c r="H16" s="6">
        <f>Tabela5[[#This Row],[Quantity]]*Tabela5[[#This Row],[Unity Price]]</f>
        <v>17.12</v>
      </c>
      <c r="I16" s="7"/>
      <c r="J16" s="3" t="s">
        <v>126</v>
      </c>
      <c r="K16" s="6">
        <f>IFERROR(IF(Tabela5[[#This Row],[Sale id]]=B17,0,VLOOKUP(Tabela5[[#This Row],[Deliver]],'Calculations and Tests'!B$5:C$9,2,FALSE)),0)</f>
        <v>0</v>
      </c>
      <c r="L16" s="6">
        <f>Tabela5[[#This Row],[Subtotal]]*(1-Tabela5[[#This Row],[Discount]])+Tabela5[[#This Row],[Delivery Value]]</f>
        <v>17.12</v>
      </c>
      <c r="M16" s="6">
        <f>IF(Tabela5[[#This Row],[Sale id]]=B17,"",SUMIF(Tabela5[Sale id],Tabela5[[#This Row],[Sale id]],Tabela5[Total]))</f>
        <v>89.58</v>
      </c>
    </row>
    <row r="17" spans="2:13" x14ac:dyDescent="0.25">
      <c r="B17" s="3">
        <v>8</v>
      </c>
      <c r="C17" s="5">
        <v>42188</v>
      </c>
      <c r="D17" s="3" t="s">
        <v>153</v>
      </c>
      <c r="E17" s="3" t="str">
        <f>IFERROR(VLOOKUP(Tabela5[[#This Row],[Product]],'Calculations and Tests'!$J$5:$M$28,4,FALSE),"")</f>
        <v>Can</v>
      </c>
      <c r="F17" s="3">
        <v>20</v>
      </c>
      <c r="G17" s="6">
        <f>IFERROR(VLOOKUP(Tabela5[[#This Row],[Product]],'Calculations and Tests'!$J$5:$M$28,3,FALSE),0)</f>
        <v>2.19</v>
      </c>
      <c r="H17" s="6">
        <f>Tabela5[[#This Row],[Quantity]]*Tabela5[[#This Row],[Unity Price]]</f>
        <v>43.8</v>
      </c>
      <c r="I17" s="7"/>
      <c r="J17" s="3" t="s">
        <v>130</v>
      </c>
      <c r="K17" s="6">
        <f>IFERROR(IF(Tabela5[[#This Row],[Sale id]]=B18,0,VLOOKUP(Tabela5[[#This Row],[Deliver]],'Calculations and Tests'!B$5:C$9,2,FALSE)),0)</f>
        <v>6.5</v>
      </c>
      <c r="L17" s="6">
        <f>Tabela5[[#This Row],[Subtotal]]*(1-Tabela5[[#This Row],[Discount]])+Tabela5[[#This Row],[Delivery Value]]</f>
        <v>50.3</v>
      </c>
      <c r="M17" s="6">
        <f>IF(Tabela5[[#This Row],[Sale id]]=B18,"",SUMIF(Tabela5[Sale id],Tabela5[[#This Row],[Sale id]],Tabela5[Total]))</f>
        <v>50.3</v>
      </c>
    </row>
    <row r="18" spans="2:13" x14ac:dyDescent="0.25">
      <c r="B18" s="3">
        <v>7</v>
      </c>
      <c r="C18" s="5">
        <v>42188</v>
      </c>
      <c r="D18" s="3" t="s">
        <v>153</v>
      </c>
      <c r="E18" s="3" t="str">
        <f>IFERROR(VLOOKUP(Tabela5[[#This Row],[Product]],'Calculations and Tests'!$J$5:$M$28,4,FALSE),"")</f>
        <v>Can</v>
      </c>
      <c r="F18" s="3">
        <v>20</v>
      </c>
      <c r="G18" s="6">
        <f>IFERROR(VLOOKUP(Tabela5[[#This Row],[Product]],'Calculations and Tests'!$J$5:$M$28,3,FALSE),0)</f>
        <v>2.19</v>
      </c>
      <c r="H18" s="6">
        <f>Tabela5[[#This Row],[Quantity]]*Tabela5[[#This Row],[Unity Price]]</f>
        <v>43.8</v>
      </c>
      <c r="I18" s="7"/>
      <c r="J18" s="3" t="s">
        <v>126</v>
      </c>
      <c r="K18" s="6">
        <f>IFERROR(IF(Tabela5[[#This Row],[Sale id]]=B19,0,VLOOKUP(Tabela5[[#This Row],[Deliver]],'Calculations and Tests'!B$5:C$9,2,FALSE)),0)</f>
        <v>0</v>
      </c>
      <c r="L18" s="6">
        <f>Tabela5[[#This Row],[Subtotal]]*(1-Tabela5[[#This Row],[Discount]])+Tabela5[[#This Row],[Delivery Value]]</f>
        <v>43.8</v>
      </c>
      <c r="M18" s="6">
        <f>IF(Tabela5[[#This Row],[Sale id]]=B19,"",SUMIF(Tabela5[Sale id],Tabela5[[#This Row],[Sale id]],Tabela5[Total]))</f>
        <v>43.8</v>
      </c>
    </row>
    <row r="19" spans="2:13" x14ac:dyDescent="0.25">
      <c r="B19" s="3">
        <v>6</v>
      </c>
      <c r="C19" s="5">
        <v>42188</v>
      </c>
      <c r="D19" s="3" t="s">
        <v>150</v>
      </c>
      <c r="E19" s="3" t="str">
        <f>IFERROR(VLOOKUP(Tabela5[[#This Row],[Product]],'Calculations and Tests'!$J$5:$M$28,4,FALSE),"")</f>
        <v>Package</v>
      </c>
      <c r="F19" s="3">
        <v>2</v>
      </c>
      <c r="G19" s="6">
        <f>IFERROR(VLOOKUP(Tabela5[[#This Row],[Product]],'Calculations and Tests'!$J$5:$M$28,3,FALSE),0)</f>
        <v>0.79</v>
      </c>
      <c r="H19" s="6">
        <f>Tabela5[[#This Row],[Quantity]]*Tabela5[[#This Row],[Unity Price]]</f>
        <v>1.58</v>
      </c>
      <c r="I19" s="7"/>
      <c r="J19" s="3" t="s">
        <v>126</v>
      </c>
      <c r="K19" s="6">
        <f>IFERROR(IF(Tabela5[[#This Row],[Sale id]]=B20,0,VLOOKUP(Tabela5[[#This Row],[Deliver]],'Calculations and Tests'!B$5:C$9,2,FALSE)),0)</f>
        <v>0</v>
      </c>
      <c r="L19" s="6">
        <f>Tabela5[[#This Row],[Subtotal]]*(1-Tabela5[[#This Row],[Discount]])+Tabela5[[#This Row],[Delivery Value]]</f>
        <v>1.58</v>
      </c>
      <c r="M19" s="6" t="str">
        <f>IF(Tabela5[[#This Row],[Sale id]]=B20,"",SUMIF(Tabela5[Sale id],Tabela5[[#This Row],[Sale id]],Tabela5[Total]))</f>
        <v/>
      </c>
    </row>
    <row r="20" spans="2:13" x14ac:dyDescent="0.25">
      <c r="B20" s="3">
        <v>6</v>
      </c>
      <c r="C20" s="5">
        <v>42188</v>
      </c>
      <c r="D20" s="3" t="s">
        <v>151</v>
      </c>
      <c r="E20" s="3" t="str">
        <f>IFERROR(VLOOKUP(Tabela5[[#This Row],[Product]],'Calculations and Tests'!$J$5:$M$28,4,FALSE),"")</f>
        <v>Kg</v>
      </c>
      <c r="F20" s="3">
        <v>6</v>
      </c>
      <c r="G20" s="6">
        <f>IFERROR(VLOOKUP(Tabela5[[#This Row],[Product]],'Calculations and Tests'!$J$5:$M$28,3,FALSE),0)</f>
        <v>15.9</v>
      </c>
      <c r="H20" s="6">
        <f>Tabela5[[#This Row],[Quantity]]*Tabela5[[#This Row],[Unity Price]]</f>
        <v>95.4</v>
      </c>
      <c r="I20" s="7"/>
      <c r="J20" s="3" t="s">
        <v>126</v>
      </c>
      <c r="K20" s="6">
        <f>IFERROR(IF(Tabela5[[#This Row],[Sale id]]=B21,0,VLOOKUP(Tabela5[[#This Row],[Deliver]],'Calculations and Tests'!B$5:C$9,2,FALSE)),0)</f>
        <v>0</v>
      </c>
      <c r="L20" s="6">
        <f>Tabela5[[#This Row],[Subtotal]]*(1-Tabela5[[#This Row],[Discount]])+Tabela5[[#This Row],[Delivery Value]]</f>
        <v>95.4</v>
      </c>
      <c r="M20" s="6" t="str">
        <f>IF(Tabela5[[#This Row],[Sale id]]=B21,"",SUMIF(Tabela5[Sale id],Tabela5[[#This Row],[Sale id]],Tabela5[Total]))</f>
        <v/>
      </c>
    </row>
    <row r="21" spans="2:13" x14ac:dyDescent="0.25">
      <c r="B21" s="3">
        <v>6</v>
      </c>
      <c r="C21" s="5">
        <v>42188</v>
      </c>
      <c r="D21" s="3" t="s">
        <v>153</v>
      </c>
      <c r="E21" s="3" t="str">
        <f>IFERROR(VLOOKUP(Tabela5[[#This Row],[Product]],'Calculations and Tests'!$J$5:$M$28,4,FALSE),"")</f>
        <v>Can</v>
      </c>
      <c r="F21" s="3">
        <v>12</v>
      </c>
      <c r="G21" s="6">
        <f>IFERROR(VLOOKUP(Tabela5[[#This Row],[Product]],'Calculations and Tests'!$J$5:$M$28,3,FALSE),0)</f>
        <v>2.19</v>
      </c>
      <c r="H21" s="6">
        <f>Tabela5[[#This Row],[Quantity]]*Tabela5[[#This Row],[Unity Price]]</f>
        <v>26.28</v>
      </c>
      <c r="I21" s="7"/>
      <c r="J21" s="3" t="s">
        <v>126</v>
      </c>
      <c r="K21" s="6">
        <f>IFERROR(IF(Tabela5[[#This Row],[Sale id]]=B22,0,VLOOKUP(Tabela5[[#This Row],[Deliver]],'Calculations and Tests'!B$5:C$9,2,FALSE)),0)</f>
        <v>0</v>
      </c>
      <c r="L21" s="6">
        <f>Tabela5[[#This Row],[Subtotal]]*(1-Tabela5[[#This Row],[Discount]])+Tabela5[[#This Row],[Delivery Value]]</f>
        <v>26.28</v>
      </c>
      <c r="M21" s="6">
        <f>IF(Tabela5[[#This Row],[Sale id]]=B22,"",SUMIF(Tabela5[Sale id],Tabela5[[#This Row],[Sale id]],Tabela5[Total]))</f>
        <v>123.26</v>
      </c>
    </row>
    <row r="22" spans="2:13" x14ac:dyDescent="0.25">
      <c r="B22" s="3">
        <v>5</v>
      </c>
      <c r="C22" s="5">
        <v>42187</v>
      </c>
      <c r="D22" s="3" t="s">
        <v>144</v>
      </c>
      <c r="E22" s="3" t="str">
        <f>IFERROR(VLOOKUP(Tabela5[[#This Row],[Product]],'Calculations and Tests'!$J$5:$M$28,4,FALSE),"")</f>
        <v>Unit</v>
      </c>
      <c r="F22" s="3">
        <v>3</v>
      </c>
      <c r="G22" s="6">
        <f>IFERROR(VLOOKUP(Tabela5[[#This Row],[Product]],'Calculations and Tests'!$J$5:$M$28,3,FALSE),0)</f>
        <v>2.99</v>
      </c>
      <c r="H22" s="6">
        <f>Tabela5[[#This Row],[Quantity]]*Tabela5[[#This Row],[Unity Price]]</f>
        <v>8.9700000000000006</v>
      </c>
      <c r="I22" s="7"/>
      <c r="J22" s="3" t="s">
        <v>130</v>
      </c>
      <c r="K22" s="6">
        <f>IFERROR(IF(Tabela5[[#This Row],[Sale id]]=B23,0,VLOOKUP(Tabela5[[#This Row],[Deliver]],'Calculations and Tests'!B$5:C$9,2,FALSE)),0)</f>
        <v>6.5</v>
      </c>
      <c r="L22" s="6">
        <f>Tabela5[[#This Row],[Subtotal]]*(1-Tabela5[[#This Row],[Discount]])+Tabela5[[#This Row],[Delivery Value]]</f>
        <v>15.47</v>
      </c>
      <c r="M22" s="6">
        <f>IF(Tabela5[[#This Row],[Sale id]]=B23,"",SUMIF(Tabela5[Sale id],Tabela5[[#This Row],[Sale id]],Tabela5[Total]))</f>
        <v>15.47</v>
      </c>
    </row>
    <row r="23" spans="2:13" x14ac:dyDescent="0.25">
      <c r="B23" s="3">
        <v>4</v>
      </c>
      <c r="C23" s="5">
        <v>42187</v>
      </c>
      <c r="D23" s="3" t="s">
        <v>148</v>
      </c>
      <c r="E23" s="3" t="str">
        <f>IFERROR(VLOOKUP(Tabela5[[#This Row],[Product]],'Calculations and Tests'!$J$5:$M$28,4,FALSE),"")</f>
        <v>Package</v>
      </c>
      <c r="F23" s="3">
        <v>2</v>
      </c>
      <c r="G23" s="6">
        <f>IFERROR(VLOOKUP(Tabela5[[#This Row],[Product]],'Calculations and Tests'!$J$5:$M$28,3,FALSE),0)</f>
        <v>1.99</v>
      </c>
      <c r="H23" s="6">
        <f>Tabela5[[#This Row],[Quantity]]*Tabela5[[#This Row],[Unity Price]]</f>
        <v>3.98</v>
      </c>
      <c r="I23" s="7"/>
      <c r="J23" s="3" t="s">
        <v>128</v>
      </c>
      <c r="K23" s="6">
        <f>IFERROR(IF(Tabela5[[#This Row],[Sale id]]=B24,0,VLOOKUP(Tabela5[[#This Row],[Deliver]],'Calculations and Tests'!B$5:C$9,2,FALSE)),0)</f>
        <v>0</v>
      </c>
      <c r="L23" s="6">
        <f>Tabela5[[#This Row],[Subtotal]]*(1-Tabela5[[#This Row],[Discount]])+Tabela5[[#This Row],[Delivery Value]]</f>
        <v>3.98</v>
      </c>
      <c r="M23" s="6" t="str">
        <f>IF(Tabela5[[#This Row],[Sale id]]=B24,"",SUMIF(Tabela5[Sale id],Tabela5[[#This Row],[Sale id]],Tabela5[Total]))</f>
        <v/>
      </c>
    </row>
    <row r="24" spans="2:13" x14ac:dyDescent="0.25">
      <c r="B24" s="3">
        <v>4</v>
      </c>
      <c r="C24" s="5">
        <v>42187</v>
      </c>
      <c r="D24" s="3" t="s">
        <v>147</v>
      </c>
      <c r="E24" s="3" t="str">
        <f>IFERROR(VLOOKUP(Tabela5[[#This Row],[Product]],'Calculations and Tests'!$J$5:$M$28,4,FALSE),"")</f>
        <v>Kg</v>
      </c>
      <c r="F24" s="3">
        <v>5</v>
      </c>
      <c r="G24" s="6">
        <f>IFERROR(VLOOKUP(Tabela5[[#This Row],[Product]],'Calculations and Tests'!$J$5:$M$28,3,FALSE),0)</f>
        <v>2.4900000000000002</v>
      </c>
      <c r="H24" s="6">
        <f>Tabela5[[#This Row],[Quantity]]*Tabela5[[#This Row],[Unity Price]]</f>
        <v>12.450000000000001</v>
      </c>
      <c r="I24" s="7"/>
      <c r="J24" s="3" t="s">
        <v>128</v>
      </c>
      <c r="K24" s="6">
        <f>IFERROR(IF(Tabela5[[#This Row],[Sale id]]=B25,0,VLOOKUP(Tabela5[[#This Row],[Deliver]],'Calculations and Tests'!B$5:C$9,2,FALSE)),0)</f>
        <v>6.5</v>
      </c>
      <c r="L24" s="6">
        <f>Tabela5[[#This Row],[Subtotal]]*(1-Tabela5[[#This Row],[Discount]])+Tabela5[[#This Row],[Delivery Value]]</f>
        <v>18.950000000000003</v>
      </c>
      <c r="M24" s="6">
        <f>IF(Tabela5[[#This Row],[Sale id]]=B25,"",SUMIF(Tabela5[Sale id],Tabela5[[#This Row],[Sale id]],Tabela5[Total]))</f>
        <v>22.930000000000003</v>
      </c>
    </row>
    <row r="25" spans="2:13" x14ac:dyDescent="0.25">
      <c r="B25" s="3">
        <v>3</v>
      </c>
      <c r="C25" s="5">
        <v>42187</v>
      </c>
      <c r="D25" s="3" t="s">
        <v>158</v>
      </c>
      <c r="E25" s="3" t="str">
        <f>IFERROR(VLOOKUP(Tabela5[[#This Row],[Product]],'Calculations and Tests'!$J$5:$M$28,4,FALSE),"")</f>
        <v>Liter</v>
      </c>
      <c r="F25" s="3">
        <v>6</v>
      </c>
      <c r="G25" s="6">
        <f>IFERROR(VLOOKUP(Tabela5[[#This Row],[Product]],'Calculations and Tests'!$J$5:$M$28,3,FALSE),0)</f>
        <v>1.49</v>
      </c>
      <c r="H25" s="6">
        <f>Tabela5[[#This Row],[Quantity]]*Tabela5[[#This Row],[Unity Price]]</f>
        <v>8.94</v>
      </c>
      <c r="I25" s="7"/>
      <c r="J25" s="3" t="s">
        <v>128</v>
      </c>
      <c r="K25" s="6">
        <f>IFERROR(IF(Tabela5[[#This Row],[Sale id]]=B26,0,VLOOKUP(Tabela5[[#This Row],[Deliver]],'Calculations and Tests'!B$5:C$9,2,FALSE)),0)</f>
        <v>6.5</v>
      </c>
      <c r="L25" s="6">
        <f>Tabela5[[#This Row],[Subtotal]]*(1-Tabela5[[#This Row],[Discount]])+Tabela5[[#This Row],[Delivery Value]]</f>
        <v>15.44</v>
      </c>
      <c r="M25" s="6">
        <f>IF(Tabela5[[#This Row],[Sale id]]=B26,"",SUMIF(Tabela5[Sale id],Tabela5[[#This Row],[Sale id]],Tabela5[Total]))</f>
        <v>15.44</v>
      </c>
    </row>
    <row r="26" spans="2:13" x14ac:dyDescent="0.25">
      <c r="B26" s="3">
        <v>2</v>
      </c>
      <c r="C26" s="5">
        <v>42187</v>
      </c>
      <c r="D26" s="3" t="s">
        <v>148</v>
      </c>
      <c r="E26" s="3" t="str">
        <f>IFERROR(VLOOKUP(Tabela5[[#This Row],[Product]],'Calculations and Tests'!$J$5:$M$28,4,FALSE),"")</f>
        <v>Package</v>
      </c>
      <c r="F26" s="3">
        <v>1</v>
      </c>
      <c r="G26" s="6">
        <f>IFERROR(VLOOKUP(Tabela5[[#This Row],[Product]],'Calculations and Tests'!$J$5:$M$28,3,FALSE),0)</f>
        <v>1.99</v>
      </c>
      <c r="H26" s="6">
        <f>Tabela5[[#This Row],[Quantity]]*Tabela5[[#This Row],[Unity Price]]</f>
        <v>1.99</v>
      </c>
      <c r="I26" s="7"/>
      <c r="J26" s="3" t="s">
        <v>128</v>
      </c>
      <c r="K26" s="6">
        <f>IFERROR(IF(Tabela5[[#This Row],[Sale id]]=B27,0,VLOOKUP(Tabela5[[#This Row],[Deliver]],'Calculations and Tests'!B$5:C$9,2,FALSE)),0)</f>
        <v>6.5</v>
      </c>
      <c r="L26" s="6">
        <f>Tabela5[[#This Row],[Subtotal]]*(1-Tabela5[[#This Row],[Discount]])+Tabela5[[#This Row],[Delivery Value]]</f>
        <v>8.49</v>
      </c>
      <c r="M26" s="6">
        <f>IF(Tabela5[[#This Row],[Sale id]]=B27,"",SUMIF(Tabela5[Sale id],Tabela5[[#This Row],[Sale id]],Tabela5[Total]))</f>
        <v>8.49</v>
      </c>
    </row>
    <row r="27" spans="2:13" x14ac:dyDescent="0.25">
      <c r="B27" s="3">
        <v>1</v>
      </c>
      <c r="C27" s="5">
        <v>42187</v>
      </c>
      <c r="D27" s="3" t="s">
        <v>147</v>
      </c>
      <c r="E27" s="3" t="str">
        <f>IFERROR(VLOOKUP(Tabela5[[#This Row],[Product]],'Calculations and Tests'!$J$5:$M$28,4,FALSE),"")</f>
        <v>Kg</v>
      </c>
      <c r="F27" s="3">
        <v>2</v>
      </c>
      <c r="G27" s="6">
        <f>IFERROR(VLOOKUP(Tabela5[[#This Row],[Product]],'Calculations and Tests'!$J$5:$M$28,3,FALSE),0)</f>
        <v>2.4900000000000002</v>
      </c>
      <c r="H27" s="6">
        <f>Tabela5[[#This Row],[Quantity]]*Tabela5[[#This Row],[Unity Price]]</f>
        <v>4.9800000000000004</v>
      </c>
      <c r="I27" s="7"/>
      <c r="J27" s="3" t="s">
        <v>126</v>
      </c>
      <c r="K27" s="6">
        <f>IFERROR(IF(Tabela5[[#This Row],[Sale id]]=B28,0,VLOOKUP(Tabela5[[#This Row],[Deliver]],'Calculations and Tests'!B$5:C$9,2,FALSE)),0)</f>
        <v>0</v>
      </c>
      <c r="L27" s="6">
        <f>Tabela5[[#This Row],[Subtotal]]*(1-Tabela5[[#This Row],[Discount]])+Tabela5[[#This Row],[Delivery Value]]</f>
        <v>4.9800000000000004</v>
      </c>
      <c r="M27" s="6" t="str">
        <f>IF(Tabela5[[#This Row],[Sale id]]=B28,"",SUMIF(Tabela5[Sale id],Tabela5[[#This Row],[Sale id]],Tabela5[Total]))</f>
        <v/>
      </c>
    </row>
    <row r="28" spans="2:13" x14ac:dyDescent="0.25">
      <c r="B28" s="3">
        <v>1</v>
      </c>
      <c r="C28" s="5">
        <v>42187</v>
      </c>
      <c r="D28" s="3" t="s">
        <v>146</v>
      </c>
      <c r="E28" s="3" t="str">
        <f>IFERROR(VLOOKUP(Tabela5[[#This Row],[Product]],'Calculations and Tests'!$J$5:$M$28,4,FALSE),"")</f>
        <v>Package</v>
      </c>
      <c r="F28" s="3">
        <v>3</v>
      </c>
      <c r="G28" s="6">
        <f>IFERROR(VLOOKUP(Tabela5[[#This Row],[Product]],'Calculations and Tests'!$J$5:$M$28,3,FALSE),0)</f>
        <v>1.1499999999999999</v>
      </c>
      <c r="H28" s="6">
        <f>Tabela5[[#This Row],[Quantity]]*Tabela5[[#This Row],[Unity Price]]</f>
        <v>3.4499999999999997</v>
      </c>
      <c r="I28" s="7"/>
      <c r="J28" s="3" t="s">
        <v>126</v>
      </c>
      <c r="K28" s="6">
        <f>IFERROR(IF(Tabela5[[#This Row],[Sale id]]=B29,0,VLOOKUP(Tabela5[[#This Row],[Deliver]],'Calculations and Tests'!B$5:C$9,2,FALSE)),0)</f>
        <v>0</v>
      </c>
      <c r="L28" s="6">
        <f>Tabela5[[#This Row],[Subtotal]]*(1-Tabela5[[#This Row],[Discount]])+Tabela5[[#This Row],[Delivery Value]]</f>
        <v>3.4499999999999997</v>
      </c>
      <c r="M28" s="6" t="str">
        <f>IF(Tabela5[[#This Row],[Sale id]]=B29,"",SUMIF(Tabela5[Sale id],Tabela5[[#This Row],[Sale id]],Tabela5[Total]))</f>
        <v/>
      </c>
    </row>
    <row r="29" spans="2:13" x14ac:dyDescent="0.25">
      <c r="B29" s="3">
        <v>1</v>
      </c>
      <c r="C29" s="5">
        <v>42187</v>
      </c>
      <c r="D29" s="3" t="s">
        <v>148</v>
      </c>
      <c r="E29" s="3" t="str">
        <f>IFERROR(VLOOKUP(Tabela5[[#This Row],[Product]],'Calculations and Tests'!$J$5:$M$28,4,FALSE),"")</f>
        <v>Package</v>
      </c>
      <c r="F29" s="3">
        <v>1</v>
      </c>
      <c r="G29" s="6">
        <f>IFERROR(VLOOKUP(Tabela5[[#This Row],[Product]],'Calculations and Tests'!$J$5:$M$28,3,FALSE),0)</f>
        <v>1.99</v>
      </c>
      <c r="H29" s="6">
        <f>Tabela5[[#This Row],[Quantity]]*Tabela5[[#This Row],[Unity Price]]</f>
        <v>1.99</v>
      </c>
      <c r="I29" s="7"/>
      <c r="J29" s="3" t="s">
        <v>126</v>
      </c>
      <c r="K29" s="6">
        <f>IFERROR(IF(Tabela5[[#This Row],[Sale id]]=B30,0,VLOOKUP(Tabela5[[#This Row],[Deliver]],'Calculations and Tests'!B$5:C$9,2,FALSE)),0)</f>
        <v>0</v>
      </c>
      <c r="L29" s="6">
        <f>Tabela5[[#This Row],[Subtotal]]*(1-Tabela5[[#This Row],[Discount]])+Tabela5[[#This Row],[Delivery Value]]</f>
        <v>1.99</v>
      </c>
      <c r="M29" s="6">
        <f>IF(Tabela5[[#This Row],[Sale id]]=B30,"",SUMIF(Tabela5[Sale id],Tabela5[[#This Row],[Sale id]],Tabela5[Total]))</f>
        <v>10.42</v>
      </c>
    </row>
    <row r="30" spans="2:13" x14ac:dyDescent="0.25"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</row>
    <row r="31" spans="2:13" ht="21" x14ac:dyDescent="0.35">
      <c r="B31" s="21" t="s">
        <v>141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SUM(Tabela5[Total])</f>
        <v>669.0250000000002</v>
      </c>
    </row>
    <row r="33" spans="2:13" ht="21" x14ac:dyDescent="0.35">
      <c r="B33" s="21" t="s">
        <v>142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23">
        <f>SUM(Tabela5[Delivery Value])</f>
        <v>39</v>
      </c>
    </row>
    <row r="35" spans="2:13" ht="21" x14ac:dyDescent="0.35">
      <c r="B35" s="21" t="s">
        <v>143</v>
      </c>
      <c r="C35" s="21"/>
      <c r="D35" s="21"/>
      <c r="E35" s="22"/>
      <c r="F35" s="22"/>
      <c r="G35" s="22"/>
      <c r="H35" s="22"/>
      <c r="I35" s="22"/>
      <c r="J35" s="22"/>
      <c r="K35" s="22"/>
      <c r="L35" s="22"/>
      <c r="M35" s="44">
        <f>SUM(IF(FREQUENCY(Tabela5[Sale id],Tabela5[Sale id])&gt;0,1,0))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ACAD97-86BD-42ED-B9AF-0F9F341FD449}">
          <x14:formula1>
            <xm:f>'Calculations and Tests'!$J$5:$J$28</xm:f>
          </x14:formula1>
          <xm:sqref>D5:D29</xm:sqref>
        </x14:dataValidation>
        <x14:dataValidation type="list" allowBlank="1" showInputMessage="1" showErrorMessage="1" xr:uid="{F93AEE6E-B63A-4145-B748-FD20BE36D521}">
          <x14:formula1>
            <xm:f>'Calculations and Tests'!$B$5:$B$9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1EB6F-DC6E-4172-BDBB-89008F586554}">
  <dimension ref="A3:I8"/>
  <sheetViews>
    <sheetView showGridLines="0" workbookViewId="0"/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40</v>
      </c>
      <c r="B3" t="s">
        <v>173</v>
      </c>
      <c r="C3" t="s">
        <v>42</v>
      </c>
      <c r="F3" s="76" t="s">
        <v>40</v>
      </c>
      <c r="G3" t="s">
        <v>173</v>
      </c>
      <c r="H3" t="s">
        <v>174</v>
      </c>
      <c r="I3" t="s">
        <v>42</v>
      </c>
    </row>
    <row r="4" spans="1:9" x14ac:dyDescent="0.25">
      <c r="A4" s="77">
        <v>42187</v>
      </c>
      <c r="B4">
        <v>23</v>
      </c>
      <c r="C4" s="78">
        <v>60.330000000000005</v>
      </c>
      <c r="F4" s="80" t="s">
        <v>128</v>
      </c>
      <c r="G4">
        <v>14</v>
      </c>
      <c r="H4" s="78">
        <v>19.5</v>
      </c>
      <c r="I4" s="78">
        <v>46.860000000000007</v>
      </c>
    </row>
    <row r="5" spans="1:9" x14ac:dyDescent="0.25">
      <c r="A5" s="77">
        <v>42188</v>
      </c>
      <c r="B5">
        <v>72.5</v>
      </c>
      <c r="C5" s="78">
        <v>306.94000000000005</v>
      </c>
      <c r="F5" s="80" t="s">
        <v>130</v>
      </c>
      <c r="G5">
        <v>68</v>
      </c>
      <c r="H5" s="78">
        <v>19.5</v>
      </c>
      <c r="I5" s="78">
        <v>275.64999999999998</v>
      </c>
    </row>
    <row r="6" spans="1:9" x14ac:dyDescent="0.25">
      <c r="A6" s="77">
        <v>42189</v>
      </c>
      <c r="B6">
        <v>21</v>
      </c>
      <c r="C6" s="78">
        <v>59.33</v>
      </c>
      <c r="F6" s="80" t="s">
        <v>126</v>
      </c>
      <c r="G6">
        <v>79.5</v>
      </c>
      <c r="H6" s="78">
        <v>0</v>
      </c>
      <c r="I6" s="78">
        <v>322.94000000000005</v>
      </c>
    </row>
    <row r="7" spans="1:9" x14ac:dyDescent="0.25">
      <c r="A7" s="77">
        <v>42190</v>
      </c>
      <c r="B7">
        <v>45</v>
      </c>
      <c r="C7" s="78">
        <v>218.85</v>
      </c>
      <c r="F7" s="80" t="s">
        <v>41</v>
      </c>
      <c r="G7">
        <v>161.5</v>
      </c>
      <c r="H7" s="78">
        <v>39</v>
      </c>
      <c r="I7" s="78">
        <v>645.45000000000005</v>
      </c>
    </row>
    <row r="8" spans="1:9" x14ac:dyDescent="0.25">
      <c r="A8" s="77" t="s">
        <v>41</v>
      </c>
      <c r="B8">
        <v>161.5</v>
      </c>
      <c r="C8" s="78">
        <v>645.45000000000005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56D35-B4B1-448E-B2A7-5CAAD202E7ED}">
  <dimension ref="B2:M36"/>
  <sheetViews>
    <sheetView showGridLines="0" topLeftCell="A2" zoomScale="90" zoomScaleNormal="90" workbookViewId="0">
      <selection activeCell="K7" sqref="K7"/>
    </sheetView>
  </sheetViews>
  <sheetFormatPr defaultRowHeight="15" x14ac:dyDescent="0.25"/>
  <cols>
    <col min="1" max="1" width="22.42578125" customWidth="1"/>
    <col min="2" max="2" width="14.5703125" customWidth="1"/>
    <col min="3" max="3" width="13.28515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4" width="23" bestFit="1" customWidth="1"/>
  </cols>
  <sheetData>
    <row r="2" spans="2:13" s="18" customFormat="1" ht="27.95" customHeight="1" x14ac:dyDescent="0.25">
      <c r="B2" s="17" t="s">
        <v>52</v>
      </c>
    </row>
    <row r="3" spans="2:13" ht="29.25" customHeight="1" x14ac:dyDescent="0.25"/>
    <row r="4" spans="2:13" x14ac:dyDescent="0.25">
      <c r="B4" s="3" t="s">
        <v>131</v>
      </c>
      <c r="C4" s="3" t="s">
        <v>58</v>
      </c>
      <c r="D4" s="3" t="s">
        <v>99</v>
      </c>
      <c r="E4" s="3" t="s">
        <v>87</v>
      </c>
      <c r="F4" s="3" t="s">
        <v>88</v>
      </c>
      <c r="G4" s="3" t="s">
        <v>132</v>
      </c>
      <c r="H4" s="3" t="s">
        <v>37</v>
      </c>
      <c r="I4" s="3" t="s">
        <v>90</v>
      </c>
      <c r="J4" s="3" t="s">
        <v>133</v>
      </c>
      <c r="K4" s="3" t="s">
        <v>134</v>
      </c>
      <c r="L4" s="3" t="s">
        <v>38</v>
      </c>
      <c r="M4" s="3" t="s">
        <v>135</v>
      </c>
    </row>
    <row r="5" spans="2:13" x14ac:dyDescent="0.25">
      <c r="B5" s="3">
        <v>4</v>
      </c>
      <c r="C5" s="5">
        <v>45034</v>
      </c>
      <c r="D5" s="3" t="s">
        <v>147</v>
      </c>
      <c r="E5" s="3" t="str">
        <f>IFERROR(VLOOKUP(Tabela58[[#This Row],[Product]],'Calculations and Tests'!$J$5:$M$28,4,FALSE),"")</f>
        <v>Kg</v>
      </c>
      <c r="F5" s="3">
        <v>10</v>
      </c>
      <c r="G5" s="6">
        <f>IFERROR(VLOOKUP(Tabela58[[#This Row],[Product]],'Calculations and Tests'!$J$5:$M$28,3,FALSE),0)</f>
        <v>2.4900000000000002</v>
      </c>
      <c r="H5" s="6">
        <f>Tabela58[[#This Row],[Quantity]]*Tabela58[[#This Row],[Unity Price]]</f>
        <v>24.900000000000002</v>
      </c>
      <c r="I5" s="7"/>
      <c r="J5" s="3" t="s">
        <v>129</v>
      </c>
      <c r="K5" s="6">
        <f>IFERROR(IF(Tabela58[[#This Row],[Sale id]]=B6,0,VLOOKUP(Tabela58[[#This Row],[Deliver]],'Calculations and Tests'!B$5:C$9,2,FALSE)),0)</f>
        <v>8</v>
      </c>
      <c r="L5" s="6">
        <f>Tabela58[[#This Row],[Subtotal]]*(1-Tabela58[[#This Row],[Discount]])+Tabela58[[#This Row],[Delivery Value]]</f>
        <v>32.900000000000006</v>
      </c>
      <c r="M5" s="6">
        <f>IF(Tabela58[[#This Row],[Sale id]]=B6,"",SUMIF(Tabela58[Sale id],Tabela58[[#This Row],[Sale id]],Tabela58[Total]))</f>
        <v>32.900000000000006</v>
      </c>
    </row>
    <row r="6" spans="2:13" x14ac:dyDescent="0.25">
      <c r="B6" s="3">
        <v>3</v>
      </c>
      <c r="C6" s="24">
        <v>42190</v>
      </c>
      <c r="D6" s="3" t="s">
        <v>149</v>
      </c>
      <c r="E6" s="3" t="str">
        <f>IFERROR(VLOOKUP(Tabela58[[#This Row],[Product]],'Calculations and Tests'!$J$5:$M$28,4,FALSE),"")</f>
        <v>Package</v>
      </c>
      <c r="F6" s="3">
        <v>2</v>
      </c>
      <c r="G6" s="6">
        <f>IFERROR(VLOOKUP(Tabela58[[#This Row],[Product]],'Calculations and Tests'!$J$5:$M$28,3,FALSE),0)</f>
        <v>1.1499999999999999</v>
      </c>
      <c r="H6" s="6">
        <f>Tabela58[[#This Row],[Quantity]]*Tabela58[[#This Row],[Unity Price]]</f>
        <v>2.2999999999999998</v>
      </c>
      <c r="I6" s="7"/>
      <c r="J6" s="3" t="s">
        <v>130</v>
      </c>
      <c r="K6" s="6">
        <f>IFERROR(IF(Tabela58[[#This Row],[Sale id]]=B7,0,VLOOKUP(Tabela58[[#This Row],[Deliver]],'Calculations and Tests'!B$5:C$9,2,FALSE)),0)</f>
        <v>6.5</v>
      </c>
      <c r="L6" s="6">
        <f>Tabela58[[#This Row],[Subtotal]]*(1-Tabela58[[#This Row],[Discount]])+Tabela58[[#This Row],[Delivery Value]]</f>
        <v>8.8000000000000007</v>
      </c>
      <c r="M6" s="6">
        <f>IF(Tabela58[[#This Row],[Sale id]]=B7,"",SUMIF(Tabela58[Sale id],Tabela58[[#This Row],[Sale id]],Tabela58[Total]))</f>
        <v>8.8000000000000007</v>
      </c>
    </row>
    <row r="7" spans="2:13" x14ac:dyDescent="0.25">
      <c r="B7" s="3"/>
      <c r="C7" s="5"/>
      <c r="D7" s="3"/>
      <c r="E7" s="3" t="str">
        <f>IFERROR(VLOOKUP(Tabela58[[#This Row],[Product]],'Calculations and Tests'!$J$5:$M$28,4,FALSE),"")</f>
        <v/>
      </c>
      <c r="F7" s="3"/>
      <c r="G7" s="6">
        <f>IFERROR(VLOOKUP(Tabela58[[#This Row],[Product]],'Calculations and Tests'!$J$5:$M$28,3,FALSE),0)</f>
        <v>0</v>
      </c>
      <c r="H7" s="6">
        <f>Tabela58[[#This Row],[Quantity]]*Tabela58[[#This Row],[Unity Price]]</f>
        <v>0</v>
      </c>
      <c r="I7" s="7"/>
      <c r="J7" s="3"/>
      <c r="K7" s="6">
        <f>IFERROR(IF(Tabela58[[#This Row],[Sale id]]=B8,0,VLOOKUP(Tabela58[[#This Row],[Deliver]],'Calculations and Tests'!B$5:C$9,2,FALSE)),0)</f>
        <v>0</v>
      </c>
      <c r="L7" s="6">
        <f>Tabela58[[#This Row],[Subtotal]]*(1-Tabela58[[#This Row],[Discount]])+Tabela58[[#This Row],[Delivery Value]]</f>
        <v>0</v>
      </c>
      <c r="M7" s="6" t="str">
        <f>IF(Tabela58[[#This Row],[Sale id]]=B8,"",SUMIF(Tabela58[Sale id],Tabela58[[#This Row],[Sale id]],Tabela58[Total]))</f>
        <v/>
      </c>
    </row>
    <row r="8" spans="2:13" x14ac:dyDescent="0.25">
      <c r="B8" s="3"/>
      <c r="C8" s="5"/>
      <c r="D8" s="3"/>
      <c r="E8" s="3" t="str">
        <f>IFERROR(VLOOKUP(Tabela58[[#This Row],[Product]],'Calculations and Tests'!$J$5:$M$28,4,FALSE),"")</f>
        <v/>
      </c>
      <c r="F8" s="3"/>
      <c r="G8" s="6">
        <f>IFERROR(VLOOKUP(Tabela58[[#This Row],[Product]],'Calculations and Tests'!$J$5:$M$28,3,FALSE),0)</f>
        <v>0</v>
      </c>
      <c r="H8" s="6">
        <f>Tabela58[[#This Row],[Quantity]]*Tabela58[[#This Row],[Unity Price]]</f>
        <v>0</v>
      </c>
      <c r="I8" s="7"/>
      <c r="J8" s="3"/>
      <c r="K8" s="6">
        <f>IFERROR(IF(Tabela58[[#This Row],[Sale id]]=B9,0,VLOOKUP(Tabela58[[#This Row],[Deliver]],'Calculations and Tests'!B$5:C$9,2,FALSE)),0)</f>
        <v>0</v>
      </c>
      <c r="L8" s="6">
        <f>Tabela58[[#This Row],[Subtotal]]*(1-Tabela58[[#This Row],[Discount]])+Tabela58[[#This Row],[Delivery Value]]</f>
        <v>0</v>
      </c>
      <c r="M8" s="6" t="str">
        <f>IF(Tabela58[[#This Row],[Sale id]]=B9,"",SUMIF(Tabela58[Sale id],Tabela58[[#This Row],[Sale id]],Tabela58[Total]))</f>
        <v/>
      </c>
    </row>
    <row r="9" spans="2:13" x14ac:dyDescent="0.25">
      <c r="B9" s="3"/>
      <c r="C9" s="5"/>
      <c r="D9" s="3"/>
      <c r="E9" s="3" t="str">
        <f>IFERROR(VLOOKUP(Tabela58[[#This Row],[Product]],'Calculations and Tests'!$J$5:$M$28,4,FALSE),"")</f>
        <v/>
      </c>
      <c r="F9" s="3"/>
      <c r="G9" s="6">
        <f>IFERROR(VLOOKUP(Tabela58[[#This Row],[Product]],'Calculations and Tests'!$J$5:$M$28,3,FALSE),0)</f>
        <v>0</v>
      </c>
      <c r="H9" s="6">
        <f>Tabela58[[#This Row],[Quantity]]*Tabela58[[#This Row],[Unity Price]]</f>
        <v>0</v>
      </c>
      <c r="I9" s="7"/>
      <c r="J9" s="3"/>
      <c r="K9" s="6">
        <f>IFERROR(IF(Tabela58[[#This Row],[Sale id]]=B10,0,VLOOKUP(Tabela58[[#This Row],[Deliver]],'Calculations and Tests'!B$5:C$9,2,FALSE)),0)</f>
        <v>0</v>
      </c>
      <c r="L9" s="6">
        <f>Tabela58[[#This Row],[Subtotal]]*(1-Tabela58[[#This Row],[Discount]])+Tabela58[[#This Row],[Delivery Value]]</f>
        <v>0</v>
      </c>
      <c r="M9" s="6" t="str">
        <f>IF(Tabela58[[#This Row],[Sale id]]=B10,"",SUMIF(Tabela58[Sale id],Tabela58[[#This Row],[Sale id]],Tabela58[Total]))</f>
        <v/>
      </c>
    </row>
    <row r="10" spans="2:13" x14ac:dyDescent="0.25">
      <c r="B10" s="3"/>
      <c r="C10" s="5"/>
      <c r="D10" s="3"/>
      <c r="E10" s="3" t="str">
        <f>IFERROR(VLOOKUP(Tabela58[[#This Row],[Product]],'Calculations and Tests'!$J$5:$M$28,4,FALSE),"")</f>
        <v/>
      </c>
      <c r="F10" s="3"/>
      <c r="G10" s="6">
        <f>IFERROR(VLOOKUP(Tabela58[[#This Row],[Product]],'Calculations and Tests'!$J$5:$M$28,3,FALSE),0)</f>
        <v>0</v>
      </c>
      <c r="H10" s="6">
        <f>Tabela58[[#This Row],[Quantity]]*Tabela58[[#This Row],[Unity Price]]</f>
        <v>0</v>
      </c>
      <c r="I10" s="7"/>
      <c r="J10" s="3"/>
      <c r="K10" s="6">
        <f>IFERROR(IF(Tabela58[[#This Row],[Sale id]]=B11,0,VLOOKUP(Tabela58[[#This Row],[Deliver]],'Calculations and Tests'!B$5:C$9,2,FALSE)),0)</f>
        <v>0</v>
      </c>
      <c r="L10" s="6">
        <f>Tabela58[[#This Row],[Subtotal]]*(1-Tabela58[[#This Row],[Discount]])+Tabela58[[#This Row],[Delivery Value]]</f>
        <v>0</v>
      </c>
      <c r="M10" s="6" t="str">
        <f>IF(Tabela58[[#This Row],[Sale id]]=B11,"",SUMIF(Tabela58[Sale id],Tabela58[[#This Row],[Sale id]],Tabela58[Total]))</f>
        <v/>
      </c>
    </row>
    <row r="11" spans="2:13" x14ac:dyDescent="0.25">
      <c r="B11" s="3"/>
      <c r="C11" s="5"/>
      <c r="D11" s="3"/>
      <c r="E11" s="3" t="str">
        <f>IFERROR(VLOOKUP(Tabela58[[#This Row],[Product]],'Calculations and Tests'!$J$5:$M$28,4,FALSE),"")</f>
        <v/>
      </c>
      <c r="F11" s="3"/>
      <c r="G11" s="6">
        <f>IFERROR(VLOOKUP(Tabela58[[#This Row],[Product]],'Calculations and Tests'!$J$5:$M$28,3,FALSE),0)</f>
        <v>0</v>
      </c>
      <c r="H11" s="6">
        <f>Tabela58[[#This Row],[Quantity]]*Tabela58[[#This Row],[Unity Price]]</f>
        <v>0</v>
      </c>
      <c r="I11" s="7"/>
      <c r="J11" s="3"/>
      <c r="K11" s="6">
        <f>IFERROR(IF(Tabela58[[#This Row],[Sale id]]=B12,0,VLOOKUP(Tabela58[[#This Row],[Deliver]],'Calculations and Tests'!B$5:C$9,2,FALSE)),0)</f>
        <v>0</v>
      </c>
      <c r="L11" s="6">
        <f>Tabela58[[#This Row],[Subtotal]]*(1-Tabela58[[#This Row],[Discount]])+Tabela58[[#This Row],[Delivery Value]]</f>
        <v>0</v>
      </c>
      <c r="M11" s="6" t="str">
        <f>IF(Tabela58[[#This Row],[Sale id]]=B12,"",SUMIF(Tabela58[Sale id],Tabela58[[#This Row],[Sale id]],Tabela58[Total]))</f>
        <v/>
      </c>
    </row>
    <row r="12" spans="2:13" x14ac:dyDescent="0.25">
      <c r="B12" s="3"/>
      <c r="C12" s="5"/>
      <c r="D12" s="3"/>
      <c r="E12" s="3" t="str">
        <f>IFERROR(VLOOKUP(Tabela58[[#This Row],[Product]],'Calculations and Tests'!$J$5:$M$28,4,FALSE),"")</f>
        <v/>
      </c>
      <c r="F12" s="3"/>
      <c r="G12" s="6">
        <f>IFERROR(VLOOKUP(Tabela58[[#This Row],[Product]],'Calculations and Tests'!$J$5:$M$28,3,FALSE),0)</f>
        <v>0</v>
      </c>
      <c r="H12" s="6">
        <f>Tabela58[[#This Row],[Quantity]]*Tabela58[[#This Row],[Unity Price]]</f>
        <v>0</v>
      </c>
      <c r="I12" s="7"/>
      <c r="J12" s="3"/>
      <c r="K12" s="6">
        <f>IFERROR(IF(Tabela58[[#This Row],[Sale id]]=B13,0,VLOOKUP(Tabela58[[#This Row],[Deliver]],'Calculations and Tests'!B$5:C$9,2,FALSE)),0)</f>
        <v>0</v>
      </c>
      <c r="L12" s="6">
        <f>Tabela58[[#This Row],[Subtotal]]*(1-Tabela58[[#This Row],[Discount]])+Tabela58[[#This Row],[Delivery Value]]</f>
        <v>0</v>
      </c>
      <c r="M12" s="6" t="str">
        <f>IF(Tabela58[[#This Row],[Sale id]]=B13,"",SUMIF(Tabela58[Sale id],Tabela58[[#This Row],[Sale id]],Tabela58[Total]))</f>
        <v/>
      </c>
    </row>
    <row r="13" spans="2:13" x14ac:dyDescent="0.25">
      <c r="B13" s="3"/>
      <c r="C13" s="5"/>
      <c r="D13" s="3"/>
      <c r="E13" s="3" t="str">
        <f>IFERROR(VLOOKUP(Tabela58[[#This Row],[Product]],'Calculations and Tests'!$J$5:$M$28,4,FALSE),"")</f>
        <v/>
      </c>
      <c r="F13" s="3"/>
      <c r="G13" s="6">
        <f>IFERROR(VLOOKUP(Tabela58[[#This Row],[Product]],'Calculations and Tests'!$J$5:$M$28,3,FALSE),0)</f>
        <v>0</v>
      </c>
      <c r="H13" s="6">
        <f>Tabela58[[#This Row],[Quantity]]*Tabela58[[#This Row],[Unity Price]]</f>
        <v>0</v>
      </c>
      <c r="I13" s="7"/>
      <c r="J13" s="3"/>
      <c r="K13" s="6">
        <f>IFERROR(IF(Tabela58[[#This Row],[Sale id]]=B14,0,VLOOKUP(Tabela58[[#This Row],[Deliver]],'Calculations and Tests'!B$5:C$9,2,FALSE)),0)</f>
        <v>0</v>
      </c>
      <c r="L13" s="6">
        <f>Tabela58[[#This Row],[Subtotal]]*(1-Tabela58[[#This Row],[Discount]])+Tabela58[[#This Row],[Delivery Value]]</f>
        <v>0</v>
      </c>
      <c r="M13" s="6" t="str">
        <f>IF(Tabela58[[#This Row],[Sale id]]=B14,"",SUMIF(Tabela58[Sale id],Tabela58[[#This Row],[Sale id]],Tabela58[Total]))</f>
        <v/>
      </c>
    </row>
    <row r="14" spans="2:13" x14ac:dyDescent="0.25">
      <c r="B14" s="3"/>
      <c r="C14" s="5"/>
      <c r="D14" s="3"/>
      <c r="E14" s="3" t="str">
        <f>IFERROR(VLOOKUP(Tabela58[[#This Row],[Product]],'Calculations and Tests'!$J$5:$M$28,4,FALSE),"")</f>
        <v/>
      </c>
      <c r="F14" s="3"/>
      <c r="G14" s="6">
        <f>IFERROR(VLOOKUP(Tabela58[[#This Row],[Product]],'Calculations and Tests'!$J$5:$M$28,3,FALSE),0)</f>
        <v>0</v>
      </c>
      <c r="H14" s="6">
        <f>Tabela58[[#This Row],[Quantity]]*Tabela58[[#This Row],[Unity Price]]</f>
        <v>0</v>
      </c>
      <c r="I14" s="7"/>
      <c r="J14" s="3"/>
      <c r="K14" s="6">
        <f>IFERROR(IF(Tabela58[[#This Row],[Sale id]]=B15,0,VLOOKUP(Tabela58[[#This Row],[Deliver]],'Calculations and Tests'!B$5:C$9,2,FALSE)),0)</f>
        <v>0</v>
      </c>
      <c r="L14" s="6">
        <f>Tabela58[[#This Row],[Subtotal]]*(1-Tabela58[[#This Row],[Discount]])+Tabela58[[#This Row],[Delivery Value]]</f>
        <v>0</v>
      </c>
      <c r="M14" s="6" t="str">
        <f>IF(Tabela58[[#This Row],[Sale id]]=B15,"",SUMIF(Tabela58[Sale id],Tabela58[[#This Row],[Sale id]],Tabela58[Total]))</f>
        <v/>
      </c>
    </row>
    <row r="15" spans="2:13" x14ac:dyDescent="0.25">
      <c r="B15" s="3"/>
      <c r="C15" s="5"/>
      <c r="D15" s="3"/>
      <c r="E15" s="3" t="str">
        <f>IFERROR(VLOOKUP(Tabela58[[#This Row],[Product]],'Calculations and Tests'!$J$5:$M$28,4,FALSE),"")</f>
        <v/>
      </c>
      <c r="F15" s="3"/>
      <c r="G15" s="6">
        <f>IFERROR(VLOOKUP(Tabela58[[#This Row],[Product]],'Calculations and Tests'!$J$5:$M$28,3,FALSE),0)</f>
        <v>0</v>
      </c>
      <c r="H15" s="6">
        <f>Tabela58[[#This Row],[Quantity]]*Tabela58[[#This Row],[Unity Price]]</f>
        <v>0</v>
      </c>
      <c r="I15" s="7"/>
      <c r="J15" s="3"/>
      <c r="K15" s="6">
        <f>IFERROR(IF(Tabela58[[#This Row],[Sale id]]=B16,0,VLOOKUP(Tabela58[[#This Row],[Deliver]],'Calculations and Tests'!B$5:C$9,2,FALSE)),0)</f>
        <v>0</v>
      </c>
      <c r="L15" s="6">
        <f>Tabela58[[#This Row],[Subtotal]]*(1-Tabela58[[#This Row],[Discount]])+Tabela58[[#This Row],[Delivery Value]]</f>
        <v>0</v>
      </c>
      <c r="M15" s="6" t="str">
        <f>IF(Tabela58[[#This Row],[Sale id]]=B16,"",SUMIF(Tabela58[Sale id],Tabela58[[#This Row],[Sale id]],Tabela58[Total]))</f>
        <v/>
      </c>
    </row>
    <row r="16" spans="2:13" x14ac:dyDescent="0.25">
      <c r="B16" s="3"/>
      <c r="C16" s="5"/>
      <c r="D16" s="3"/>
      <c r="E16" s="3" t="str">
        <f>IFERROR(VLOOKUP(Tabela58[[#This Row],[Product]],'Calculations and Tests'!$J$5:$M$28,4,FALSE),"")</f>
        <v/>
      </c>
      <c r="F16" s="3"/>
      <c r="G16" s="6">
        <f>IFERROR(VLOOKUP(Tabela58[[#This Row],[Product]],'Calculations and Tests'!$J$5:$M$28,3,FALSE),0)</f>
        <v>0</v>
      </c>
      <c r="H16" s="6">
        <f>Tabela58[[#This Row],[Quantity]]*Tabela58[[#This Row],[Unity Price]]</f>
        <v>0</v>
      </c>
      <c r="I16" s="7"/>
      <c r="J16" s="3"/>
      <c r="K16" s="6">
        <f>IFERROR(IF(Tabela58[[#This Row],[Sale id]]=B17,0,VLOOKUP(Tabela58[[#This Row],[Deliver]],'Calculations and Tests'!B$5:C$9,2,FALSE)),0)</f>
        <v>0</v>
      </c>
      <c r="L16" s="6">
        <f>Tabela58[[#This Row],[Subtotal]]*(1-Tabela58[[#This Row],[Discount]])+Tabela58[[#This Row],[Delivery Value]]</f>
        <v>0</v>
      </c>
      <c r="M16" s="6" t="str">
        <f>IF(Tabela58[[#This Row],[Sale id]]=B17,"",SUMIF(Tabela58[Sale id],Tabela58[[#This Row],[Sale id]],Tabela58[Total]))</f>
        <v/>
      </c>
    </row>
    <row r="17" spans="2:13" x14ac:dyDescent="0.25">
      <c r="B17" s="3"/>
      <c r="C17" s="5"/>
      <c r="D17" s="3"/>
      <c r="E17" s="3" t="str">
        <f>IFERROR(VLOOKUP(Tabela58[[#This Row],[Product]],'Calculations and Tests'!$J$5:$M$28,4,FALSE),"")</f>
        <v/>
      </c>
      <c r="F17" s="3"/>
      <c r="G17" s="6">
        <f>IFERROR(VLOOKUP(Tabela58[[#This Row],[Product]],'Calculations and Tests'!$J$5:$M$28,3,FALSE),0)</f>
        <v>0</v>
      </c>
      <c r="H17" s="6">
        <f>Tabela58[[#This Row],[Quantity]]*Tabela58[[#This Row],[Unity Price]]</f>
        <v>0</v>
      </c>
      <c r="I17" s="7"/>
      <c r="J17" s="3"/>
      <c r="K17" s="6">
        <f>IFERROR(IF(Tabela58[[#This Row],[Sale id]]=B18,0,VLOOKUP(Tabela58[[#This Row],[Deliver]],'Calculations and Tests'!B$5:C$9,2,FALSE)),0)</f>
        <v>0</v>
      </c>
      <c r="L17" s="6">
        <f>Tabela58[[#This Row],[Subtotal]]*(1-Tabela58[[#This Row],[Discount]])+Tabela58[[#This Row],[Delivery Value]]</f>
        <v>0</v>
      </c>
      <c r="M17" s="6" t="str">
        <f>IF(Tabela58[[#This Row],[Sale id]]=B18,"",SUMIF(Tabela58[Sale id],Tabela58[[#This Row],[Sale id]],Tabela58[Total]))</f>
        <v/>
      </c>
    </row>
    <row r="18" spans="2:13" x14ac:dyDescent="0.25">
      <c r="B18" s="3"/>
      <c r="C18" s="5"/>
      <c r="D18" s="3"/>
      <c r="E18" s="3" t="str">
        <f>IFERROR(VLOOKUP(Tabela58[[#This Row],[Product]],'Calculations and Tests'!$J$5:$M$28,4,FALSE),"")</f>
        <v/>
      </c>
      <c r="F18" s="3"/>
      <c r="G18" s="6">
        <f>IFERROR(VLOOKUP(Tabela58[[#This Row],[Product]],'Calculations and Tests'!$J$5:$M$28,3,FALSE),0)</f>
        <v>0</v>
      </c>
      <c r="H18" s="6">
        <f>Tabela58[[#This Row],[Quantity]]*Tabela58[[#This Row],[Unity Price]]</f>
        <v>0</v>
      </c>
      <c r="I18" s="7"/>
      <c r="J18" s="3"/>
      <c r="K18" s="6">
        <f>IFERROR(IF(Tabela58[[#This Row],[Sale id]]=B19,0,VLOOKUP(Tabela58[[#This Row],[Deliver]],'Calculations and Tests'!B$5:C$9,2,FALSE)),0)</f>
        <v>0</v>
      </c>
      <c r="L18" s="6">
        <f>Tabela58[[#This Row],[Subtotal]]*(1-Tabela58[[#This Row],[Discount]])+Tabela58[[#This Row],[Delivery Value]]</f>
        <v>0</v>
      </c>
      <c r="M18" s="6" t="str">
        <f>IF(Tabela58[[#This Row],[Sale id]]=B19,"",SUMIF(Tabela58[Sale id],Tabela58[[#This Row],[Sale id]],Tabela58[Total]))</f>
        <v/>
      </c>
    </row>
    <row r="19" spans="2:13" x14ac:dyDescent="0.25">
      <c r="B19" s="3"/>
      <c r="C19" s="5"/>
      <c r="D19" s="3"/>
      <c r="E19" s="3" t="str">
        <f>IFERROR(VLOOKUP(Tabela58[[#This Row],[Product]],'Calculations and Tests'!$J$5:$M$28,4,FALSE),"")</f>
        <v/>
      </c>
      <c r="F19" s="3"/>
      <c r="G19" s="6">
        <f>IFERROR(VLOOKUP(Tabela58[[#This Row],[Product]],'Calculations and Tests'!$J$5:$M$28,3,FALSE),0)</f>
        <v>0</v>
      </c>
      <c r="H19" s="6">
        <f>Tabela58[[#This Row],[Quantity]]*Tabela58[[#This Row],[Unity Price]]</f>
        <v>0</v>
      </c>
      <c r="I19" s="7"/>
      <c r="J19" s="3"/>
      <c r="K19" s="6">
        <f>IFERROR(IF(Tabela58[[#This Row],[Sale id]]=B20,0,VLOOKUP(Tabela58[[#This Row],[Deliver]],'Calculations and Tests'!B$5:C$9,2,FALSE)),0)</f>
        <v>0</v>
      </c>
      <c r="L19" s="6">
        <f>Tabela58[[#This Row],[Subtotal]]*(1-Tabela58[[#This Row],[Discount]])+Tabela58[[#This Row],[Delivery Value]]</f>
        <v>0</v>
      </c>
      <c r="M19" s="6" t="str">
        <f>IF(Tabela58[[#This Row],[Sale id]]=B20,"",SUMIF(Tabela58[Sale id],Tabela58[[#This Row],[Sale id]],Tabela58[Total]))</f>
        <v/>
      </c>
    </row>
    <row r="20" spans="2:13" x14ac:dyDescent="0.25">
      <c r="B20" s="3"/>
      <c r="C20" s="5"/>
      <c r="D20" s="3"/>
      <c r="E20" s="3" t="str">
        <f>IFERROR(VLOOKUP(Tabela58[[#This Row],[Product]],'Calculations and Tests'!$J$5:$M$28,4,FALSE),"")</f>
        <v/>
      </c>
      <c r="F20" s="3"/>
      <c r="G20" s="6">
        <f>IFERROR(VLOOKUP(Tabela58[[#This Row],[Product]],'Calculations and Tests'!$J$5:$M$28,3,FALSE),0)</f>
        <v>0</v>
      </c>
      <c r="H20" s="6">
        <f>Tabela58[[#This Row],[Quantity]]*Tabela58[[#This Row],[Unity Price]]</f>
        <v>0</v>
      </c>
      <c r="I20" s="7"/>
      <c r="J20" s="3"/>
      <c r="K20" s="6">
        <f>IFERROR(IF(Tabela58[[#This Row],[Sale id]]=B21,0,VLOOKUP(Tabela58[[#This Row],[Deliver]],'Calculations and Tests'!B$5:C$9,2,FALSE)),0)</f>
        <v>0</v>
      </c>
      <c r="L20" s="6">
        <f>Tabela58[[#This Row],[Subtotal]]*(1-Tabela58[[#This Row],[Discount]])+Tabela58[[#This Row],[Delivery Value]]</f>
        <v>0</v>
      </c>
      <c r="M20" s="6" t="str">
        <f>IF(Tabela58[[#This Row],[Sale id]]=B21,"",SUMIF(Tabela58[Sale id],Tabela58[[#This Row],[Sale id]],Tabela58[Total]))</f>
        <v/>
      </c>
    </row>
    <row r="21" spans="2:13" x14ac:dyDescent="0.25">
      <c r="B21" s="3"/>
      <c r="C21" s="5"/>
      <c r="D21" s="3"/>
      <c r="E21" s="3" t="str">
        <f>IFERROR(VLOOKUP(Tabela58[[#This Row],[Product]],'Calculations and Tests'!$J$5:$M$28,4,FALSE),"")</f>
        <v/>
      </c>
      <c r="F21" s="3"/>
      <c r="G21" s="6">
        <f>IFERROR(VLOOKUP(Tabela58[[#This Row],[Product]],'Calculations and Tests'!$J$5:$M$28,3,FALSE),0)</f>
        <v>0</v>
      </c>
      <c r="H21" s="6">
        <f>Tabela58[[#This Row],[Quantity]]*Tabela58[[#This Row],[Unity Price]]</f>
        <v>0</v>
      </c>
      <c r="I21" s="7"/>
      <c r="J21" s="3"/>
      <c r="K21" s="6">
        <f>IFERROR(IF(Tabela58[[#This Row],[Sale id]]=B22,0,VLOOKUP(Tabela58[[#This Row],[Deliver]],'Calculations and Tests'!B$5:C$9,2,FALSE)),0)</f>
        <v>0</v>
      </c>
      <c r="L21" s="6">
        <f>Tabela58[[#This Row],[Subtotal]]*(1-Tabela58[[#This Row],[Discount]])+Tabela58[[#This Row],[Delivery Value]]</f>
        <v>0</v>
      </c>
      <c r="M21" s="6" t="str">
        <f>IF(Tabela58[[#This Row],[Sale id]]=B22,"",SUMIF(Tabela58[Sale id],Tabela58[[#This Row],[Sale id]],Tabela58[Total]))</f>
        <v/>
      </c>
    </row>
    <row r="22" spans="2:13" x14ac:dyDescent="0.25">
      <c r="B22" s="3"/>
      <c r="C22" s="5"/>
      <c r="D22" s="3"/>
      <c r="E22" s="3" t="str">
        <f>IFERROR(VLOOKUP(Tabela58[[#This Row],[Product]],'Calculations and Tests'!$J$5:$M$28,4,FALSE),"")</f>
        <v/>
      </c>
      <c r="F22" s="3"/>
      <c r="G22" s="6">
        <f>IFERROR(VLOOKUP(Tabela58[[#This Row],[Product]],'Calculations and Tests'!$J$5:$M$28,3,FALSE),0)</f>
        <v>0</v>
      </c>
      <c r="H22" s="6">
        <f>Tabela58[[#This Row],[Quantity]]*Tabela58[[#This Row],[Unity Price]]</f>
        <v>0</v>
      </c>
      <c r="I22" s="7"/>
      <c r="J22" s="3"/>
      <c r="K22" s="6">
        <f>IFERROR(IF(Tabela58[[#This Row],[Sale id]]=B23,0,VLOOKUP(Tabela58[[#This Row],[Deliver]],'Calculations and Tests'!B$5:C$9,2,FALSE)),0)</f>
        <v>0</v>
      </c>
      <c r="L22" s="6">
        <f>Tabela58[[#This Row],[Subtotal]]*(1-Tabela58[[#This Row],[Discount]])+Tabela58[[#This Row],[Delivery Value]]</f>
        <v>0</v>
      </c>
      <c r="M22" s="6" t="str">
        <f>IF(Tabela58[[#This Row],[Sale id]]=B23,"",SUMIF(Tabela58[Sale id],Tabela58[[#This Row],[Sale id]],Tabela58[Total]))</f>
        <v/>
      </c>
    </row>
    <row r="23" spans="2:13" x14ac:dyDescent="0.25">
      <c r="B23" s="3"/>
      <c r="C23" s="5"/>
      <c r="D23" s="3"/>
      <c r="E23" s="3" t="str">
        <f>IFERROR(VLOOKUP(Tabela58[[#This Row],[Product]],'Calculations and Tests'!$J$5:$M$28,4,FALSE),"")</f>
        <v/>
      </c>
      <c r="F23" s="3"/>
      <c r="G23" s="6">
        <f>IFERROR(VLOOKUP(Tabela58[[#This Row],[Product]],'Calculations and Tests'!$J$5:$M$28,3,FALSE),0)</f>
        <v>0</v>
      </c>
      <c r="H23" s="6">
        <f>Tabela58[[#This Row],[Quantity]]*Tabela58[[#This Row],[Unity Price]]</f>
        <v>0</v>
      </c>
      <c r="I23" s="7"/>
      <c r="J23" s="3"/>
      <c r="K23" s="6">
        <f>IFERROR(IF(Tabela58[[#This Row],[Sale id]]=B24,0,VLOOKUP(Tabela58[[#This Row],[Deliver]],'Calculations and Tests'!B$5:C$9,2,FALSE)),0)</f>
        <v>0</v>
      </c>
      <c r="L23" s="6">
        <f>Tabela58[[#This Row],[Subtotal]]*(1-Tabela58[[#This Row],[Discount]])+Tabela58[[#This Row],[Delivery Value]]</f>
        <v>0</v>
      </c>
      <c r="M23" s="6" t="str">
        <f>IF(Tabela58[[#This Row],[Sale id]]=B24,"",SUMIF(Tabela58[Sale id],Tabela58[[#This Row],[Sale id]],Tabela58[Total]))</f>
        <v/>
      </c>
    </row>
    <row r="24" spans="2:13" x14ac:dyDescent="0.25">
      <c r="B24" s="3"/>
      <c r="C24" s="5"/>
      <c r="D24" s="3"/>
      <c r="E24" s="3" t="str">
        <f>IFERROR(VLOOKUP(Tabela58[[#This Row],[Product]],'Calculations and Tests'!$J$5:$M$28,4,FALSE),"")</f>
        <v/>
      </c>
      <c r="F24" s="3"/>
      <c r="G24" s="6">
        <f>IFERROR(VLOOKUP(Tabela58[[#This Row],[Product]],'Calculations and Tests'!$J$5:$M$28,3,FALSE),0)</f>
        <v>0</v>
      </c>
      <c r="H24" s="6">
        <f>Tabela58[[#This Row],[Quantity]]*Tabela58[[#This Row],[Unity Price]]</f>
        <v>0</v>
      </c>
      <c r="I24" s="7"/>
      <c r="J24" s="3"/>
      <c r="K24" s="6">
        <f>IFERROR(IF(Tabela58[[#This Row],[Sale id]]=B25,0,VLOOKUP(Tabela58[[#This Row],[Deliver]],'Calculations and Tests'!B$5:C$9,2,FALSE)),0)</f>
        <v>0</v>
      </c>
      <c r="L24" s="6">
        <f>Tabela58[[#This Row],[Subtotal]]*(1-Tabela58[[#This Row],[Discount]])+Tabela58[[#This Row],[Delivery Value]]</f>
        <v>0</v>
      </c>
      <c r="M24" s="6" t="str">
        <f>IF(Tabela58[[#This Row],[Sale id]]=B25,"",SUMIF(Tabela58[Sale id],Tabela58[[#This Row],[Sale id]],Tabela58[Total]))</f>
        <v/>
      </c>
    </row>
    <row r="25" spans="2:13" x14ac:dyDescent="0.25">
      <c r="B25" s="3"/>
      <c r="C25" s="5"/>
      <c r="D25" s="3"/>
      <c r="E25" s="3" t="str">
        <f>IFERROR(VLOOKUP(Tabela58[[#This Row],[Product]],'Calculations and Tests'!$J$5:$M$28,4,FALSE),"")</f>
        <v/>
      </c>
      <c r="F25" s="3"/>
      <c r="G25" s="6">
        <f>IFERROR(VLOOKUP(Tabela58[[#This Row],[Product]],'Calculations and Tests'!$J$5:$M$28,3,FALSE),0)</f>
        <v>0</v>
      </c>
      <c r="H25" s="6">
        <f>Tabela58[[#This Row],[Quantity]]*Tabela58[[#This Row],[Unity Price]]</f>
        <v>0</v>
      </c>
      <c r="I25" s="7"/>
      <c r="J25" s="3"/>
      <c r="K25" s="6">
        <f>IFERROR(IF(Tabela58[[#This Row],[Sale id]]=B26,0,VLOOKUP(Tabela58[[#This Row],[Deliver]],'Calculations and Tests'!B$5:C$9,2,FALSE)),0)</f>
        <v>0</v>
      </c>
      <c r="L25" s="6">
        <f>Tabela58[[#This Row],[Subtotal]]*(1-Tabela58[[#This Row],[Discount]])+Tabela58[[#This Row],[Delivery Value]]</f>
        <v>0</v>
      </c>
      <c r="M25" s="6" t="str">
        <f>IF(Tabela58[[#This Row],[Sale id]]=B26,"",SUMIF(Tabela58[Sale id],Tabela58[[#This Row],[Sale id]],Tabela58[Total]))</f>
        <v/>
      </c>
    </row>
    <row r="26" spans="2:13" x14ac:dyDescent="0.25">
      <c r="B26" s="3"/>
      <c r="C26" s="5"/>
      <c r="D26" s="3"/>
      <c r="E26" s="3" t="str">
        <f>IFERROR(VLOOKUP(Tabela58[[#This Row],[Product]],'Calculations and Tests'!$J$5:$M$28,4,FALSE),"")</f>
        <v/>
      </c>
      <c r="F26" s="3"/>
      <c r="G26" s="6">
        <f>IFERROR(VLOOKUP(Tabela58[[#This Row],[Product]],'Calculations and Tests'!$J$5:$M$28,3,FALSE),0)</f>
        <v>0</v>
      </c>
      <c r="H26" s="6">
        <f>Tabela58[[#This Row],[Quantity]]*Tabela58[[#This Row],[Unity Price]]</f>
        <v>0</v>
      </c>
      <c r="I26" s="7"/>
      <c r="J26" s="3"/>
      <c r="K26" s="6">
        <f>IFERROR(IF(Tabela58[[#This Row],[Sale id]]=B27,0,VLOOKUP(Tabela58[[#This Row],[Deliver]],'Calculations and Tests'!B$5:C$9,2,FALSE)),0)</f>
        <v>0</v>
      </c>
      <c r="L26" s="6">
        <f>Tabela58[[#This Row],[Subtotal]]*(1-Tabela58[[#This Row],[Discount]])+Tabela58[[#This Row],[Delivery Value]]</f>
        <v>0</v>
      </c>
      <c r="M26" s="6" t="str">
        <f>IF(Tabela58[[#This Row],[Sale id]]=B27,"",SUMIF(Tabela58[Sale id],Tabela58[[#This Row],[Sale id]],Tabela58[Total]))</f>
        <v/>
      </c>
    </row>
    <row r="27" spans="2:13" x14ac:dyDescent="0.25">
      <c r="B27" s="3"/>
      <c r="C27" s="5"/>
      <c r="D27" s="3"/>
      <c r="E27" s="3" t="str">
        <f>IFERROR(VLOOKUP(Tabela58[[#This Row],[Product]],'Calculations and Tests'!$J$5:$M$28,4,FALSE),"")</f>
        <v/>
      </c>
      <c r="F27" s="3"/>
      <c r="G27" s="6">
        <f>IFERROR(VLOOKUP(Tabela58[[#This Row],[Product]],'Calculations and Tests'!$J$5:$M$28,3,FALSE),0)</f>
        <v>0</v>
      </c>
      <c r="H27" s="6">
        <f>Tabela58[[#This Row],[Quantity]]*Tabela58[[#This Row],[Unity Price]]</f>
        <v>0</v>
      </c>
      <c r="I27" s="7"/>
      <c r="J27" s="3"/>
      <c r="K27" s="6">
        <f>IFERROR(IF(Tabela58[[#This Row],[Sale id]]=B28,0,VLOOKUP(Tabela58[[#This Row],[Deliver]],'Calculations and Tests'!B$5:C$9,2,FALSE)),0)</f>
        <v>0</v>
      </c>
      <c r="L27" s="6">
        <f>Tabela58[[#This Row],[Subtotal]]*(1-Tabela58[[#This Row],[Discount]])+Tabela58[[#This Row],[Delivery Value]]</f>
        <v>0</v>
      </c>
      <c r="M27" s="6" t="str">
        <f>IF(Tabela58[[#This Row],[Sale id]]=B28,"",SUMIF(Tabela58[Sale id],Tabela58[[#This Row],[Sale id]],Tabela58[Total]))</f>
        <v/>
      </c>
    </row>
    <row r="28" spans="2:13" x14ac:dyDescent="0.25">
      <c r="B28" s="3"/>
      <c r="C28" s="5"/>
      <c r="D28" s="3"/>
      <c r="E28" s="3" t="str">
        <f>IFERROR(VLOOKUP(Tabela58[[#This Row],[Product]],'Calculations and Tests'!$J$5:$M$28,4,FALSE),"")</f>
        <v/>
      </c>
      <c r="F28" s="3"/>
      <c r="G28" s="6">
        <f>IFERROR(VLOOKUP(Tabela58[[#This Row],[Product]],'Calculations and Tests'!$J$5:$M$28,3,FALSE),0)</f>
        <v>0</v>
      </c>
      <c r="H28" s="6">
        <f>Tabela58[[#This Row],[Quantity]]*Tabela58[[#This Row],[Unity Price]]</f>
        <v>0</v>
      </c>
      <c r="I28" s="7"/>
      <c r="J28" s="3"/>
      <c r="K28" s="6">
        <f>IFERROR(IF(Tabela58[[#This Row],[Sale id]]=B29,0,VLOOKUP(Tabela58[[#This Row],[Deliver]],'Calculations and Tests'!B$5:C$9,2,FALSE)),0)</f>
        <v>0</v>
      </c>
      <c r="L28" s="6">
        <f>Tabela58[[#This Row],[Subtotal]]*(1-Tabela58[[#This Row],[Discount]])+Tabela58[[#This Row],[Delivery Value]]</f>
        <v>0</v>
      </c>
      <c r="M28" s="6" t="str">
        <f>IF(Tabela58[[#This Row],[Sale id]]=B29,"",SUMIF(Tabela58[Sale id],Tabela58[[#This Row],[Sale id]],Tabela58[Total]))</f>
        <v/>
      </c>
    </row>
    <row r="29" spans="2:13" x14ac:dyDescent="0.25">
      <c r="B29" s="3"/>
      <c r="C29" s="5"/>
      <c r="D29" s="3"/>
      <c r="E29" s="3" t="str">
        <f>IFERROR(VLOOKUP(Tabela58[[#This Row],[Product]],'Calculations and Tests'!$J$5:$M$28,4,FALSE),"")</f>
        <v/>
      </c>
      <c r="F29" s="3"/>
      <c r="G29" s="6">
        <f>IFERROR(VLOOKUP(Tabela58[[#This Row],[Product]],'Calculations and Tests'!$J$5:$M$28,3,FALSE),0)</f>
        <v>0</v>
      </c>
      <c r="H29" s="6">
        <f>Tabela58[[#This Row],[Quantity]]*Tabela58[[#This Row],[Unity Price]]</f>
        <v>0</v>
      </c>
      <c r="I29" s="7"/>
      <c r="J29" s="3"/>
      <c r="K29" s="6">
        <f>IFERROR(IF(Tabela58[[#This Row],[Sale id]]=B30,0,VLOOKUP(Tabela58[[#This Row],[Deliver]],'Calculations and Tests'!B$5:C$9,2,FALSE)),0)</f>
        <v>0</v>
      </c>
      <c r="L29" s="6">
        <f>Tabela58[[#This Row],[Subtotal]]*(1-Tabela58[[#This Row],[Discount]])+Tabela58[[#This Row],[Delivery Value]]</f>
        <v>0</v>
      </c>
      <c r="M29" s="6" t="str">
        <f>IF(Tabela58[[#This Row],[Sale id]]=B30,"",SUMIF(Tabela58[Sale id],Tabela58[[#This Row],[Sale id]],Tabela58[Total]))</f>
        <v/>
      </c>
    </row>
    <row r="30" spans="2:13" x14ac:dyDescent="0.25">
      <c r="B30" s="3"/>
      <c r="C30" s="5"/>
      <c r="D30" s="3"/>
      <c r="E30" s="3" t="str">
        <f>IFERROR(VLOOKUP(Tabela58[[#This Row],[Product]],'Calculations and Tests'!$J$5:$M$28,4,FALSE),"")</f>
        <v/>
      </c>
      <c r="F30" s="3"/>
      <c r="G30" s="6">
        <f>IFERROR(VLOOKUP(Tabela58[[#This Row],[Product]],'Calculations and Tests'!$J$5:$M$28,3,FALSE),0)</f>
        <v>0</v>
      </c>
      <c r="H30" s="6">
        <f>Tabela58[[#This Row],[Quantity]]*Tabela58[[#This Row],[Unity Price]]</f>
        <v>0</v>
      </c>
      <c r="I30" s="7"/>
      <c r="J30" s="3"/>
      <c r="K30" s="6">
        <f>IFERROR(IF(Tabela58[[#This Row],[Sale id]]=B31,0,VLOOKUP(Tabela58[[#This Row],[Deliver]],'Calculations and Tests'!B$5:C$9,2,FALSE)),0)</f>
        <v>0</v>
      </c>
      <c r="L30" s="6">
        <f>Tabela58[[#This Row],[Subtotal]]*(1-Tabela58[[#This Row],[Discount]])+Tabela58[[#This Row],[Delivery Value]]</f>
        <v>0</v>
      </c>
      <c r="M30" s="6" t="str">
        <f>IF(Tabela58[[#This Row],[Sale id]]=B31,"",SUMIF(Tabela58[Sale id],Tabela58[[#This Row],[Sale id]],Tabela58[Total]))</f>
        <v/>
      </c>
    </row>
    <row r="31" spans="2:13" x14ac:dyDescent="0.25"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</row>
    <row r="32" spans="2:13" ht="21" x14ac:dyDescent="0.35">
      <c r="B32" s="21" t="s">
        <v>141</v>
      </c>
      <c r="C32" s="21"/>
      <c r="D32" s="21"/>
      <c r="E32" s="22"/>
      <c r="F32" s="22"/>
      <c r="G32" s="22"/>
      <c r="H32" s="22"/>
      <c r="I32" s="22"/>
      <c r="J32" s="22"/>
      <c r="K32" s="22"/>
      <c r="L32" s="22"/>
      <c r="M32" s="23">
        <f>SUM(Tabela58[Total])</f>
        <v>41.7</v>
      </c>
    </row>
    <row r="34" spans="2:13" ht="21" x14ac:dyDescent="0.35">
      <c r="B34" s="21" t="s">
        <v>142</v>
      </c>
      <c r="C34" s="21"/>
      <c r="D34" s="21"/>
      <c r="E34" s="22"/>
      <c r="F34" s="22"/>
      <c r="G34" s="22"/>
      <c r="H34" s="22"/>
      <c r="I34" s="22"/>
      <c r="J34" s="22"/>
      <c r="K34" s="22"/>
      <c r="L34" s="22"/>
      <c r="M34" s="23">
        <f>SUM(Tabela58[Delivery Value])</f>
        <v>14.5</v>
      </c>
    </row>
    <row r="36" spans="2:13" ht="21" x14ac:dyDescent="0.35">
      <c r="B36" s="21" t="s">
        <v>143</v>
      </c>
      <c r="C36" s="21"/>
      <c r="D36" s="21"/>
      <c r="E36" s="22"/>
      <c r="F36" s="22"/>
      <c r="G36" s="22"/>
      <c r="H36" s="22"/>
      <c r="I36" s="22"/>
      <c r="J36" s="22"/>
      <c r="K36" s="22"/>
      <c r="L36" s="22"/>
      <c r="M36" s="44">
        <f>SUM(IF(FREQUENCY(Tabela58[Sale id],Tabela58[Sale id])&gt;0,1,0))</f>
        <v>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61C460-68D1-4922-B068-7065475CF494}">
          <x14:formula1>
            <xm:f>'Calculations and Tests'!$B$5:$B$9</xm:f>
          </x14:formula1>
          <xm:sqref>J5:J30</xm:sqref>
        </x14:dataValidation>
        <x14:dataValidation type="list" allowBlank="1" showInputMessage="1" showErrorMessage="1" xr:uid="{77F34445-E722-4BD8-A591-5C1E41C706E6}">
          <x14:formula1>
            <xm:f>'Calculations and Tests'!$J$5:$J$100</xm:f>
          </x14:formula1>
          <xm:sqref>D5:D30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66191-CFB9-49B2-A1D8-0B8731514A9E}">
  <dimension ref="A3:I7"/>
  <sheetViews>
    <sheetView showGridLines="0" workbookViewId="0"/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40</v>
      </c>
      <c r="B3" t="s">
        <v>173</v>
      </c>
      <c r="C3" t="s">
        <v>42</v>
      </c>
      <c r="F3" s="76" t="s">
        <v>40</v>
      </c>
      <c r="G3" t="s">
        <v>173</v>
      </c>
      <c r="H3" t="s">
        <v>174</v>
      </c>
      <c r="I3" t="s">
        <v>42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126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43</v>
      </c>
      <c r="C5" s="78">
        <v>0</v>
      </c>
      <c r="F5" s="80" t="s">
        <v>43</v>
      </c>
      <c r="H5" s="78">
        <v>0</v>
      </c>
      <c r="I5" s="78">
        <v>0</v>
      </c>
    </row>
    <row r="6" spans="1:9" x14ac:dyDescent="0.25">
      <c r="A6" s="79" t="s">
        <v>43</v>
      </c>
      <c r="C6" s="78">
        <v>0</v>
      </c>
      <c r="F6" s="79" t="s">
        <v>43</v>
      </c>
      <c r="H6" s="78">
        <v>0</v>
      </c>
      <c r="I6" s="78">
        <v>0</v>
      </c>
    </row>
    <row r="7" spans="1:9" x14ac:dyDescent="0.25">
      <c r="A7" s="77" t="s">
        <v>41</v>
      </c>
      <c r="B7">
        <v>2</v>
      </c>
      <c r="C7" s="78">
        <v>2.2999999999999998</v>
      </c>
      <c r="F7" s="80" t="s">
        <v>41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4CA34-B548-4A6D-A30B-8351EC004950}">
  <dimension ref="B2:M33"/>
  <sheetViews>
    <sheetView showGridLines="0" topLeftCell="A4" zoomScale="90" zoomScaleNormal="90" workbookViewId="0">
      <selection activeCell="B5" sqref="B5"/>
    </sheetView>
  </sheetViews>
  <sheetFormatPr defaultRowHeight="15" x14ac:dyDescent="0.25"/>
  <cols>
    <col min="1" max="1" width="21.7109375" customWidth="1"/>
    <col min="2" max="2" width="11.5703125" customWidth="1"/>
    <col min="3" max="3" width="12.140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18" customFormat="1" ht="27.95" customHeight="1" x14ac:dyDescent="0.25">
      <c r="B2" s="17" t="s">
        <v>53</v>
      </c>
    </row>
    <row r="3" spans="2:13" ht="29.25" customHeight="1" x14ac:dyDescent="0.25"/>
    <row r="4" spans="2:13" x14ac:dyDescent="0.25">
      <c r="B4" s="3" t="s">
        <v>131</v>
      </c>
      <c r="C4" s="3" t="s">
        <v>58</v>
      </c>
      <c r="D4" s="3" t="s">
        <v>99</v>
      </c>
      <c r="E4" s="3" t="s">
        <v>87</v>
      </c>
      <c r="F4" s="3" t="s">
        <v>88</v>
      </c>
      <c r="G4" s="3" t="s">
        <v>132</v>
      </c>
      <c r="H4" s="3" t="s">
        <v>37</v>
      </c>
      <c r="I4" s="3" t="s">
        <v>90</v>
      </c>
      <c r="J4" s="3" t="s">
        <v>133</v>
      </c>
      <c r="K4" s="3" t="s">
        <v>134</v>
      </c>
      <c r="L4" s="3" t="s">
        <v>38</v>
      </c>
      <c r="M4" s="3" t="s">
        <v>135</v>
      </c>
    </row>
    <row r="5" spans="2:13" x14ac:dyDescent="0.25">
      <c r="B5" s="3">
        <v>4</v>
      </c>
      <c r="C5" s="24">
        <v>42190</v>
      </c>
      <c r="D5" s="3" t="s">
        <v>149</v>
      </c>
      <c r="E5" s="3" t="str">
        <f>IFERROR(VLOOKUP(Tabela59[[#This Row],[Product]],'Calculations and Tests'!$J$5:$M$28,4,FALSE),"")</f>
        <v>Package</v>
      </c>
      <c r="F5" s="3">
        <v>2</v>
      </c>
      <c r="G5" s="6">
        <f>IFERROR(VLOOKUP(Tabela59[[#This Row],[Product]],'Calculations and Tests'!$J$5:$M$28,3,FALSE),0)</f>
        <v>1.1499999999999999</v>
      </c>
      <c r="H5" s="6">
        <f>Tabela59[[#This Row],[Quantity]]*Tabela59[[#This Row],[Unity Price]]</f>
        <v>2.2999999999999998</v>
      </c>
      <c r="I5" s="7"/>
      <c r="J5" s="3" t="s">
        <v>128</v>
      </c>
      <c r="K5" s="6">
        <f>IFERROR(IF(Tabela59[[#This Row],[Sale id]]=B6,0,VLOOKUP(Tabela59[[#This Row],[Deliver]],'Calculations and Tests'!B$5:C$9,2,FALSE)),0)</f>
        <v>6.5</v>
      </c>
      <c r="L5" s="6">
        <f>Tabela59[[#This Row],[Subtotal]]*(1-Tabela59[[#This Row],[Discount]])+Tabela59[[#This Row],[Delivery Value]]</f>
        <v>8.8000000000000007</v>
      </c>
      <c r="M5" s="6">
        <f>IF(Tabela59[[#This Row],[Sale id]]=B6,"",SUMIF(Tabela59[Sale id],Tabela59[[#This Row],[Sale id]],Tabela59[Total]))</f>
        <v>8.8000000000000007</v>
      </c>
    </row>
    <row r="6" spans="2:13" x14ac:dyDescent="0.25">
      <c r="B6" s="3"/>
      <c r="C6" s="5"/>
      <c r="D6" s="3"/>
      <c r="E6" s="3" t="str">
        <f>IFERROR(VLOOKUP(Tabela59[[#This Row],[Product]],'Calculations and Tests'!$J$5:$M$28,4,FALSE),"")</f>
        <v/>
      </c>
      <c r="F6" s="3"/>
      <c r="G6" s="6">
        <f>IFERROR(VLOOKUP(Tabela59[[#This Row],[Product]],'Calculations and Tests'!$J$5:$M$28,3,FALSE),0)</f>
        <v>0</v>
      </c>
      <c r="H6" s="6">
        <f>Tabela59[[#This Row],[Quantity]]*Tabela59[[#This Row],[Unity Price]]</f>
        <v>0</v>
      </c>
      <c r="I6" s="7"/>
      <c r="J6" s="3"/>
      <c r="K6" s="6">
        <f>IFERROR(IF(Tabela59[[#This Row],[Sale id]]=B7,0,VLOOKUP(Tabela59[[#This Row],[Deliver]],'Calculations and Tests'!B$5:C$9,2,FALSE)),0)</f>
        <v>0</v>
      </c>
      <c r="L6" s="6">
        <f>Tabela59[[#This Row],[Subtotal]]*(1-Tabela59[[#This Row],[Discount]])+Tabela59[[#This Row],[Delivery Value]]</f>
        <v>0</v>
      </c>
      <c r="M6" s="6" t="str">
        <f>IF(Tabela59[[#This Row],[Sale id]]=B7,"",SUMIF(Tabela59[Sale id],Tabela59[[#This Row],[Sale id]],Tabela59[Total]))</f>
        <v/>
      </c>
    </row>
    <row r="7" spans="2:13" x14ac:dyDescent="0.25">
      <c r="B7" s="3"/>
      <c r="C7" s="5"/>
      <c r="D7" s="3"/>
      <c r="E7" s="3" t="str">
        <f>IFERROR(VLOOKUP(Tabela59[[#This Row],[Product]],'Calculations and Tests'!$J$5:$M$28,4,FALSE),"")</f>
        <v/>
      </c>
      <c r="F7" s="3"/>
      <c r="G7" s="6">
        <f>IFERROR(VLOOKUP(Tabela59[[#This Row],[Product]],'Calculations and Tests'!$J$5:$M$28,3,FALSE),0)</f>
        <v>0</v>
      </c>
      <c r="H7" s="6">
        <f>Tabela59[[#This Row],[Quantity]]*Tabela59[[#This Row],[Unity Price]]</f>
        <v>0</v>
      </c>
      <c r="I7" s="7"/>
      <c r="J7" s="3"/>
      <c r="K7" s="6">
        <f>IFERROR(IF(Tabela59[[#This Row],[Sale id]]=B8,0,VLOOKUP(Tabela59[[#This Row],[Deliver]],'Calculations and Tests'!B$5:C$9,2,FALSE)),0)</f>
        <v>0</v>
      </c>
      <c r="L7" s="6">
        <f>Tabela59[[#This Row],[Subtotal]]*(1-Tabela59[[#This Row],[Discount]])+Tabela59[[#This Row],[Delivery Value]]</f>
        <v>0</v>
      </c>
      <c r="M7" s="6" t="str">
        <f>IF(Tabela59[[#This Row],[Sale id]]=B8,"",SUMIF(Tabela59[Sale id],Tabela59[[#This Row],[Sale id]],Tabela59[Total]))</f>
        <v/>
      </c>
    </row>
    <row r="8" spans="2:13" x14ac:dyDescent="0.25">
      <c r="B8" s="3"/>
      <c r="C8" s="5"/>
      <c r="D8" s="3"/>
      <c r="E8" s="3" t="str">
        <f>IFERROR(VLOOKUP(Tabela59[[#This Row],[Product]],'Calculations and Tests'!$J$5:$M$28,4,FALSE),"")</f>
        <v/>
      </c>
      <c r="F8" s="3"/>
      <c r="G8" s="6">
        <f>IFERROR(VLOOKUP(Tabela59[[#This Row],[Product]],'Calculations and Tests'!$J$5:$M$28,3,FALSE),0)</f>
        <v>0</v>
      </c>
      <c r="H8" s="6">
        <f>Tabela59[[#This Row],[Quantity]]*Tabela59[[#This Row],[Unity Price]]</f>
        <v>0</v>
      </c>
      <c r="I8" s="7"/>
      <c r="J8" s="3"/>
      <c r="K8" s="6">
        <f>IFERROR(IF(Tabela59[[#This Row],[Sale id]]=B9,0,VLOOKUP(Tabela59[[#This Row],[Deliver]],'Calculations and Tests'!B$5:C$9,2,FALSE)),0)</f>
        <v>0</v>
      </c>
      <c r="L8" s="6">
        <f>Tabela59[[#This Row],[Subtotal]]*(1-Tabela59[[#This Row],[Discount]])+Tabela59[[#This Row],[Delivery Value]]</f>
        <v>0</v>
      </c>
      <c r="M8" s="6" t="str">
        <f>IF(Tabela59[[#This Row],[Sale id]]=B9,"",SUMIF(Tabela59[Sale id],Tabela59[[#This Row],[Sale id]],Tabela59[Total]))</f>
        <v/>
      </c>
    </row>
    <row r="9" spans="2:13" x14ac:dyDescent="0.25">
      <c r="B9" s="3"/>
      <c r="C9" s="5"/>
      <c r="D9" s="3"/>
      <c r="E9" s="3" t="str">
        <f>IFERROR(VLOOKUP(Tabela59[[#This Row],[Product]],'Calculations and Tests'!$J$5:$M$28,4,FALSE),"")</f>
        <v/>
      </c>
      <c r="F9" s="3"/>
      <c r="G9" s="6">
        <f>IFERROR(VLOOKUP(Tabela59[[#This Row],[Product]],'Calculations and Tests'!$J$5:$M$28,3,FALSE),0)</f>
        <v>0</v>
      </c>
      <c r="H9" s="6">
        <f>Tabela59[[#This Row],[Quantity]]*Tabela59[[#This Row],[Unity Price]]</f>
        <v>0</v>
      </c>
      <c r="I9" s="7"/>
      <c r="J9" s="3"/>
      <c r="K9" s="6">
        <f>IFERROR(IF(Tabela59[[#This Row],[Sale id]]=B10,0,VLOOKUP(Tabela59[[#This Row],[Deliver]],'Calculations and Tests'!B$5:C$9,2,FALSE)),0)</f>
        <v>0</v>
      </c>
      <c r="L9" s="6">
        <f>Tabela59[[#This Row],[Subtotal]]*(1-Tabela59[[#This Row],[Discount]])+Tabela59[[#This Row],[Delivery Value]]</f>
        <v>0</v>
      </c>
      <c r="M9" s="6" t="str">
        <f>IF(Tabela59[[#This Row],[Sale id]]=B10,"",SUMIF(Tabela59[Sale id],Tabela59[[#This Row],[Sale id]],Tabela59[Total]))</f>
        <v/>
      </c>
    </row>
    <row r="10" spans="2:13" x14ac:dyDescent="0.25">
      <c r="B10" s="3"/>
      <c r="C10" s="5"/>
      <c r="D10" s="3"/>
      <c r="E10" s="3" t="str">
        <f>IFERROR(VLOOKUP(Tabela59[[#This Row],[Product]],'Calculations and Tests'!$J$5:$M$28,4,FALSE),"")</f>
        <v/>
      </c>
      <c r="F10" s="3"/>
      <c r="G10" s="6">
        <f>IFERROR(VLOOKUP(Tabela59[[#This Row],[Product]],'Calculations and Tests'!$J$5:$M$28,3,FALSE),0)</f>
        <v>0</v>
      </c>
      <c r="H10" s="6">
        <f>Tabela59[[#This Row],[Quantity]]*Tabela59[[#This Row],[Unity Price]]</f>
        <v>0</v>
      </c>
      <c r="I10" s="7"/>
      <c r="J10" s="3"/>
      <c r="K10" s="6">
        <f>IFERROR(IF(Tabela59[[#This Row],[Sale id]]=B11,0,VLOOKUP(Tabela59[[#This Row],[Deliver]],'Calculations and Tests'!B$5:C$9,2,FALSE)),0)</f>
        <v>0</v>
      </c>
      <c r="L10" s="6">
        <f>Tabela59[[#This Row],[Subtotal]]*(1-Tabela59[[#This Row],[Discount]])+Tabela59[[#This Row],[Delivery Value]]</f>
        <v>0</v>
      </c>
      <c r="M10" s="6" t="str">
        <f>IF(Tabela59[[#This Row],[Sale id]]=B11,"",SUMIF(Tabela59[Sale id],Tabela59[[#This Row],[Sale id]],Tabela59[Total]))</f>
        <v/>
      </c>
    </row>
    <row r="11" spans="2:13" x14ac:dyDescent="0.25">
      <c r="B11" s="3"/>
      <c r="C11" s="5"/>
      <c r="D11" s="3"/>
      <c r="E11" s="3" t="str">
        <f>IFERROR(VLOOKUP(Tabela59[[#This Row],[Product]],'Calculations and Tests'!$J$5:$M$28,4,FALSE),"")</f>
        <v/>
      </c>
      <c r="F11" s="3"/>
      <c r="G11" s="6">
        <f>IFERROR(VLOOKUP(Tabela59[[#This Row],[Product]],'Calculations and Tests'!$J$5:$M$28,3,FALSE),0)</f>
        <v>0</v>
      </c>
      <c r="H11" s="6">
        <f>Tabela59[[#This Row],[Quantity]]*Tabela59[[#This Row],[Unity Price]]</f>
        <v>0</v>
      </c>
      <c r="I11" s="7"/>
      <c r="J11" s="3"/>
      <c r="K11" s="6">
        <f>IFERROR(IF(Tabela59[[#This Row],[Sale id]]=B12,0,VLOOKUP(Tabela59[[#This Row],[Deliver]],'Calculations and Tests'!B$5:C$9,2,FALSE)),0)</f>
        <v>0</v>
      </c>
      <c r="L11" s="6">
        <f>Tabela59[[#This Row],[Subtotal]]*(1-Tabela59[[#This Row],[Discount]])+Tabela59[[#This Row],[Delivery Value]]</f>
        <v>0</v>
      </c>
      <c r="M11" s="6" t="str">
        <f>IF(Tabela59[[#This Row],[Sale id]]=B12,"",SUMIF(Tabela59[Sale id],Tabela59[[#This Row],[Sale id]],Tabela59[Total]))</f>
        <v/>
      </c>
    </row>
    <row r="12" spans="2:13" x14ac:dyDescent="0.25">
      <c r="B12" s="3"/>
      <c r="C12" s="5"/>
      <c r="D12" s="3"/>
      <c r="E12" s="3" t="str">
        <f>IFERROR(VLOOKUP(Tabela59[[#This Row],[Product]],'Calculations and Tests'!$J$5:$M$28,4,FALSE),"")</f>
        <v/>
      </c>
      <c r="F12" s="3"/>
      <c r="G12" s="6">
        <f>IFERROR(VLOOKUP(Tabela59[[#This Row],[Product]],'Calculations and Tests'!$J$5:$M$28,3,FALSE),0)</f>
        <v>0</v>
      </c>
      <c r="H12" s="6">
        <f>Tabela59[[#This Row],[Quantity]]*Tabela59[[#This Row],[Unity Price]]</f>
        <v>0</v>
      </c>
      <c r="I12" s="7"/>
      <c r="J12" s="3"/>
      <c r="K12" s="6">
        <f>IFERROR(IF(Tabela59[[#This Row],[Sale id]]=B13,0,VLOOKUP(Tabela59[[#This Row],[Deliver]],'Calculations and Tests'!B$5:C$9,2,FALSE)),0)</f>
        <v>0</v>
      </c>
      <c r="L12" s="6">
        <f>Tabela59[[#This Row],[Subtotal]]*(1-Tabela59[[#This Row],[Discount]])+Tabela59[[#This Row],[Delivery Value]]</f>
        <v>0</v>
      </c>
      <c r="M12" s="6" t="str">
        <f>IF(Tabela59[[#This Row],[Sale id]]=B13,"",SUMIF(Tabela59[Sale id],Tabela59[[#This Row],[Sale id]],Tabela59[Total]))</f>
        <v/>
      </c>
    </row>
    <row r="13" spans="2:13" x14ac:dyDescent="0.25">
      <c r="B13" s="3"/>
      <c r="C13" s="5"/>
      <c r="D13" s="3"/>
      <c r="E13" s="3" t="str">
        <f>IFERROR(VLOOKUP(Tabela59[[#This Row],[Product]],'Calculations and Tests'!$J$5:$M$28,4,FALSE),"")</f>
        <v/>
      </c>
      <c r="F13" s="3"/>
      <c r="G13" s="6">
        <f>IFERROR(VLOOKUP(Tabela59[[#This Row],[Product]],'Calculations and Tests'!$J$5:$M$28,3,FALSE),0)</f>
        <v>0</v>
      </c>
      <c r="H13" s="6">
        <f>Tabela59[[#This Row],[Quantity]]*Tabela59[[#This Row],[Unity Price]]</f>
        <v>0</v>
      </c>
      <c r="I13" s="7"/>
      <c r="J13" s="3"/>
      <c r="K13" s="6">
        <f>IFERROR(IF(Tabela59[[#This Row],[Sale id]]=B14,0,VLOOKUP(Tabela59[[#This Row],[Deliver]],'Calculations and Tests'!B$5:C$9,2,FALSE)),0)</f>
        <v>0</v>
      </c>
      <c r="L13" s="6">
        <f>Tabela59[[#This Row],[Subtotal]]*(1-Tabela59[[#This Row],[Discount]])+Tabela59[[#This Row],[Delivery Value]]</f>
        <v>0</v>
      </c>
      <c r="M13" s="6" t="str">
        <f>IF(Tabela59[[#This Row],[Sale id]]=B14,"",SUMIF(Tabela59[Sale id],Tabela59[[#This Row],[Sale id]],Tabela59[Total]))</f>
        <v/>
      </c>
    </row>
    <row r="14" spans="2:13" x14ac:dyDescent="0.25">
      <c r="B14" s="3"/>
      <c r="C14" s="5"/>
      <c r="D14" s="3"/>
      <c r="E14" s="3" t="str">
        <f>IFERROR(VLOOKUP(Tabela59[[#This Row],[Product]],'Calculations and Tests'!$J$5:$M$28,4,FALSE),"")</f>
        <v/>
      </c>
      <c r="F14" s="3"/>
      <c r="G14" s="6">
        <f>IFERROR(VLOOKUP(Tabela59[[#This Row],[Product]],'Calculations and Tests'!$J$5:$M$28,3,FALSE),0)</f>
        <v>0</v>
      </c>
      <c r="H14" s="6">
        <f>Tabela59[[#This Row],[Quantity]]*Tabela59[[#This Row],[Unity Price]]</f>
        <v>0</v>
      </c>
      <c r="I14" s="7"/>
      <c r="J14" s="3"/>
      <c r="K14" s="6">
        <f>IFERROR(IF(Tabela59[[#This Row],[Sale id]]=B15,0,VLOOKUP(Tabela59[[#This Row],[Deliver]],'Calculations and Tests'!B$5:C$9,2,FALSE)),0)</f>
        <v>0</v>
      </c>
      <c r="L14" s="6">
        <f>Tabela59[[#This Row],[Subtotal]]*(1-Tabela59[[#This Row],[Discount]])+Tabela59[[#This Row],[Delivery Value]]</f>
        <v>0</v>
      </c>
      <c r="M14" s="6" t="str">
        <f>IF(Tabela59[[#This Row],[Sale id]]=B15,"",SUMIF(Tabela59[Sale id],Tabela59[[#This Row],[Sale id]],Tabela59[Total]))</f>
        <v/>
      </c>
    </row>
    <row r="15" spans="2:13" x14ac:dyDescent="0.25">
      <c r="B15" s="3"/>
      <c r="C15" s="5"/>
      <c r="D15" s="3"/>
      <c r="E15" s="3" t="str">
        <f>IFERROR(VLOOKUP(Tabela59[[#This Row],[Product]],'Calculations and Tests'!$J$5:$M$28,4,FALSE),"")</f>
        <v/>
      </c>
      <c r="F15" s="3"/>
      <c r="G15" s="6">
        <f>IFERROR(VLOOKUP(Tabela59[[#This Row],[Product]],'Calculations and Tests'!$J$5:$M$28,3,FALSE),0)</f>
        <v>0</v>
      </c>
      <c r="H15" s="6">
        <f>Tabela59[[#This Row],[Quantity]]*Tabela59[[#This Row],[Unity Price]]</f>
        <v>0</v>
      </c>
      <c r="I15" s="7"/>
      <c r="J15" s="3"/>
      <c r="K15" s="6">
        <f>IFERROR(IF(Tabela59[[#This Row],[Sale id]]=B16,0,VLOOKUP(Tabela59[[#This Row],[Deliver]],'Calculations and Tests'!B$5:C$9,2,FALSE)),0)</f>
        <v>0</v>
      </c>
      <c r="L15" s="6">
        <f>Tabela59[[#This Row],[Subtotal]]*(1-Tabela59[[#This Row],[Discount]])+Tabela59[[#This Row],[Delivery Value]]</f>
        <v>0</v>
      </c>
      <c r="M15" s="6" t="str">
        <f>IF(Tabela59[[#This Row],[Sale id]]=B16,"",SUMIF(Tabela59[Sale id],Tabela59[[#This Row],[Sale id]],Tabela59[Total]))</f>
        <v/>
      </c>
    </row>
    <row r="16" spans="2:13" x14ac:dyDescent="0.25">
      <c r="B16" s="3"/>
      <c r="C16" s="5"/>
      <c r="D16" s="3"/>
      <c r="E16" s="3" t="str">
        <f>IFERROR(VLOOKUP(Tabela59[[#This Row],[Product]],'Calculations and Tests'!$J$5:$M$28,4,FALSE),"")</f>
        <v/>
      </c>
      <c r="F16" s="3"/>
      <c r="G16" s="6">
        <f>IFERROR(VLOOKUP(Tabela59[[#This Row],[Product]],'Calculations and Tests'!$J$5:$M$28,3,FALSE),0)</f>
        <v>0</v>
      </c>
      <c r="H16" s="6">
        <f>Tabela59[[#This Row],[Quantity]]*Tabela59[[#This Row],[Unity Price]]</f>
        <v>0</v>
      </c>
      <c r="I16" s="7"/>
      <c r="J16" s="3"/>
      <c r="K16" s="6">
        <f>IFERROR(IF(Tabela59[[#This Row],[Sale id]]=B17,0,VLOOKUP(Tabela59[[#This Row],[Deliver]],'Calculations and Tests'!B$5:C$9,2,FALSE)),0)</f>
        <v>0</v>
      </c>
      <c r="L16" s="6">
        <f>Tabela59[[#This Row],[Subtotal]]*(1-Tabela59[[#This Row],[Discount]])+Tabela59[[#This Row],[Delivery Value]]</f>
        <v>0</v>
      </c>
      <c r="M16" s="6" t="str">
        <f>IF(Tabela59[[#This Row],[Sale id]]=B17,"",SUMIF(Tabela59[Sale id],Tabela59[[#This Row],[Sale id]],Tabela59[Total]))</f>
        <v/>
      </c>
    </row>
    <row r="17" spans="2:13" x14ac:dyDescent="0.25">
      <c r="B17" s="3"/>
      <c r="C17" s="5"/>
      <c r="D17" s="3"/>
      <c r="E17" s="3" t="str">
        <f>IFERROR(VLOOKUP(Tabela59[[#This Row],[Product]],'Calculations and Tests'!$J$5:$M$28,4,FALSE),"")</f>
        <v/>
      </c>
      <c r="F17" s="3"/>
      <c r="G17" s="6">
        <f>IFERROR(VLOOKUP(Tabela59[[#This Row],[Product]],'Calculations and Tests'!$J$5:$M$28,3,FALSE),0)</f>
        <v>0</v>
      </c>
      <c r="H17" s="6">
        <f>Tabela59[[#This Row],[Quantity]]*Tabela59[[#This Row],[Unity Price]]</f>
        <v>0</v>
      </c>
      <c r="I17" s="7"/>
      <c r="J17" s="3"/>
      <c r="K17" s="6">
        <f>IFERROR(IF(Tabela59[[#This Row],[Sale id]]=B18,0,VLOOKUP(Tabela59[[#This Row],[Deliver]],'Calculations and Tests'!B$5:C$9,2,FALSE)),0)</f>
        <v>0</v>
      </c>
      <c r="L17" s="6">
        <f>Tabela59[[#This Row],[Subtotal]]*(1-Tabela59[[#This Row],[Discount]])+Tabela59[[#This Row],[Delivery Value]]</f>
        <v>0</v>
      </c>
      <c r="M17" s="6" t="str">
        <f>IF(Tabela59[[#This Row],[Sale id]]=B18,"",SUMIF(Tabela59[Sale id],Tabela59[[#This Row],[Sale id]],Tabela59[Total]))</f>
        <v/>
      </c>
    </row>
    <row r="18" spans="2:13" x14ac:dyDescent="0.25">
      <c r="B18" s="3"/>
      <c r="C18" s="5"/>
      <c r="D18" s="3"/>
      <c r="E18" s="3" t="str">
        <f>IFERROR(VLOOKUP(Tabela59[[#This Row],[Product]],'Calculations and Tests'!$J$5:$M$28,4,FALSE),"")</f>
        <v/>
      </c>
      <c r="F18" s="3"/>
      <c r="G18" s="6">
        <f>IFERROR(VLOOKUP(Tabela59[[#This Row],[Product]],'Calculations and Tests'!$J$5:$M$28,3,FALSE),0)</f>
        <v>0</v>
      </c>
      <c r="H18" s="6">
        <f>Tabela59[[#This Row],[Quantity]]*Tabela59[[#This Row],[Unity Price]]</f>
        <v>0</v>
      </c>
      <c r="I18" s="7"/>
      <c r="J18" s="3"/>
      <c r="K18" s="6">
        <f>IFERROR(IF(Tabela59[[#This Row],[Sale id]]=B19,0,VLOOKUP(Tabela59[[#This Row],[Deliver]],'Calculations and Tests'!B$5:C$9,2,FALSE)),0)</f>
        <v>0</v>
      </c>
      <c r="L18" s="6">
        <f>Tabela59[[#This Row],[Subtotal]]*(1-Tabela59[[#This Row],[Discount]])+Tabela59[[#This Row],[Delivery Value]]</f>
        <v>0</v>
      </c>
      <c r="M18" s="6" t="str">
        <f>IF(Tabela59[[#This Row],[Sale id]]=B19,"",SUMIF(Tabela59[Sale id],Tabela59[[#This Row],[Sale id]],Tabela59[Total]))</f>
        <v/>
      </c>
    </row>
    <row r="19" spans="2:13" x14ac:dyDescent="0.25">
      <c r="B19" s="3"/>
      <c r="C19" s="5"/>
      <c r="D19" s="3"/>
      <c r="E19" s="3" t="str">
        <f>IFERROR(VLOOKUP(Tabela59[[#This Row],[Product]],'Calculations and Tests'!$J$5:$M$28,4,FALSE),"")</f>
        <v/>
      </c>
      <c r="F19" s="3"/>
      <c r="G19" s="6">
        <f>IFERROR(VLOOKUP(Tabela59[[#This Row],[Product]],'Calculations and Tests'!$J$5:$M$28,3,FALSE),0)</f>
        <v>0</v>
      </c>
      <c r="H19" s="6">
        <f>Tabela59[[#This Row],[Quantity]]*Tabela59[[#This Row],[Unity Price]]</f>
        <v>0</v>
      </c>
      <c r="I19" s="7"/>
      <c r="J19" s="3"/>
      <c r="K19" s="6">
        <f>IFERROR(IF(Tabela59[[#This Row],[Sale id]]=B20,0,VLOOKUP(Tabela59[[#This Row],[Deliver]],'Calculations and Tests'!B$5:C$9,2,FALSE)),0)</f>
        <v>0</v>
      </c>
      <c r="L19" s="6">
        <f>Tabela59[[#This Row],[Subtotal]]*(1-Tabela59[[#This Row],[Discount]])+Tabela59[[#This Row],[Delivery Value]]</f>
        <v>0</v>
      </c>
      <c r="M19" s="6" t="str">
        <f>IF(Tabela59[[#This Row],[Sale id]]=B20,"",SUMIF(Tabela59[Sale id],Tabela59[[#This Row],[Sale id]],Tabela59[Total]))</f>
        <v/>
      </c>
    </row>
    <row r="20" spans="2:13" x14ac:dyDescent="0.25">
      <c r="B20" s="3"/>
      <c r="C20" s="5"/>
      <c r="D20" s="3"/>
      <c r="E20" s="3" t="str">
        <f>IFERROR(VLOOKUP(Tabela59[[#This Row],[Product]],'Calculations and Tests'!$J$5:$M$28,4,FALSE),"")</f>
        <v/>
      </c>
      <c r="F20" s="3"/>
      <c r="G20" s="6">
        <f>IFERROR(VLOOKUP(Tabela59[[#This Row],[Product]],'Calculations and Tests'!$J$5:$M$28,3,FALSE),0)</f>
        <v>0</v>
      </c>
      <c r="H20" s="6">
        <f>Tabela59[[#This Row],[Quantity]]*Tabela59[[#This Row],[Unity Price]]</f>
        <v>0</v>
      </c>
      <c r="I20" s="7"/>
      <c r="J20" s="3"/>
      <c r="K20" s="6">
        <f>IFERROR(IF(Tabela59[[#This Row],[Sale id]]=B21,0,VLOOKUP(Tabela59[[#This Row],[Deliver]],'Calculations and Tests'!B$5:C$9,2,FALSE)),0)</f>
        <v>0</v>
      </c>
      <c r="L20" s="6">
        <f>Tabela59[[#This Row],[Subtotal]]*(1-Tabela59[[#This Row],[Discount]])+Tabela59[[#This Row],[Delivery Value]]</f>
        <v>0</v>
      </c>
      <c r="M20" s="6" t="str">
        <f>IF(Tabela59[[#This Row],[Sale id]]=B21,"",SUMIF(Tabela59[Sale id],Tabela59[[#This Row],[Sale id]],Tabela59[Total]))</f>
        <v/>
      </c>
    </row>
    <row r="21" spans="2:13" x14ac:dyDescent="0.25">
      <c r="B21" s="3"/>
      <c r="C21" s="5"/>
      <c r="D21" s="3"/>
      <c r="E21" s="3" t="str">
        <f>IFERROR(VLOOKUP(Tabela59[[#This Row],[Product]],'Calculations and Tests'!$J$5:$M$28,4,FALSE),"")</f>
        <v/>
      </c>
      <c r="F21" s="3"/>
      <c r="G21" s="6">
        <f>IFERROR(VLOOKUP(Tabela59[[#This Row],[Product]],'Calculations and Tests'!$J$5:$M$28,3,FALSE),0)</f>
        <v>0</v>
      </c>
      <c r="H21" s="6">
        <f>Tabela59[[#This Row],[Quantity]]*Tabela59[[#This Row],[Unity Price]]</f>
        <v>0</v>
      </c>
      <c r="I21" s="7"/>
      <c r="J21" s="3"/>
      <c r="K21" s="6">
        <f>IFERROR(IF(Tabela59[[#This Row],[Sale id]]=B22,0,VLOOKUP(Tabela59[[#This Row],[Deliver]],'Calculations and Tests'!B$5:C$9,2,FALSE)),0)</f>
        <v>0</v>
      </c>
      <c r="L21" s="6">
        <f>Tabela59[[#This Row],[Subtotal]]*(1-Tabela59[[#This Row],[Discount]])+Tabela59[[#This Row],[Delivery Value]]</f>
        <v>0</v>
      </c>
      <c r="M21" s="6" t="str">
        <f>IF(Tabela59[[#This Row],[Sale id]]=B22,"",SUMIF(Tabela59[Sale id],Tabela59[[#This Row],[Sale id]],Tabela59[Total]))</f>
        <v/>
      </c>
    </row>
    <row r="22" spans="2:13" x14ac:dyDescent="0.25">
      <c r="B22" s="3"/>
      <c r="C22" s="5"/>
      <c r="D22" s="3"/>
      <c r="E22" s="3" t="str">
        <f>IFERROR(VLOOKUP(Tabela59[[#This Row],[Product]],'Calculations and Tests'!$J$5:$M$28,4,FALSE),"")</f>
        <v/>
      </c>
      <c r="F22" s="3"/>
      <c r="G22" s="6">
        <f>IFERROR(VLOOKUP(Tabela59[[#This Row],[Product]],'Calculations and Tests'!$J$5:$M$28,3,FALSE),0)</f>
        <v>0</v>
      </c>
      <c r="H22" s="6">
        <f>Tabela59[[#This Row],[Quantity]]*Tabela59[[#This Row],[Unity Price]]</f>
        <v>0</v>
      </c>
      <c r="I22" s="7"/>
      <c r="J22" s="3"/>
      <c r="K22" s="6">
        <f>IFERROR(IF(Tabela59[[#This Row],[Sale id]]=B23,0,VLOOKUP(Tabela59[[#This Row],[Deliver]],'Calculations and Tests'!B$5:C$9,2,FALSE)),0)</f>
        <v>0</v>
      </c>
      <c r="L22" s="6">
        <f>Tabela59[[#This Row],[Subtotal]]*(1-Tabela59[[#This Row],[Discount]])+Tabela59[[#This Row],[Delivery Value]]</f>
        <v>0</v>
      </c>
      <c r="M22" s="6" t="str">
        <f>IF(Tabela59[[#This Row],[Sale id]]=B23,"",SUMIF(Tabela59[Sale id],Tabela59[[#This Row],[Sale id]],Tabela59[Total]))</f>
        <v/>
      </c>
    </row>
    <row r="23" spans="2:13" x14ac:dyDescent="0.25">
      <c r="B23" s="3"/>
      <c r="C23" s="5"/>
      <c r="D23" s="3"/>
      <c r="E23" s="3" t="str">
        <f>IFERROR(VLOOKUP(Tabela59[[#This Row],[Product]],'Calculations and Tests'!$J$5:$M$28,4,FALSE),"")</f>
        <v/>
      </c>
      <c r="F23" s="3"/>
      <c r="G23" s="6">
        <f>IFERROR(VLOOKUP(Tabela59[[#This Row],[Product]],'Calculations and Tests'!$J$5:$M$28,3,FALSE),0)</f>
        <v>0</v>
      </c>
      <c r="H23" s="6">
        <f>Tabela59[[#This Row],[Quantity]]*Tabela59[[#This Row],[Unity Price]]</f>
        <v>0</v>
      </c>
      <c r="I23" s="7"/>
      <c r="J23" s="3"/>
      <c r="K23" s="6">
        <f>IFERROR(IF(Tabela59[[#This Row],[Sale id]]=B24,0,VLOOKUP(Tabela59[[#This Row],[Deliver]],'Calculations and Tests'!B$5:C$9,2,FALSE)),0)</f>
        <v>0</v>
      </c>
      <c r="L23" s="6">
        <f>Tabela59[[#This Row],[Subtotal]]*(1-Tabela59[[#This Row],[Discount]])+Tabela59[[#This Row],[Delivery Value]]</f>
        <v>0</v>
      </c>
      <c r="M23" s="6" t="str">
        <f>IF(Tabela59[[#This Row],[Sale id]]=B24,"",SUMIF(Tabela59[Sale id],Tabela59[[#This Row],[Sale id]],Tabela59[Total]))</f>
        <v/>
      </c>
    </row>
    <row r="24" spans="2:13" x14ac:dyDescent="0.25">
      <c r="B24" s="3"/>
      <c r="C24" s="5"/>
      <c r="D24" s="3"/>
      <c r="E24" s="3" t="str">
        <f>IFERROR(VLOOKUP(Tabela59[[#This Row],[Product]],'Calculations and Tests'!$J$5:$M$28,4,FALSE),"")</f>
        <v/>
      </c>
      <c r="F24" s="3"/>
      <c r="G24" s="6">
        <f>IFERROR(VLOOKUP(Tabela59[[#This Row],[Product]],'Calculations and Tests'!$J$5:$M$28,3,FALSE),0)</f>
        <v>0</v>
      </c>
      <c r="H24" s="6">
        <f>Tabela59[[#This Row],[Quantity]]*Tabela59[[#This Row],[Unity Price]]</f>
        <v>0</v>
      </c>
      <c r="I24" s="7"/>
      <c r="J24" s="3"/>
      <c r="K24" s="6">
        <f>IFERROR(IF(Tabela59[[#This Row],[Sale id]]=B25,0,VLOOKUP(Tabela59[[#This Row],[Deliver]],'Calculations and Tests'!B$5:C$9,2,FALSE)),0)</f>
        <v>0</v>
      </c>
      <c r="L24" s="6">
        <f>Tabela59[[#This Row],[Subtotal]]*(1-Tabela59[[#This Row],[Discount]])+Tabela59[[#This Row],[Delivery Value]]</f>
        <v>0</v>
      </c>
      <c r="M24" s="6" t="str">
        <f>IF(Tabela59[[#This Row],[Sale id]]=B25,"",SUMIF(Tabela59[Sale id],Tabela59[[#This Row],[Sale id]],Tabela59[Total]))</f>
        <v/>
      </c>
    </row>
    <row r="25" spans="2:13" x14ac:dyDescent="0.25">
      <c r="B25" s="3"/>
      <c r="C25" s="5"/>
      <c r="D25" s="3"/>
      <c r="E25" s="3" t="str">
        <f>IFERROR(VLOOKUP(Tabela59[[#This Row],[Product]],'Calculations and Tests'!$J$5:$M$28,4,FALSE),"")</f>
        <v/>
      </c>
      <c r="F25" s="3"/>
      <c r="G25" s="6">
        <f>IFERROR(VLOOKUP(Tabela59[[#This Row],[Product]],'Calculations and Tests'!$J$5:$M$28,3,FALSE),0)</f>
        <v>0</v>
      </c>
      <c r="H25" s="6">
        <f>Tabela59[[#This Row],[Quantity]]*Tabela59[[#This Row],[Unity Price]]</f>
        <v>0</v>
      </c>
      <c r="I25" s="7"/>
      <c r="J25" s="3"/>
      <c r="K25" s="6">
        <f>IFERROR(IF(Tabela59[[#This Row],[Sale id]]=B26,0,VLOOKUP(Tabela59[[#This Row],[Deliver]],'Calculations and Tests'!B$5:C$9,2,FALSE)),0)</f>
        <v>0</v>
      </c>
      <c r="L25" s="6">
        <f>Tabela59[[#This Row],[Subtotal]]*(1-Tabela59[[#This Row],[Discount]])+Tabela59[[#This Row],[Delivery Value]]</f>
        <v>0</v>
      </c>
      <c r="M25" s="6" t="str">
        <f>IF(Tabela59[[#This Row],[Sale id]]=B26,"",SUMIF(Tabela59[Sale id],Tabela59[[#This Row],[Sale id]],Tabela59[Total]))</f>
        <v/>
      </c>
    </row>
    <row r="26" spans="2:13" x14ac:dyDescent="0.25">
      <c r="B26" s="3"/>
      <c r="C26" s="5"/>
      <c r="D26" s="3"/>
      <c r="E26" s="3" t="str">
        <f>IFERROR(VLOOKUP(Tabela59[[#This Row],[Product]],'Calculations and Tests'!$J$5:$M$28,4,FALSE),"")</f>
        <v/>
      </c>
      <c r="F26" s="3"/>
      <c r="G26" s="6">
        <f>IFERROR(VLOOKUP(Tabela59[[#This Row],[Product]],'Calculations and Tests'!$J$5:$M$28,3,FALSE),0)</f>
        <v>0</v>
      </c>
      <c r="H26" s="6">
        <f>Tabela59[[#This Row],[Quantity]]*Tabela59[[#This Row],[Unity Price]]</f>
        <v>0</v>
      </c>
      <c r="I26" s="7"/>
      <c r="J26" s="3"/>
      <c r="K26" s="6">
        <f>IFERROR(IF(Tabela59[[#This Row],[Sale id]]=B27,0,VLOOKUP(Tabela59[[#This Row],[Deliver]],'Calculations and Tests'!B$5:C$9,2,FALSE)),0)</f>
        <v>0</v>
      </c>
      <c r="L26" s="6">
        <f>Tabela59[[#This Row],[Subtotal]]*(1-Tabela59[[#This Row],[Discount]])+Tabela59[[#This Row],[Delivery Value]]</f>
        <v>0</v>
      </c>
      <c r="M26" s="6" t="str">
        <f>IF(Tabela59[[#This Row],[Sale id]]=B27,"",SUMIF(Tabela59[Sale id],Tabela59[[#This Row],[Sale id]],Tabela59[Total]))</f>
        <v/>
      </c>
    </row>
    <row r="27" spans="2:13" x14ac:dyDescent="0.25">
      <c r="B27" s="3"/>
      <c r="C27" s="5"/>
      <c r="D27" s="3"/>
      <c r="E27" s="3" t="str">
        <f>IFERROR(VLOOKUP(Tabela59[[#This Row],[Product]],'Calculations and Tests'!$J$5:$M$28,4,FALSE),"")</f>
        <v/>
      </c>
      <c r="F27" s="3"/>
      <c r="G27" s="6">
        <f>IFERROR(VLOOKUP(Tabela59[[#This Row],[Product]],'Calculations and Tests'!$J$5:$M$28,3,FALSE),0)</f>
        <v>0</v>
      </c>
      <c r="H27" s="6">
        <f>Tabela59[[#This Row],[Quantity]]*Tabela59[[#This Row],[Unity Price]]</f>
        <v>0</v>
      </c>
      <c r="I27" s="7"/>
      <c r="J27" s="3"/>
      <c r="K27" s="6">
        <f>IFERROR(IF(Tabela59[[#This Row],[Sale id]]=B28,0,VLOOKUP(Tabela59[[#This Row],[Deliver]],'Calculations and Tests'!B$5:C$9,2,FALSE)),0)</f>
        <v>0</v>
      </c>
      <c r="L27" s="6">
        <f>Tabela59[[#This Row],[Subtotal]]*(1-Tabela59[[#This Row],[Discount]])+Tabela59[[#This Row],[Delivery Value]]</f>
        <v>0</v>
      </c>
      <c r="M27" s="6" t="str">
        <f>IF(Tabela59[[#This Row],[Sale id]]=B28,"",SUMIF(Tabela59[Sale id],Tabela59[[#This Row],[Sale id]],Tabela59[Total]))</f>
        <v/>
      </c>
    </row>
    <row r="28" spans="2:13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2:13" ht="21" x14ac:dyDescent="0.35">
      <c r="B29" s="21" t="s">
        <v>141</v>
      </c>
      <c r="C29" s="21"/>
      <c r="D29" s="21"/>
      <c r="E29" s="22"/>
      <c r="F29" s="22"/>
      <c r="G29" s="22"/>
      <c r="H29" s="22"/>
      <c r="I29" s="22"/>
      <c r="J29" s="22"/>
      <c r="K29" s="22"/>
      <c r="L29" s="22"/>
      <c r="M29" s="23">
        <f>SUM(Tabela59[Total])</f>
        <v>8.8000000000000007</v>
      </c>
    </row>
    <row r="31" spans="2:13" ht="21" x14ac:dyDescent="0.35">
      <c r="B31" s="21" t="s">
        <v>142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SUM(Tabela59[Delivery Value])</f>
        <v>6.5</v>
      </c>
    </row>
    <row r="33" spans="2:13" ht="21" x14ac:dyDescent="0.35">
      <c r="B33" s="21" t="s">
        <v>143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44">
        <f>SUM(IF(FREQUENCY(Tabela59[Sale id],Tabela59[Sale id])&gt;0,1,0))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E64FAC-2C7D-4AD1-BC70-305C4D5C1391}">
          <x14:formula1>
            <xm:f>'Calculations and Tests'!$B$5:$B$9</xm:f>
          </x14:formula1>
          <xm:sqref>J5:J27</xm:sqref>
        </x14:dataValidation>
        <x14:dataValidation type="list" allowBlank="1" showInputMessage="1" showErrorMessage="1" xr:uid="{6D07CA7F-8A1A-4328-A2E1-B8E5991A09F5}">
          <x14:formula1>
            <xm:f>'Calculations and Tests'!$J$5:$J$161</xm:f>
          </x14:formula1>
          <xm:sqref>D5:D27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25CD7-E8EA-453D-9082-3FB38BD4790E}">
  <dimension ref="A3:I7"/>
  <sheetViews>
    <sheetView showGridLines="0" topLeftCell="B1" workbookViewId="0">
      <selection activeCell="G4" sqref="G4"/>
    </sheetView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40</v>
      </c>
      <c r="B3" t="s">
        <v>173</v>
      </c>
      <c r="C3" t="s">
        <v>42</v>
      </c>
      <c r="F3" s="76" t="s">
        <v>40</v>
      </c>
      <c r="G3" t="s">
        <v>173</v>
      </c>
      <c r="H3" t="s">
        <v>174</v>
      </c>
      <c r="I3" t="s">
        <v>42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126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43</v>
      </c>
      <c r="C5" s="78">
        <v>0</v>
      </c>
      <c r="F5" s="80" t="s">
        <v>43</v>
      </c>
      <c r="H5" s="78">
        <v>0</v>
      </c>
      <c r="I5" s="78">
        <v>0</v>
      </c>
    </row>
    <row r="6" spans="1:9" x14ac:dyDescent="0.25">
      <c r="A6" s="79" t="s">
        <v>43</v>
      </c>
      <c r="C6" s="78">
        <v>0</v>
      </c>
      <c r="F6" s="79" t="s">
        <v>43</v>
      </c>
      <c r="H6" s="78">
        <v>0</v>
      </c>
      <c r="I6" s="78">
        <v>0</v>
      </c>
    </row>
    <row r="7" spans="1:9" x14ac:dyDescent="0.25">
      <c r="A7" s="77" t="s">
        <v>41</v>
      </c>
      <c r="B7">
        <v>2</v>
      </c>
      <c r="C7" s="78">
        <v>2.2999999999999998</v>
      </c>
      <c r="F7" s="80" t="s">
        <v>41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D16E8-AB78-4460-9C5C-A46B695CA97B}">
  <dimension ref="B2:M33"/>
  <sheetViews>
    <sheetView showGridLines="0" zoomScale="90" zoomScaleNormal="90" workbookViewId="0">
      <selection activeCell="C8" sqref="C8"/>
    </sheetView>
  </sheetViews>
  <sheetFormatPr defaultRowHeight="15" x14ac:dyDescent="0.25"/>
  <cols>
    <col min="1" max="1" width="20.85546875" customWidth="1"/>
    <col min="2" max="2" width="11.7109375" customWidth="1"/>
    <col min="3" max="3" width="12.140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18" customFormat="1" ht="27.95" customHeight="1" x14ac:dyDescent="0.25">
      <c r="B2" s="17" t="s">
        <v>54</v>
      </c>
    </row>
    <row r="3" spans="2:13" ht="29.25" customHeight="1" x14ac:dyDescent="0.25"/>
    <row r="4" spans="2:13" x14ac:dyDescent="0.25">
      <c r="B4" s="3" t="s">
        <v>131</v>
      </c>
      <c r="C4" s="3" t="s">
        <v>58</v>
      </c>
      <c r="D4" s="3" t="s">
        <v>99</v>
      </c>
      <c r="E4" s="3" t="s">
        <v>87</v>
      </c>
      <c r="F4" s="3" t="s">
        <v>88</v>
      </c>
      <c r="G4" s="3" t="s">
        <v>132</v>
      </c>
      <c r="H4" s="3" t="s">
        <v>37</v>
      </c>
      <c r="I4" s="3" t="s">
        <v>90</v>
      </c>
      <c r="J4" s="3" t="s">
        <v>133</v>
      </c>
      <c r="K4" s="3" t="s">
        <v>134</v>
      </c>
      <c r="L4" s="3" t="s">
        <v>38</v>
      </c>
      <c r="M4" s="3" t="s">
        <v>135</v>
      </c>
    </row>
    <row r="5" spans="2:13" x14ac:dyDescent="0.25">
      <c r="B5" s="3">
        <v>5</v>
      </c>
      <c r="C5" s="5">
        <v>42190</v>
      </c>
      <c r="D5" s="3" t="s">
        <v>149</v>
      </c>
      <c r="E5" s="3" t="str">
        <f>IFERROR(VLOOKUP(Tabela510[[#This Row],[Product]],'Calculations and Tests'!$J$5:$M$28,4,FALSE),"")</f>
        <v>Package</v>
      </c>
      <c r="F5" s="3">
        <v>2</v>
      </c>
      <c r="G5" s="6">
        <f>IFERROR(VLOOKUP(Tabela510[[#This Row],[Product]],'Calculations and Tests'!$J$5:$M$28,3,FALSE),0)</f>
        <v>1.1499999999999999</v>
      </c>
      <c r="H5" s="6">
        <f>Tabela510[[#This Row],[Quantity]]*Tabela510[[#This Row],[Unity Price]]</f>
        <v>2.2999999999999998</v>
      </c>
      <c r="I5" s="7"/>
      <c r="J5" s="3" t="s">
        <v>128</v>
      </c>
      <c r="K5" s="6">
        <f>IFERROR(IF(Tabela510[[#This Row],[Sale id]]=B6,0,VLOOKUP(Tabela510[[#This Row],[Deliver]],'Calculations and Tests'!B$5:C$9,2,FALSE)),0)</f>
        <v>6.5</v>
      </c>
      <c r="L5" s="6">
        <f>Tabela59[[#This Row],[Subtotal]]*(1-Tabela59[[#This Row],[Discount]])+Tabela59[[#This Row],[Delivery Value]]</f>
        <v>8.8000000000000007</v>
      </c>
      <c r="M5" s="6">
        <f>IF(Tabela59[[#This Row],[Sale id]]=B6,"",SUMIF(Tabela59[Sale id],Tabela59[[#This Row],[Sale id]],Tabela59[Total]))</f>
        <v>8.8000000000000007</v>
      </c>
    </row>
    <row r="6" spans="2:13" x14ac:dyDescent="0.25">
      <c r="B6" s="3"/>
      <c r="C6" s="5"/>
      <c r="D6" s="3"/>
      <c r="E6" s="3" t="str">
        <f>IFERROR(VLOOKUP(Tabela510[[#This Row],[Product]],'Calculations and Tests'!$J$5:$M$28,4,FALSE),"")</f>
        <v/>
      </c>
      <c r="F6" s="3"/>
      <c r="G6" s="6">
        <f>IFERROR(VLOOKUP(Tabela510[[#This Row],[Product]],'Calculations and Tests'!$J$5:$M$28,3,FALSE),0)</f>
        <v>0</v>
      </c>
      <c r="H6" s="6">
        <f>Tabela510[[#This Row],[Quantity]]*Tabela510[[#This Row],[Unity Price]]</f>
        <v>0</v>
      </c>
      <c r="I6" s="7"/>
      <c r="J6" s="3"/>
      <c r="K6" s="6">
        <f>IFERROR(IF(Tabela510[[#This Row],[Sale id]]=B7,0,VLOOKUP(Tabela510[[#This Row],[Deliver]],'Calculations and Tests'!B$5:C$9,2,FALSE)),0)</f>
        <v>0</v>
      </c>
      <c r="L6" s="6">
        <f>Tabela59[[#This Row],[Subtotal]]*(1-Tabela59[[#This Row],[Discount]])+Tabela59[[#This Row],[Delivery Value]]</f>
        <v>0</v>
      </c>
      <c r="M6" s="6" t="str">
        <f>IF(Tabela59[[#This Row],[Sale id]]=B7,"",SUMIF(Tabela59[Sale id],Tabela59[[#This Row],[Sale id]],Tabela59[Total]))</f>
        <v/>
      </c>
    </row>
    <row r="7" spans="2:13" x14ac:dyDescent="0.25">
      <c r="B7" s="3"/>
      <c r="C7" s="5"/>
      <c r="D7" s="3"/>
      <c r="E7" s="3" t="str">
        <f>IFERROR(VLOOKUP(Tabela510[[#This Row],[Product]],'Calculations and Tests'!$J$5:$M$28,4,FALSE),"")</f>
        <v/>
      </c>
      <c r="F7" s="3"/>
      <c r="G7" s="6">
        <f>IFERROR(VLOOKUP(Tabela510[[#This Row],[Product]],'Calculations and Tests'!$J$5:$M$28,3,FALSE),0)</f>
        <v>0</v>
      </c>
      <c r="H7" s="6">
        <f>Tabela510[[#This Row],[Quantity]]*Tabela510[[#This Row],[Unity Price]]</f>
        <v>0</v>
      </c>
      <c r="I7" s="7"/>
      <c r="J7" s="3"/>
      <c r="K7" s="6">
        <f>IFERROR(IF(Tabela510[[#This Row],[Sale id]]=B8,0,VLOOKUP(Tabela510[[#This Row],[Deliver]],'Calculations and Tests'!B$5:C$9,2,FALSE)),0)</f>
        <v>0</v>
      </c>
      <c r="L7" s="6">
        <f>Tabela59[[#This Row],[Subtotal]]*(1-Tabela59[[#This Row],[Discount]])+Tabela59[[#This Row],[Delivery Value]]</f>
        <v>0</v>
      </c>
      <c r="M7" s="6" t="str">
        <f>IF(Tabela59[[#This Row],[Sale id]]=B8,"",SUMIF(Tabela59[Sale id],Tabela59[[#This Row],[Sale id]],Tabela59[Total]))</f>
        <v/>
      </c>
    </row>
    <row r="8" spans="2:13" x14ac:dyDescent="0.25">
      <c r="B8" s="3"/>
      <c r="C8" s="5"/>
      <c r="D8" s="3"/>
      <c r="E8" s="3" t="str">
        <f>IFERROR(VLOOKUP(Tabela510[[#This Row],[Product]],'Calculations and Tests'!$J$5:$M$28,4,FALSE),"")</f>
        <v/>
      </c>
      <c r="F8" s="3"/>
      <c r="G8" s="6">
        <f>IFERROR(VLOOKUP(Tabela510[[#This Row],[Product]],'Calculations and Tests'!$J$5:$M$28,3,FALSE),0)</f>
        <v>0</v>
      </c>
      <c r="H8" s="6">
        <f>Tabela510[[#This Row],[Quantity]]*Tabela510[[#This Row],[Unity Price]]</f>
        <v>0</v>
      </c>
      <c r="I8" s="7"/>
      <c r="J8" s="3"/>
      <c r="K8" s="6">
        <f>IFERROR(IF(Tabela510[[#This Row],[Sale id]]=B9,0,VLOOKUP(Tabela510[[#This Row],[Deliver]],'Calculations and Tests'!B$5:C$9,2,FALSE)),0)</f>
        <v>0</v>
      </c>
      <c r="L8" s="6">
        <f>Tabela59[[#This Row],[Subtotal]]*(1-Tabela59[[#This Row],[Discount]])+Tabela59[[#This Row],[Delivery Value]]</f>
        <v>0</v>
      </c>
      <c r="M8" s="6" t="str">
        <f>IF(Tabela59[[#This Row],[Sale id]]=B9,"",SUMIF(Tabela59[Sale id],Tabela59[[#This Row],[Sale id]],Tabela59[Total]))</f>
        <v/>
      </c>
    </row>
    <row r="9" spans="2:13" x14ac:dyDescent="0.25">
      <c r="B9" s="3"/>
      <c r="C9" s="5"/>
      <c r="D9" s="3"/>
      <c r="E9" s="3" t="str">
        <f>IFERROR(VLOOKUP(Tabela510[[#This Row],[Product]],'Calculations and Tests'!$J$5:$M$28,4,FALSE),"")</f>
        <v/>
      </c>
      <c r="F9" s="3"/>
      <c r="G9" s="6">
        <f>IFERROR(VLOOKUP(Tabela510[[#This Row],[Product]],'Calculations and Tests'!$J$5:$M$28,3,FALSE),0)</f>
        <v>0</v>
      </c>
      <c r="H9" s="6">
        <f>Tabela510[[#This Row],[Quantity]]*Tabela510[[#This Row],[Unity Price]]</f>
        <v>0</v>
      </c>
      <c r="I9" s="7"/>
      <c r="J9" s="3"/>
      <c r="K9" s="6">
        <f>IFERROR(IF(Tabela510[[#This Row],[Sale id]]=B10,0,VLOOKUP(Tabela510[[#This Row],[Deliver]],'Calculations and Tests'!B$5:C$9,2,FALSE)),0)</f>
        <v>0</v>
      </c>
      <c r="L9" s="6">
        <f>Tabela59[[#This Row],[Subtotal]]*(1-Tabela59[[#This Row],[Discount]])+Tabela59[[#This Row],[Delivery Value]]</f>
        <v>0</v>
      </c>
      <c r="M9" s="6" t="str">
        <f>IF(Tabela59[[#This Row],[Sale id]]=B10,"",SUMIF(Tabela59[Sale id],Tabela59[[#This Row],[Sale id]],Tabela59[Total]))</f>
        <v/>
      </c>
    </row>
    <row r="10" spans="2:13" x14ac:dyDescent="0.25">
      <c r="B10" s="3"/>
      <c r="C10" s="5"/>
      <c r="D10" s="3"/>
      <c r="E10" s="3" t="str">
        <f>IFERROR(VLOOKUP(Tabela510[[#This Row],[Product]],'Calculations and Tests'!$J$5:$M$28,4,FALSE),"")</f>
        <v/>
      </c>
      <c r="F10" s="3"/>
      <c r="G10" s="6">
        <f>IFERROR(VLOOKUP(Tabela510[[#This Row],[Product]],'Calculations and Tests'!$J$5:$M$28,3,FALSE),0)</f>
        <v>0</v>
      </c>
      <c r="H10" s="6">
        <f>Tabela510[[#This Row],[Quantity]]*Tabela510[[#This Row],[Unity Price]]</f>
        <v>0</v>
      </c>
      <c r="I10" s="7"/>
      <c r="J10" s="3"/>
      <c r="K10" s="6">
        <f>IFERROR(IF(Tabela510[[#This Row],[Sale id]]=B11,0,VLOOKUP(Tabela510[[#This Row],[Deliver]],'Calculations and Tests'!B$5:C$9,2,FALSE)),0)</f>
        <v>0</v>
      </c>
      <c r="L10" s="6">
        <f>Tabela59[[#This Row],[Subtotal]]*(1-Tabela59[[#This Row],[Discount]])+Tabela59[[#This Row],[Delivery Value]]</f>
        <v>0</v>
      </c>
      <c r="M10" s="6" t="str">
        <f>IF(Tabela59[[#This Row],[Sale id]]=B11,"",SUMIF(Tabela59[Sale id],Tabela59[[#This Row],[Sale id]],Tabela59[Total]))</f>
        <v/>
      </c>
    </row>
    <row r="11" spans="2:13" x14ac:dyDescent="0.25">
      <c r="B11" s="3"/>
      <c r="C11" s="5"/>
      <c r="D11" s="3"/>
      <c r="E11" s="3" t="str">
        <f>IFERROR(VLOOKUP(Tabela510[[#This Row],[Product]],'Calculations and Tests'!$J$5:$M$28,4,FALSE),"")</f>
        <v/>
      </c>
      <c r="F11" s="3"/>
      <c r="G11" s="6">
        <f>IFERROR(VLOOKUP(Tabela510[[#This Row],[Product]],'Calculations and Tests'!$J$5:$M$28,3,FALSE),0)</f>
        <v>0</v>
      </c>
      <c r="H11" s="6">
        <f>Tabela510[[#This Row],[Quantity]]*Tabela510[[#This Row],[Unity Price]]</f>
        <v>0</v>
      </c>
      <c r="I11" s="7"/>
      <c r="J11" s="3"/>
      <c r="K11" s="6">
        <f>IFERROR(IF(Tabela510[[#This Row],[Sale id]]=B12,0,VLOOKUP(Tabela510[[#This Row],[Deliver]],'Calculations and Tests'!B$5:C$9,2,FALSE)),0)</f>
        <v>0</v>
      </c>
      <c r="L11" s="6">
        <f>Tabela59[[#This Row],[Subtotal]]*(1-Tabela59[[#This Row],[Discount]])+Tabela59[[#This Row],[Delivery Value]]</f>
        <v>0</v>
      </c>
      <c r="M11" s="6" t="str">
        <f>IF(Tabela59[[#This Row],[Sale id]]=B12,"",SUMIF(Tabela59[Sale id],Tabela59[[#This Row],[Sale id]],Tabela59[Total]))</f>
        <v/>
      </c>
    </row>
    <row r="12" spans="2:13" x14ac:dyDescent="0.25">
      <c r="B12" s="3"/>
      <c r="C12" s="5"/>
      <c r="D12" s="3"/>
      <c r="E12" s="3" t="str">
        <f>IFERROR(VLOOKUP(Tabela510[[#This Row],[Product]],'Calculations and Tests'!$J$5:$M$28,4,FALSE),"")</f>
        <v/>
      </c>
      <c r="F12" s="3"/>
      <c r="G12" s="6">
        <f>IFERROR(VLOOKUP(Tabela510[[#This Row],[Product]],'Calculations and Tests'!$J$5:$M$28,3,FALSE),0)</f>
        <v>0</v>
      </c>
      <c r="H12" s="6">
        <f>Tabela510[[#This Row],[Quantity]]*Tabela510[[#This Row],[Unity Price]]</f>
        <v>0</v>
      </c>
      <c r="I12" s="7"/>
      <c r="J12" s="3"/>
      <c r="K12" s="6">
        <f>IFERROR(IF(Tabela510[[#This Row],[Sale id]]=B13,0,VLOOKUP(Tabela510[[#This Row],[Deliver]],'Calculations and Tests'!B$5:C$9,2,FALSE)),0)</f>
        <v>0</v>
      </c>
      <c r="L12" s="6">
        <f>Tabela59[[#This Row],[Subtotal]]*(1-Tabela59[[#This Row],[Discount]])+Tabela59[[#This Row],[Delivery Value]]</f>
        <v>0</v>
      </c>
      <c r="M12" s="6" t="str">
        <f>IF(Tabela59[[#This Row],[Sale id]]=B13,"",SUMIF(Tabela59[Sale id],Tabela59[[#This Row],[Sale id]],Tabela59[Total]))</f>
        <v/>
      </c>
    </row>
    <row r="13" spans="2:13" x14ac:dyDescent="0.25">
      <c r="B13" s="3"/>
      <c r="C13" s="5"/>
      <c r="D13" s="3"/>
      <c r="E13" s="3" t="str">
        <f>IFERROR(VLOOKUP(Tabela510[[#This Row],[Product]],'Calculations and Tests'!$J$5:$M$28,4,FALSE),"")</f>
        <v/>
      </c>
      <c r="F13" s="3"/>
      <c r="G13" s="6">
        <f>IFERROR(VLOOKUP(Tabela510[[#This Row],[Product]],'Calculations and Tests'!$J$5:$M$28,3,FALSE),0)</f>
        <v>0</v>
      </c>
      <c r="H13" s="6">
        <f>Tabela510[[#This Row],[Quantity]]*Tabela510[[#This Row],[Unity Price]]</f>
        <v>0</v>
      </c>
      <c r="I13" s="7"/>
      <c r="J13" s="3"/>
      <c r="K13" s="6">
        <f>IFERROR(IF(Tabela510[[#This Row],[Sale id]]=B14,0,VLOOKUP(Tabela510[[#This Row],[Deliver]],'Calculations and Tests'!B$5:C$9,2,FALSE)),0)</f>
        <v>0</v>
      </c>
      <c r="L13" s="6">
        <f>Tabela59[[#This Row],[Subtotal]]*(1-Tabela59[[#This Row],[Discount]])+Tabela59[[#This Row],[Delivery Value]]</f>
        <v>0</v>
      </c>
      <c r="M13" s="6" t="str">
        <f>IF(Tabela59[[#This Row],[Sale id]]=B14,"",SUMIF(Tabela59[Sale id],Tabela59[[#This Row],[Sale id]],Tabela59[Total]))</f>
        <v/>
      </c>
    </row>
    <row r="14" spans="2:13" x14ac:dyDescent="0.25">
      <c r="B14" s="3"/>
      <c r="C14" s="5"/>
      <c r="D14" s="3"/>
      <c r="E14" s="3" t="str">
        <f>IFERROR(VLOOKUP(Tabela510[[#This Row],[Product]],'Calculations and Tests'!$J$5:$M$28,4,FALSE),"")</f>
        <v/>
      </c>
      <c r="F14" s="3"/>
      <c r="G14" s="6">
        <f>IFERROR(VLOOKUP(Tabela510[[#This Row],[Product]],'Calculations and Tests'!$J$5:$M$28,3,FALSE),0)</f>
        <v>0</v>
      </c>
      <c r="H14" s="6">
        <f>Tabela510[[#This Row],[Quantity]]*Tabela510[[#This Row],[Unity Price]]</f>
        <v>0</v>
      </c>
      <c r="I14" s="7"/>
      <c r="J14" s="3"/>
      <c r="K14" s="6">
        <f>IFERROR(IF(Tabela510[[#This Row],[Sale id]]=B15,0,VLOOKUP(Tabela510[[#This Row],[Deliver]],'Calculations and Tests'!B$5:C$9,2,FALSE)),0)</f>
        <v>0</v>
      </c>
      <c r="L14" s="6">
        <f>Tabela59[[#This Row],[Subtotal]]*(1-Tabela59[[#This Row],[Discount]])+Tabela59[[#This Row],[Delivery Value]]</f>
        <v>0</v>
      </c>
      <c r="M14" s="6" t="str">
        <f>IF(Tabela59[[#This Row],[Sale id]]=B15,"",SUMIF(Tabela59[Sale id],Tabela59[[#This Row],[Sale id]],Tabela59[Total]))</f>
        <v/>
      </c>
    </row>
    <row r="15" spans="2:13" x14ac:dyDescent="0.25">
      <c r="B15" s="3"/>
      <c r="C15" s="5"/>
      <c r="D15" s="3"/>
      <c r="E15" s="3" t="str">
        <f>IFERROR(VLOOKUP(Tabela510[[#This Row],[Product]],'Calculations and Tests'!$J$5:$M$28,4,FALSE),"")</f>
        <v/>
      </c>
      <c r="F15" s="3"/>
      <c r="G15" s="6">
        <f>IFERROR(VLOOKUP(Tabela510[[#This Row],[Product]],'Calculations and Tests'!$J$5:$M$28,3,FALSE),0)</f>
        <v>0</v>
      </c>
      <c r="H15" s="6">
        <f>Tabela510[[#This Row],[Quantity]]*Tabela510[[#This Row],[Unity Price]]</f>
        <v>0</v>
      </c>
      <c r="I15" s="7"/>
      <c r="J15" s="3"/>
      <c r="K15" s="6">
        <f>IFERROR(IF(Tabela510[[#This Row],[Sale id]]=B16,0,VLOOKUP(Tabela510[[#This Row],[Deliver]],'Calculations and Tests'!B$5:C$9,2,FALSE)),0)</f>
        <v>0</v>
      </c>
      <c r="L15" s="6">
        <f>Tabela59[[#This Row],[Subtotal]]*(1-Tabela59[[#This Row],[Discount]])+Tabela59[[#This Row],[Delivery Value]]</f>
        <v>0</v>
      </c>
      <c r="M15" s="6" t="str">
        <f>IF(Tabela59[[#This Row],[Sale id]]=B16,"",SUMIF(Tabela59[Sale id],Tabela59[[#This Row],[Sale id]],Tabela59[Total]))</f>
        <v/>
      </c>
    </row>
    <row r="16" spans="2:13" x14ac:dyDescent="0.25">
      <c r="B16" s="3"/>
      <c r="C16" s="5"/>
      <c r="D16" s="3"/>
      <c r="E16" s="3" t="str">
        <f>IFERROR(VLOOKUP(Tabela510[[#This Row],[Product]],'Calculations and Tests'!$J$5:$M$28,4,FALSE),"")</f>
        <v/>
      </c>
      <c r="F16" s="3"/>
      <c r="G16" s="6">
        <f>IFERROR(VLOOKUP(Tabela510[[#This Row],[Product]],'Calculations and Tests'!$J$5:$M$28,3,FALSE),0)</f>
        <v>0</v>
      </c>
      <c r="H16" s="6">
        <f>Tabela510[[#This Row],[Quantity]]*Tabela510[[#This Row],[Unity Price]]</f>
        <v>0</v>
      </c>
      <c r="I16" s="7"/>
      <c r="J16" s="3"/>
      <c r="K16" s="6">
        <f>IFERROR(IF(Tabela510[[#This Row],[Sale id]]=B17,0,VLOOKUP(Tabela510[[#This Row],[Deliver]],'Calculations and Tests'!B$5:C$9,2,FALSE)),0)</f>
        <v>0</v>
      </c>
      <c r="L16" s="6">
        <f>Tabela59[[#This Row],[Subtotal]]*(1-Tabela59[[#This Row],[Discount]])+Tabela59[[#This Row],[Delivery Value]]</f>
        <v>0</v>
      </c>
      <c r="M16" s="6" t="str">
        <f>IF(Tabela59[[#This Row],[Sale id]]=B17,"",SUMIF(Tabela59[Sale id],Tabela59[[#This Row],[Sale id]],Tabela59[Total]))</f>
        <v/>
      </c>
    </row>
    <row r="17" spans="2:13" x14ac:dyDescent="0.25">
      <c r="B17" s="3"/>
      <c r="C17" s="5"/>
      <c r="D17" s="3"/>
      <c r="E17" s="3" t="str">
        <f>IFERROR(VLOOKUP(Tabela510[[#This Row],[Product]],'Calculations and Tests'!$J$5:$M$28,4,FALSE),"")</f>
        <v/>
      </c>
      <c r="F17" s="3"/>
      <c r="G17" s="6">
        <f>IFERROR(VLOOKUP(Tabela510[[#This Row],[Product]],'Calculations and Tests'!$J$5:$M$28,3,FALSE),0)</f>
        <v>0</v>
      </c>
      <c r="H17" s="6">
        <f>Tabela510[[#This Row],[Quantity]]*Tabela510[[#This Row],[Unity Price]]</f>
        <v>0</v>
      </c>
      <c r="I17" s="7"/>
      <c r="J17" s="3"/>
      <c r="K17" s="6">
        <f>IFERROR(IF(Tabela510[[#This Row],[Sale id]]=B18,0,VLOOKUP(Tabela510[[#This Row],[Deliver]],'Calculations and Tests'!B$5:C$9,2,FALSE)),0)</f>
        <v>0</v>
      </c>
      <c r="L17" s="6">
        <f>Tabela59[[#This Row],[Subtotal]]*(1-Tabela59[[#This Row],[Discount]])+Tabela59[[#This Row],[Delivery Value]]</f>
        <v>0</v>
      </c>
      <c r="M17" s="6" t="str">
        <f>IF(Tabela59[[#This Row],[Sale id]]=B18,"",SUMIF(Tabela59[Sale id],Tabela59[[#This Row],[Sale id]],Tabela59[Total]))</f>
        <v/>
      </c>
    </row>
    <row r="18" spans="2:13" x14ac:dyDescent="0.25">
      <c r="B18" s="3"/>
      <c r="C18" s="5"/>
      <c r="D18" s="3"/>
      <c r="E18" s="3" t="str">
        <f>IFERROR(VLOOKUP(Tabela510[[#This Row],[Product]],'Calculations and Tests'!$J$5:$M$28,4,FALSE),"")</f>
        <v/>
      </c>
      <c r="F18" s="3"/>
      <c r="G18" s="6">
        <f>IFERROR(VLOOKUP(Tabela510[[#This Row],[Product]],'Calculations and Tests'!$J$5:$M$28,3,FALSE),0)</f>
        <v>0</v>
      </c>
      <c r="H18" s="6">
        <f>Tabela510[[#This Row],[Quantity]]*Tabela510[[#This Row],[Unity Price]]</f>
        <v>0</v>
      </c>
      <c r="I18" s="7"/>
      <c r="J18" s="3"/>
      <c r="K18" s="6">
        <f>IFERROR(IF(Tabela510[[#This Row],[Sale id]]=B19,0,VLOOKUP(Tabela510[[#This Row],[Deliver]],'Calculations and Tests'!B$5:C$9,2,FALSE)),0)</f>
        <v>0</v>
      </c>
      <c r="L18" s="6">
        <f>Tabela59[[#This Row],[Subtotal]]*(1-Tabela59[[#This Row],[Discount]])+Tabela59[[#This Row],[Delivery Value]]</f>
        <v>0</v>
      </c>
      <c r="M18" s="6" t="str">
        <f>IF(Tabela59[[#This Row],[Sale id]]=B19,"",SUMIF(Tabela59[Sale id],Tabela59[[#This Row],[Sale id]],Tabela59[Total]))</f>
        <v/>
      </c>
    </row>
    <row r="19" spans="2:13" x14ac:dyDescent="0.25">
      <c r="B19" s="3"/>
      <c r="C19" s="5"/>
      <c r="D19" s="3"/>
      <c r="E19" s="3" t="str">
        <f>IFERROR(VLOOKUP(Tabela510[[#This Row],[Product]],'Calculations and Tests'!$J$5:$M$28,4,FALSE),"")</f>
        <v/>
      </c>
      <c r="F19" s="3"/>
      <c r="G19" s="6">
        <f>IFERROR(VLOOKUP(Tabela510[[#This Row],[Product]],'Calculations and Tests'!$J$5:$M$28,3,FALSE),0)</f>
        <v>0</v>
      </c>
      <c r="H19" s="6">
        <f>Tabela510[[#This Row],[Quantity]]*Tabela510[[#This Row],[Unity Price]]</f>
        <v>0</v>
      </c>
      <c r="I19" s="7"/>
      <c r="J19" s="3"/>
      <c r="K19" s="6">
        <f>IFERROR(IF(Tabela510[[#This Row],[Sale id]]=B20,0,VLOOKUP(Tabela510[[#This Row],[Deliver]],'Calculations and Tests'!B$5:C$9,2,FALSE)),0)</f>
        <v>0</v>
      </c>
      <c r="L19" s="6">
        <f>Tabela59[[#This Row],[Subtotal]]*(1-Tabela59[[#This Row],[Discount]])+Tabela59[[#This Row],[Delivery Value]]</f>
        <v>0</v>
      </c>
      <c r="M19" s="6" t="str">
        <f>IF(Tabela59[[#This Row],[Sale id]]=B20,"",SUMIF(Tabela59[Sale id],Tabela59[[#This Row],[Sale id]],Tabela59[Total]))</f>
        <v/>
      </c>
    </row>
    <row r="20" spans="2:13" x14ac:dyDescent="0.25">
      <c r="B20" s="3"/>
      <c r="C20" s="5"/>
      <c r="D20" s="3"/>
      <c r="E20" s="3" t="str">
        <f>IFERROR(VLOOKUP(Tabela510[[#This Row],[Product]],'Calculations and Tests'!$J$5:$M$28,4,FALSE),"")</f>
        <v/>
      </c>
      <c r="F20" s="3"/>
      <c r="G20" s="6">
        <f>IFERROR(VLOOKUP(Tabela510[[#This Row],[Product]],'Calculations and Tests'!$J$5:$M$28,3,FALSE),0)</f>
        <v>0</v>
      </c>
      <c r="H20" s="6">
        <f>Tabela510[[#This Row],[Quantity]]*Tabela510[[#This Row],[Unity Price]]</f>
        <v>0</v>
      </c>
      <c r="I20" s="7"/>
      <c r="J20" s="3"/>
      <c r="K20" s="6">
        <f>IFERROR(IF(Tabela510[[#This Row],[Sale id]]=B21,0,VLOOKUP(Tabela510[[#This Row],[Deliver]],'Calculations and Tests'!B$5:C$9,2,FALSE)),0)</f>
        <v>0</v>
      </c>
      <c r="L20" s="6">
        <f>Tabela59[[#This Row],[Subtotal]]*(1-Tabela59[[#This Row],[Discount]])+Tabela59[[#This Row],[Delivery Value]]</f>
        <v>0</v>
      </c>
      <c r="M20" s="6" t="str">
        <f>IF(Tabela59[[#This Row],[Sale id]]=B21,"",SUMIF(Tabela59[Sale id],Tabela59[[#This Row],[Sale id]],Tabela59[Total]))</f>
        <v/>
      </c>
    </row>
    <row r="21" spans="2:13" x14ac:dyDescent="0.25">
      <c r="B21" s="3"/>
      <c r="C21" s="5"/>
      <c r="D21" s="3"/>
      <c r="E21" s="3" t="str">
        <f>IFERROR(VLOOKUP(Tabela510[[#This Row],[Product]],'Calculations and Tests'!$J$5:$M$28,4,FALSE),"")</f>
        <v/>
      </c>
      <c r="F21" s="3"/>
      <c r="G21" s="6">
        <f>IFERROR(VLOOKUP(Tabela510[[#This Row],[Product]],'Calculations and Tests'!$J$5:$M$28,3,FALSE),0)</f>
        <v>0</v>
      </c>
      <c r="H21" s="6">
        <f>Tabela510[[#This Row],[Quantity]]*Tabela510[[#This Row],[Unity Price]]</f>
        <v>0</v>
      </c>
      <c r="I21" s="7"/>
      <c r="J21" s="3"/>
      <c r="K21" s="6">
        <f>IFERROR(IF(Tabela510[[#This Row],[Sale id]]=B22,0,VLOOKUP(Tabela510[[#This Row],[Deliver]],'Calculations and Tests'!B$5:C$9,2,FALSE)),0)</f>
        <v>0</v>
      </c>
      <c r="L21" s="6">
        <f>Tabela59[[#This Row],[Subtotal]]*(1-Tabela59[[#This Row],[Discount]])+Tabela59[[#This Row],[Delivery Value]]</f>
        <v>0</v>
      </c>
      <c r="M21" s="6" t="str">
        <f>IF(Tabela59[[#This Row],[Sale id]]=B22,"",SUMIF(Tabela59[Sale id],Tabela59[[#This Row],[Sale id]],Tabela59[Total]))</f>
        <v/>
      </c>
    </row>
    <row r="22" spans="2:13" x14ac:dyDescent="0.25">
      <c r="B22" s="3"/>
      <c r="C22" s="5"/>
      <c r="D22" s="3"/>
      <c r="E22" s="3" t="str">
        <f>IFERROR(VLOOKUP(Tabela510[[#This Row],[Product]],'Calculations and Tests'!$J$5:$M$28,4,FALSE),"")</f>
        <v/>
      </c>
      <c r="F22" s="3"/>
      <c r="G22" s="6">
        <f>IFERROR(VLOOKUP(Tabela510[[#This Row],[Product]],'Calculations and Tests'!$J$5:$M$28,3,FALSE),0)</f>
        <v>0</v>
      </c>
      <c r="H22" s="6">
        <f>Tabela510[[#This Row],[Quantity]]*Tabela510[[#This Row],[Unity Price]]</f>
        <v>0</v>
      </c>
      <c r="I22" s="7"/>
      <c r="J22" s="3"/>
      <c r="K22" s="6">
        <f>IFERROR(IF(Tabela510[[#This Row],[Sale id]]=B23,0,VLOOKUP(Tabela510[[#This Row],[Deliver]],'Calculations and Tests'!B$5:C$9,2,FALSE)),0)</f>
        <v>0</v>
      </c>
      <c r="L22" s="6">
        <f>Tabela59[[#This Row],[Subtotal]]*(1-Tabela59[[#This Row],[Discount]])+Tabela59[[#This Row],[Delivery Value]]</f>
        <v>0</v>
      </c>
      <c r="M22" s="6" t="str">
        <f>IF(Tabela59[[#This Row],[Sale id]]=B23,"",SUMIF(Tabela59[Sale id],Tabela59[[#This Row],[Sale id]],Tabela59[Total]))</f>
        <v/>
      </c>
    </row>
    <row r="23" spans="2:13" x14ac:dyDescent="0.25">
      <c r="B23" s="3"/>
      <c r="C23" s="5"/>
      <c r="D23" s="3"/>
      <c r="E23" s="3" t="str">
        <f>IFERROR(VLOOKUP(Tabela510[[#This Row],[Product]],'Calculations and Tests'!$J$5:$M$28,4,FALSE),"")</f>
        <v/>
      </c>
      <c r="F23" s="3"/>
      <c r="G23" s="6">
        <f>IFERROR(VLOOKUP(Tabela510[[#This Row],[Product]],'Calculations and Tests'!$J$5:$M$28,3,FALSE),0)</f>
        <v>0</v>
      </c>
      <c r="H23" s="6">
        <f>Tabela510[[#This Row],[Quantity]]*Tabela510[[#This Row],[Unity Price]]</f>
        <v>0</v>
      </c>
      <c r="I23" s="7"/>
      <c r="J23" s="3"/>
      <c r="K23" s="6">
        <f>IFERROR(IF(Tabela510[[#This Row],[Sale id]]=B24,0,VLOOKUP(Tabela510[[#This Row],[Deliver]],'Calculations and Tests'!B$5:C$9,2,FALSE)),0)</f>
        <v>0</v>
      </c>
      <c r="L23" s="6">
        <f>Tabela59[[#This Row],[Subtotal]]*(1-Tabela59[[#This Row],[Discount]])+Tabela59[[#This Row],[Delivery Value]]</f>
        <v>0</v>
      </c>
      <c r="M23" s="6" t="str">
        <f>IF(Tabela59[[#This Row],[Sale id]]=B24,"",SUMIF(Tabela59[Sale id],Tabela59[[#This Row],[Sale id]],Tabela59[Total]))</f>
        <v/>
      </c>
    </row>
    <row r="24" spans="2:13" x14ac:dyDescent="0.25">
      <c r="B24" s="3"/>
      <c r="C24" s="5"/>
      <c r="D24" s="3"/>
      <c r="E24" s="3" t="str">
        <f>IFERROR(VLOOKUP(Tabela510[[#This Row],[Product]],'Calculations and Tests'!$J$5:$M$28,4,FALSE),"")</f>
        <v/>
      </c>
      <c r="F24" s="3"/>
      <c r="G24" s="6">
        <f>IFERROR(VLOOKUP(Tabela510[[#This Row],[Product]],'Calculations and Tests'!$J$5:$M$28,3,FALSE),0)</f>
        <v>0</v>
      </c>
      <c r="H24" s="6">
        <f>Tabela510[[#This Row],[Quantity]]*Tabela510[[#This Row],[Unity Price]]</f>
        <v>0</v>
      </c>
      <c r="I24" s="7"/>
      <c r="J24" s="3"/>
      <c r="K24" s="6">
        <f>IFERROR(IF(Tabela510[[#This Row],[Sale id]]=B25,0,VLOOKUP(Tabela510[[#This Row],[Deliver]],'Calculations and Tests'!B$5:C$9,2,FALSE)),0)</f>
        <v>0</v>
      </c>
      <c r="L24" s="6">
        <f>Tabela59[[#This Row],[Subtotal]]*(1-Tabela59[[#This Row],[Discount]])+Tabela59[[#This Row],[Delivery Value]]</f>
        <v>0</v>
      </c>
      <c r="M24" s="6" t="str">
        <f>IF(Tabela59[[#This Row],[Sale id]]=B25,"",SUMIF(Tabela59[Sale id],Tabela59[[#This Row],[Sale id]],Tabela59[Total]))</f>
        <v/>
      </c>
    </row>
    <row r="25" spans="2:13" x14ac:dyDescent="0.25">
      <c r="B25" s="3"/>
      <c r="C25" s="5"/>
      <c r="D25" s="3"/>
      <c r="E25" s="3" t="str">
        <f>IFERROR(VLOOKUP(Tabela510[[#This Row],[Product]],'Calculations and Tests'!$J$5:$M$28,4,FALSE),"")</f>
        <v/>
      </c>
      <c r="F25" s="3"/>
      <c r="G25" s="6">
        <f>IFERROR(VLOOKUP(Tabela510[[#This Row],[Product]],'Calculations and Tests'!$J$5:$M$28,3,FALSE),0)</f>
        <v>0</v>
      </c>
      <c r="H25" s="6">
        <f>Tabela510[[#This Row],[Quantity]]*Tabela510[[#This Row],[Unity Price]]</f>
        <v>0</v>
      </c>
      <c r="I25" s="7"/>
      <c r="J25" s="3"/>
      <c r="K25" s="6">
        <f>IFERROR(IF(Tabela510[[#This Row],[Sale id]]=B26,0,VLOOKUP(Tabela510[[#This Row],[Deliver]],'Calculations and Tests'!B$5:C$9,2,FALSE)),0)</f>
        <v>0</v>
      </c>
      <c r="L25" s="6">
        <f>Tabela59[[#This Row],[Subtotal]]*(1-Tabela59[[#This Row],[Discount]])+Tabela59[[#This Row],[Delivery Value]]</f>
        <v>0</v>
      </c>
      <c r="M25" s="6" t="str">
        <f>IF(Tabela59[[#This Row],[Sale id]]=B26,"",SUMIF(Tabela59[Sale id],Tabela59[[#This Row],[Sale id]],Tabela59[Total]))</f>
        <v/>
      </c>
    </row>
    <row r="26" spans="2:13" x14ac:dyDescent="0.25">
      <c r="B26" s="3"/>
      <c r="C26" s="5"/>
      <c r="D26" s="3"/>
      <c r="E26" s="3" t="str">
        <f>IFERROR(VLOOKUP(Tabela510[[#This Row],[Product]],'Calculations and Tests'!$J$5:$M$28,4,FALSE),"")</f>
        <v/>
      </c>
      <c r="F26" s="3"/>
      <c r="G26" s="6">
        <f>IFERROR(VLOOKUP(Tabela510[[#This Row],[Product]],'Calculations and Tests'!$J$5:$M$28,3,FALSE),0)</f>
        <v>0</v>
      </c>
      <c r="H26" s="6">
        <f>Tabela510[[#This Row],[Quantity]]*Tabela510[[#This Row],[Unity Price]]</f>
        <v>0</v>
      </c>
      <c r="I26" s="7"/>
      <c r="J26" s="3"/>
      <c r="K26" s="6">
        <f>IFERROR(IF(Tabela510[[#This Row],[Sale id]]=B27,0,VLOOKUP(Tabela510[[#This Row],[Deliver]],'Calculations and Tests'!B$5:C$9,2,FALSE)),0)</f>
        <v>0</v>
      </c>
      <c r="L26" s="6">
        <f>Tabela59[[#This Row],[Subtotal]]*(1-Tabela59[[#This Row],[Discount]])+Tabela59[[#This Row],[Delivery Value]]</f>
        <v>0</v>
      </c>
      <c r="M26" s="6" t="str">
        <f>IF(Tabela59[[#This Row],[Sale id]]=B27,"",SUMIF(Tabela59[Sale id],Tabela59[[#This Row],[Sale id]],Tabela59[Total]))</f>
        <v/>
      </c>
    </row>
    <row r="27" spans="2:13" x14ac:dyDescent="0.25">
      <c r="B27" s="3"/>
      <c r="C27" s="5"/>
      <c r="D27" s="3"/>
      <c r="E27" s="3" t="str">
        <f>IFERROR(VLOOKUP(Tabela510[[#This Row],[Product]],'Calculations and Tests'!$J$5:$M$28,4,FALSE),"")</f>
        <v/>
      </c>
      <c r="F27" s="3"/>
      <c r="G27" s="6">
        <f>IFERROR(VLOOKUP(Tabela510[[#This Row],[Product]],'Calculations and Tests'!$J$5:$M$28,3,FALSE),0)</f>
        <v>0</v>
      </c>
      <c r="H27" s="6">
        <f>Tabela510[[#This Row],[Quantity]]*Tabela510[[#This Row],[Unity Price]]</f>
        <v>0</v>
      </c>
      <c r="I27" s="7"/>
      <c r="J27" s="3"/>
      <c r="K27" s="6">
        <f>IFERROR(IF(Tabela510[[#This Row],[Sale id]]=B28,0,VLOOKUP(Tabela510[[#This Row],[Deliver]],'Calculations and Tests'!B$5:C$9,2,FALSE)),0)</f>
        <v>0</v>
      </c>
      <c r="L27" s="6">
        <f>Tabela59[[#This Row],[Subtotal]]*(1-Tabela59[[#This Row],[Discount]])+Tabela59[[#This Row],[Delivery Value]]</f>
        <v>0</v>
      </c>
      <c r="M27" s="6"/>
    </row>
    <row r="28" spans="2:13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2:13" ht="21" x14ac:dyDescent="0.35">
      <c r="B29" s="21" t="s">
        <v>141</v>
      </c>
      <c r="C29" s="21"/>
      <c r="D29" s="21"/>
      <c r="E29" s="22"/>
      <c r="F29" s="22"/>
      <c r="G29" s="22"/>
      <c r="H29" s="22"/>
      <c r="I29" s="22"/>
      <c r="J29" s="22"/>
      <c r="K29" s="22"/>
      <c r="L29" s="22"/>
      <c r="M29" s="23">
        <f>SUM(Tabela510[Total for the Customer])</f>
        <v>8.8000000000000007</v>
      </c>
    </row>
    <row r="31" spans="2:13" ht="21" x14ac:dyDescent="0.35">
      <c r="B31" s="21" t="s">
        <v>142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SUM(Tabela510[Delivery Value])</f>
        <v>6.5</v>
      </c>
    </row>
    <row r="33" spans="2:13" ht="21" x14ac:dyDescent="0.35">
      <c r="B33" s="21" t="s">
        <v>143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44">
        <f>SUM(IF(FREQUENCY(Tabela510[Sale id],Tabela510[Sale id])&gt;0,1,0))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128E9E-A252-41A9-84F6-14B8ABB3FA46}">
          <x14:formula1>
            <xm:f>'Calculations and Tests'!$J$5:$J$28</xm:f>
          </x14:formula1>
          <xm:sqref>D6:D27</xm:sqref>
        </x14:dataValidation>
        <x14:dataValidation type="list" allowBlank="1" showInputMessage="1" showErrorMessage="1" xr:uid="{9A564038-28ED-4463-9FAE-A7DF02B384DB}">
          <x14:formula1>
            <xm:f>'Calculations and Tests'!$J$5:$J$161</xm:f>
          </x14:formula1>
          <xm:sqref>D5</xm:sqref>
        </x14:dataValidation>
        <x14:dataValidation type="list" allowBlank="1" showInputMessage="1" showErrorMessage="1" xr:uid="{729D8370-33EF-4589-AF97-ABBABC065F1F}">
          <x14:formula1>
            <xm:f>'Calculations and Tests'!$B$5:$B$9</xm:f>
          </x14:formula1>
          <xm:sqref>J5:J27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76A13-4E2A-493F-993E-856782FB1B48}">
  <dimension ref="A3:I7"/>
  <sheetViews>
    <sheetView showGridLines="0" workbookViewId="0">
      <selection activeCell="G16" sqref="G16"/>
    </sheetView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40</v>
      </c>
      <c r="B3" t="s">
        <v>173</v>
      </c>
      <c r="C3" t="s">
        <v>42</v>
      </c>
      <c r="F3" s="76" t="s">
        <v>40</v>
      </c>
      <c r="G3" t="s">
        <v>173</v>
      </c>
      <c r="H3" t="s">
        <v>174</v>
      </c>
      <c r="I3" t="s">
        <v>42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126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43</v>
      </c>
      <c r="C5" s="78">
        <v>0</v>
      </c>
      <c r="F5" s="80" t="s">
        <v>43</v>
      </c>
      <c r="H5" s="78">
        <v>0</v>
      </c>
      <c r="I5" s="78">
        <v>0</v>
      </c>
    </row>
    <row r="6" spans="1:9" x14ac:dyDescent="0.25">
      <c r="A6" s="79" t="s">
        <v>43</v>
      </c>
      <c r="C6" s="78">
        <v>0</v>
      </c>
      <c r="F6" s="79" t="s">
        <v>43</v>
      </c>
      <c r="H6" s="78">
        <v>0</v>
      </c>
      <c r="I6" s="78">
        <v>0</v>
      </c>
    </row>
    <row r="7" spans="1:9" x14ac:dyDescent="0.25">
      <c r="A7" s="77" t="s">
        <v>41</v>
      </c>
      <c r="B7">
        <v>2</v>
      </c>
      <c r="C7" s="78">
        <v>2.2999999999999998</v>
      </c>
      <c r="F7" s="80" t="s">
        <v>41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C458C-B9E9-417E-86CF-865DE8AE8DA8}">
  <dimension ref="B2:M33"/>
  <sheetViews>
    <sheetView showGridLines="0" zoomScale="90" zoomScaleNormal="90" workbookViewId="0">
      <selection activeCell="H15" sqref="H15"/>
    </sheetView>
  </sheetViews>
  <sheetFormatPr defaultRowHeight="15" x14ac:dyDescent="0.25"/>
  <cols>
    <col min="1" max="1" width="21.7109375" customWidth="1"/>
    <col min="2" max="2" width="12.140625" customWidth="1"/>
    <col min="3" max="3" width="13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18" customFormat="1" ht="27.95" customHeight="1" x14ac:dyDescent="0.25">
      <c r="B2" s="17" t="s">
        <v>55</v>
      </c>
    </row>
    <row r="3" spans="2:13" ht="29.25" customHeight="1" x14ac:dyDescent="0.25"/>
    <row r="4" spans="2:13" x14ac:dyDescent="0.25">
      <c r="B4" s="3" t="s">
        <v>131</v>
      </c>
      <c r="C4" s="3" t="s">
        <v>58</v>
      </c>
      <c r="D4" s="3" t="s">
        <v>99</v>
      </c>
      <c r="E4" s="3" t="s">
        <v>87</v>
      </c>
      <c r="F4" s="3" t="s">
        <v>88</v>
      </c>
      <c r="G4" s="3" t="s">
        <v>132</v>
      </c>
      <c r="H4" s="3" t="s">
        <v>37</v>
      </c>
      <c r="I4" s="3" t="s">
        <v>90</v>
      </c>
      <c r="J4" s="3" t="s">
        <v>133</v>
      </c>
      <c r="K4" s="3" t="s">
        <v>134</v>
      </c>
      <c r="L4" s="3" t="s">
        <v>38</v>
      </c>
      <c r="M4" s="3" t="s">
        <v>135</v>
      </c>
    </row>
    <row r="5" spans="2:13" x14ac:dyDescent="0.25">
      <c r="B5" s="3">
        <v>6</v>
      </c>
      <c r="C5" s="5">
        <v>42190</v>
      </c>
      <c r="D5" s="3" t="s">
        <v>149</v>
      </c>
      <c r="E5" s="3" t="str">
        <f>IFERROR(VLOOKUP(Tabela511[[#This Row],[Product]],'Calculations and Tests'!$J$5:$M$28,4,FALSE),"")</f>
        <v>Package</v>
      </c>
      <c r="F5" s="3">
        <v>2</v>
      </c>
      <c r="G5" s="6">
        <f>IFERROR(VLOOKUP(Tabela511[[#This Row],[Product]],'Calculations and Tests'!$J$5:$M$28,3,FALSE),0)</f>
        <v>1.1499999999999999</v>
      </c>
      <c r="H5" s="6">
        <f>Tabela511[[#This Row],[Quantity]]*Tabela511[[#This Row],[Unity Price]]</f>
        <v>2.2999999999999998</v>
      </c>
      <c r="I5" s="7"/>
      <c r="J5" s="3" t="s">
        <v>127</v>
      </c>
      <c r="K5" s="6">
        <f>IFERROR(IF(Tabela511[[#This Row],[Sale id]]=B6,0,VLOOKUP(Tabela511[[#This Row],[Deliver]],'Calculations and Tests'!B$5:C$9,2,FALSE)),0)</f>
        <v>5</v>
      </c>
      <c r="L5" s="6">
        <f>Tabela59[[#This Row],[Subtotal]]*(1-Tabela59[[#This Row],[Discount]])+Tabela59[[#This Row],[Delivery Value]]</f>
        <v>8.8000000000000007</v>
      </c>
      <c r="M5" s="6">
        <f>IF(Tabela59[[#This Row],[Sale id]]=B6,"",SUMIF(Tabela59[Sale id],Tabela59[[#This Row],[Sale id]],Tabela59[Total]))</f>
        <v>8.8000000000000007</v>
      </c>
    </row>
    <row r="6" spans="2:13" x14ac:dyDescent="0.25">
      <c r="B6" s="3"/>
      <c r="C6" s="5"/>
      <c r="D6" s="3"/>
      <c r="E6" s="3" t="str">
        <f>IFERROR(VLOOKUP(Tabela511[[#This Row],[Product]],'Calculations and Tests'!$J$5:$M$28,4,FALSE),"")</f>
        <v/>
      </c>
      <c r="F6" s="3"/>
      <c r="G6" s="6">
        <f>IFERROR(VLOOKUP(Tabela511[[#This Row],[Product]],'Calculations and Tests'!$J$5:$M$28,3,FALSE),0)</f>
        <v>0</v>
      </c>
      <c r="H6" s="6">
        <f>Tabela511[[#This Row],[Quantity]]*Tabela511[[#This Row],[Unity Price]]</f>
        <v>0</v>
      </c>
      <c r="I6" s="7"/>
      <c r="J6" s="3"/>
      <c r="K6" s="6">
        <f>IFERROR(IF(Tabela511[[#This Row],[Sale id]]=B7,0,VLOOKUP(Tabela511[[#This Row],[Deliver]],'Calculations and Tests'!B$5:C$9,2,FALSE)),0)</f>
        <v>0</v>
      </c>
      <c r="L6" s="6">
        <f>Tabela59[[#This Row],[Subtotal]]*(1-Tabela59[[#This Row],[Discount]])+Tabela59[[#This Row],[Delivery Value]]</f>
        <v>0</v>
      </c>
      <c r="M6" s="6" t="str">
        <f>IF(Tabela59[[#This Row],[Sale id]]=B7,"",SUMIF(Tabela59[Sale id],Tabela59[[#This Row],[Sale id]],Tabela59[Total]))</f>
        <v/>
      </c>
    </row>
    <row r="7" spans="2:13" x14ac:dyDescent="0.25">
      <c r="B7" s="3"/>
      <c r="C7" s="5"/>
      <c r="D7" s="3"/>
      <c r="E7" s="3" t="str">
        <f>IFERROR(VLOOKUP(Tabela511[[#This Row],[Product]],'Calculations and Tests'!$J$5:$M$28,4,FALSE),"")</f>
        <v/>
      </c>
      <c r="F7" s="3"/>
      <c r="G7" s="6">
        <f>IFERROR(VLOOKUP(Tabela511[[#This Row],[Product]],'Calculations and Tests'!$J$5:$M$28,3,FALSE),0)</f>
        <v>0</v>
      </c>
      <c r="H7" s="6">
        <f>Tabela511[[#This Row],[Quantity]]*Tabela511[[#This Row],[Unity Price]]</f>
        <v>0</v>
      </c>
      <c r="I7" s="7"/>
      <c r="J7" s="3"/>
      <c r="K7" s="6">
        <f>IFERROR(IF(Tabela511[[#This Row],[Sale id]]=B8,0,VLOOKUP(Tabela511[[#This Row],[Deliver]],'Calculations and Tests'!B$5:C$9,2,FALSE)),0)</f>
        <v>0</v>
      </c>
      <c r="L7" s="6">
        <f>Tabela59[[#This Row],[Subtotal]]*(1-Tabela59[[#This Row],[Discount]])+Tabela59[[#This Row],[Delivery Value]]</f>
        <v>0</v>
      </c>
      <c r="M7" s="6" t="str">
        <f>IF(Tabela59[[#This Row],[Sale id]]=B8,"",SUMIF(Tabela59[Sale id],Tabela59[[#This Row],[Sale id]],Tabela59[Total]))</f>
        <v/>
      </c>
    </row>
    <row r="8" spans="2:13" x14ac:dyDescent="0.25">
      <c r="B8" s="3"/>
      <c r="C8" s="5"/>
      <c r="D8" s="3"/>
      <c r="E8" s="3" t="str">
        <f>IFERROR(VLOOKUP(Tabela511[[#This Row],[Product]],'Calculations and Tests'!$J$5:$M$28,4,FALSE),"")</f>
        <v/>
      </c>
      <c r="F8" s="3"/>
      <c r="G8" s="6">
        <f>IFERROR(VLOOKUP(Tabela511[[#This Row],[Product]],'Calculations and Tests'!$J$5:$M$28,3,FALSE),0)</f>
        <v>0</v>
      </c>
      <c r="H8" s="6">
        <f>Tabela511[[#This Row],[Quantity]]*Tabela511[[#This Row],[Unity Price]]</f>
        <v>0</v>
      </c>
      <c r="I8" s="7"/>
      <c r="J8" s="3"/>
      <c r="K8" s="6">
        <f>IFERROR(IF(Tabela511[[#This Row],[Sale id]]=B9,0,VLOOKUP(Tabela511[[#This Row],[Deliver]],'Calculations and Tests'!B$5:C$9,2,FALSE)),0)</f>
        <v>0</v>
      </c>
      <c r="L8" s="6">
        <f>Tabela59[[#This Row],[Subtotal]]*(1-Tabela59[[#This Row],[Discount]])+Tabela59[[#This Row],[Delivery Value]]</f>
        <v>0</v>
      </c>
      <c r="M8" s="6" t="str">
        <f>IF(Tabela59[[#This Row],[Sale id]]=B9,"",SUMIF(Tabela59[Sale id],Tabela59[[#This Row],[Sale id]],Tabela59[Total]))</f>
        <v/>
      </c>
    </row>
    <row r="9" spans="2:13" x14ac:dyDescent="0.25">
      <c r="B9" s="3"/>
      <c r="C9" s="5"/>
      <c r="D9" s="3"/>
      <c r="E9" s="3" t="str">
        <f>IFERROR(VLOOKUP(Tabela511[[#This Row],[Product]],'Calculations and Tests'!$J$5:$M$28,4,FALSE),"")</f>
        <v/>
      </c>
      <c r="F9" s="3"/>
      <c r="G9" s="6">
        <f>IFERROR(VLOOKUP(Tabela511[[#This Row],[Product]],'Calculations and Tests'!$J$5:$M$28,3,FALSE),0)</f>
        <v>0</v>
      </c>
      <c r="H9" s="6">
        <f>Tabela511[[#This Row],[Quantity]]*Tabela511[[#This Row],[Unity Price]]</f>
        <v>0</v>
      </c>
      <c r="I9" s="7"/>
      <c r="J9" s="3"/>
      <c r="K9" s="6">
        <f>IFERROR(IF(Tabela511[[#This Row],[Sale id]]=B10,0,VLOOKUP(Tabela511[[#This Row],[Deliver]],'Calculations and Tests'!B$5:C$9,2,FALSE)),0)</f>
        <v>0</v>
      </c>
      <c r="L9" s="6">
        <f>Tabela59[[#This Row],[Subtotal]]*(1-Tabela59[[#This Row],[Discount]])+Tabela59[[#This Row],[Delivery Value]]</f>
        <v>0</v>
      </c>
      <c r="M9" s="6" t="str">
        <f>IF(Tabela59[[#This Row],[Sale id]]=B10,"",SUMIF(Tabela59[Sale id],Tabela59[[#This Row],[Sale id]],Tabela59[Total]))</f>
        <v/>
      </c>
    </row>
    <row r="10" spans="2:13" x14ac:dyDescent="0.25">
      <c r="B10" s="3"/>
      <c r="C10" s="5"/>
      <c r="D10" s="3"/>
      <c r="E10" s="3" t="str">
        <f>IFERROR(VLOOKUP(Tabela511[[#This Row],[Product]],'Calculations and Tests'!$J$5:$M$28,4,FALSE),"")</f>
        <v/>
      </c>
      <c r="F10" s="3"/>
      <c r="G10" s="6">
        <f>IFERROR(VLOOKUP(Tabela511[[#This Row],[Product]],'Calculations and Tests'!$J$5:$M$28,3,FALSE),0)</f>
        <v>0</v>
      </c>
      <c r="H10" s="6">
        <f>Tabela511[[#This Row],[Quantity]]*Tabela511[[#This Row],[Unity Price]]</f>
        <v>0</v>
      </c>
      <c r="I10" s="7"/>
      <c r="J10" s="3"/>
      <c r="K10" s="6">
        <f>IFERROR(IF(Tabela511[[#This Row],[Sale id]]=B11,0,VLOOKUP(Tabela511[[#This Row],[Deliver]],'Calculations and Tests'!B$5:C$9,2,FALSE)),0)</f>
        <v>0</v>
      </c>
      <c r="L10" s="6">
        <f>Tabela59[[#This Row],[Subtotal]]*(1-Tabela59[[#This Row],[Discount]])+Tabela59[[#This Row],[Delivery Value]]</f>
        <v>0</v>
      </c>
      <c r="M10" s="6" t="str">
        <f>IF(Tabela59[[#This Row],[Sale id]]=B11,"",SUMIF(Tabela59[Sale id],Tabela59[[#This Row],[Sale id]],Tabela59[Total]))</f>
        <v/>
      </c>
    </row>
    <row r="11" spans="2:13" x14ac:dyDescent="0.25">
      <c r="B11" s="3"/>
      <c r="C11" s="5"/>
      <c r="D11" s="3"/>
      <c r="E11" s="3" t="str">
        <f>IFERROR(VLOOKUP(Tabela511[[#This Row],[Product]],'Calculations and Tests'!$J$5:$M$28,4,FALSE),"")</f>
        <v/>
      </c>
      <c r="F11" s="3"/>
      <c r="G11" s="6">
        <f>IFERROR(VLOOKUP(Tabela511[[#This Row],[Product]],'Calculations and Tests'!$J$5:$M$28,3,FALSE),0)</f>
        <v>0</v>
      </c>
      <c r="H11" s="6">
        <f>Tabela511[[#This Row],[Quantity]]*Tabela511[[#This Row],[Unity Price]]</f>
        <v>0</v>
      </c>
      <c r="I11" s="7"/>
      <c r="J11" s="3"/>
      <c r="K11" s="6">
        <f>IFERROR(IF(Tabela511[[#This Row],[Sale id]]=B12,0,VLOOKUP(Tabela511[[#This Row],[Deliver]],'Calculations and Tests'!B$5:C$9,2,FALSE)),0)</f>
        <v>0</v>
      </c>
      <c r="L11" s="6">
        <f>Tabela59[[#This Row],[Subtotal]]*(1-Tabela59[[#This Row],[Discount]])+Tabela59[[#This Row],[Delivery Value]]</f>
        <v>0</v>
      </c>
      <c r="M11" s="6" t="str">
        <f>IF(Tabela59[[#This Row],[Sale id]]=B12,"",SUMIF(Tabela59[Sale id],Tabela59[[#This Row],[Sale id]],Tabela59[Total]))</f>
        <v/>
      </c>
    </row>
    <row r="12" spans="2:13" x14ac:dyDescent="0.25">
      <c r="B12" s="3"/>
      <c r="C12" s="5"/>
      <c r="D12" s="3"/>
      <c r="E12" s="3" t="str">
        <f>IFERROR(VLOOKUP(Tabela511[[#This Row],[Product]],'Calculations and Tests'!$J$5:$M$28,4,FALSE),"")</f>
        <v/>
      </c>
      <c r="F12" s="3"/>
      <c r="G12" s="6">
        <f>IFERROR(VLOOKUP(Tabela511[[#This Row],[Product]],'Calculations and Tests'!$J$5:$M$28,3,FALSE),0)</f>
        <v>0</v>
      </c>
      <c r="H12" s="6">
        <f>Tabela511[[#This Row],[Quantity]]*Tabela511[[#This Row],[Unity Price]]</f>
        <v>0</v>
      </c>
      <c r="I12" s="7"/>
      <c r="J12" s="3"/>
      <c r="K12" s="6">
        <f>IFERROR(IF(Tabela511[[#This Row],[Sale id]]=B13,0,VLOOKUP(Tabela511[[#This Row],[Deliver]],'Calculations and Tests'!B$5:C$9,2,FALSE)),0)</f>
        <v>0</v>
      </c>
      <c r="L12" s="6">
        <f>Tabela59[[#This Row],[Subtotal]]*(1-Tabela59[[#This Row],[Discount]])+Tabela59[[#This Row],[Delivery Value]]</f>
        <v>0</v>
      </c>
      <c r="M12" s="6" t="str">
        <f>IF(Tabela59[[#This Row],[Sale id]]=B13,"",SUMIF(Tabela59[Sale id],Tabela59[[#This Row],[Sale id]],Tabela59[Total]))</f>
        <v/>
      </c>
    </row>
    <row r="13" spans="2:13" x14ac:dyDescent="0.25">
      <c r="B13" s="3"/>
      <c r="C13" s="5"/>
      <c r="D13" s="3"/>
      <c r="E13" s="3" t="str">
        <f>IFERROR(VLOOKUP(Tabela511[[#This Row],[Product]],'Calculations and Tests'!$J$5:$M$28,4,FALSE),"")</f>
        <v/>
      </c>
      <c r="F13" s="3"/>
      <c r="G13" s="6">
        <f>IFERROR(VLOOKUP(Tabela511[[#This Row],[Product]],'Calculations and Tests'!$J$5:$M$28,3,FALSE),0)</f>
        <v>0</v>
      </c>
      <c r="H13" s="6">
        <f>Tabela511[[#This Row],[Quantity]]*Tabela511[[#This Row],[Unity Price]]</f>
        <v>0</v>
      </c>
      <c r="I13" s="7"/>
      <c r="J13" s="3"/>
      <c r="K13" s="6">
        <f>IFERROR(IF(Tabela511[[#This Row],[Sale id]]=B14,0,VLOOKUP(Tabela511[[#This Row],[Deliver]],'Calculations and Tests'!B$5:C$9,2,FALSE)),0)</f>
        <v>0</v>
      </c>
      <c r="L13" s="6">
        <f>Tabela59[[#This Row],[Subtotal]]*(1-Tabela59[[#This Row],[Discount]])+Tabela59[[#This Row],[Delivery Value]]</f>
        <v>0</v>
      </c>
      <c r="M13" s="6" t="str">
        <f>IF(Tabela59[[#This Row],[Sale id]]=B14,"",SUMIF(Tabela59[Sale id],Tabela59[[#This Row],[Sale id]],Tabela59[Total]))</f>
        <v/>
      </c>
    </row>
    <row r="14" spans="2:13" x14ac:dyDescent="0.25">
      <c r="B14" s="3"/>
      <c r="C14" s="5"/>
      <c r="D14" s="3"/>
      <c r="E14" s="3" t="str">
        <f>IFERROR(VLOOKUP(Tabela511[[#This Row],[Product]],'Calculations and Tests'!$J$5:$M$28,4,FALSE),"")</f>
        <v/>
      </c>
      <c r="F14" s="3"/>
      <c r="G14" s="6">
        <f>IFERROR(VLOOKUP(Tabela511[[#This Row],[Product]],'Calculations and Tests'!$J$5:$M$28,3,FALSE),0)</f>
        <v>0</v>
      </c>
      <c r="H14" s="6">
        <f>Tabela511[[#This Row],[Quantity]]*Tabela511[[#This Row],[Unity Price]]</f>
        <v>0</v>
      </c>
      <c r="I14" s="7"/>
      <c r="J14" s="3"/>
      <c r="K14" s="6">
        <f>IFERROR(IF(Tabela511[[#This Row],[Sale id]]=B15,0,VLOOKUP(Tabela511[[#This Row],[Deliver]],'Calculations and Tests'!B$5:C$9,2,FALSE)),0)</f>
        <v>0</v>
      </c>
      <c r="L14" s="6">
        <f>Tabela59[[#This Row],[Subtotal]]*(1-Tabela59[[#This Row],[Discount]])+Tabela59[[#This Row],[Delivery Value]]</f>
        <v>0</v>
      </c>
      <c r="M14" s="6" t="str">
        <f>IF(Tabela59[[#This Row],[Sale id]]=B15,"",SUMIF(Tabela59[Sale id],Tabela59[[#This Row],[Sale id]],Tabela59[Total]))</f>
        <v/>
      </c>
    </row>
    <row r="15" spans="2:13" x14ac:dyDescent="0.25">
      <c r="B15" s="3"/>
      <c r="C15" s="5"/>
      <c r="D15" s="3"/>
      <c r="E15" s="3" t="str">
        <f>IFERROR(VLOOKUP(Tabela511[[#This Row],[Product]],'Calculations and Tests'!$J$5:$M$28,4,FALSE),"")</f>
        <v/>
      </c>
      <c r="F15" s="3"/>
      <c r="G15" s="6">
        <f>IFERROR(VLOOKUP(Tabela511[[#This Row],[Product]],'Calculations and Tests'!$J$5:$M$28,3,FALSE),0)</f>
        <v>0</v>
      </c>
      <c r="H15" s="6">
        <f>Tabela511[[#This Row],[Quantity]]*Tabela511[[#This Row],[Unity Price]]</f>
        <v>0</v>
      </c>
      <c r="I15" s="7"/>
      <c r="J15" s="3"/>
      <c r="K15" s="6">
        <f>IFERROR(IF(Tabela511[[#This Row],[Sale id]]=B16,0,VLOOKUP(Tabela511[[#This Row],[Deliver]],'Calculations and Tests'!B$5:C$9,2,FALSE)),0)</f>
        <v>0</v>
      </c>
      <c r="L15" s="6">
        <f>Tabela59[[#This Row],[Subtotal]]*(1-Tabela59[[#This Row],[Discount]])+Tabela59[[#This Row],[Delivery Value]]</f>
        <v>0</v>
      </c>
      <c r="M15" s="6" t="str">
        <f>IF(Tabela59[[#This Row],[Sale id]]=B16,"",SUMIF(Tabela59[Sale id],Tabela59[[#This Row],[Sale id]],Tabela59[Total]))</f>
        <v/>
      </c>
    </row>
    <row r="16" spans="2:13" x14ac:dyDescent="0.25">
      <c r="B16" s="3"/>
      <c r="C16" s="5"/>
      <c r="D16" s="3"/>
      <c r="E16" s="3" t="str">
        <f>IFERROR(VLOOKUP(Tabela511[[#This Row],[Product]],'Calculations and Tests'!$J$5:$M$28,4,FALSE),"")</f>
        <v/>
      </c>
      <c r="F16" s="3"/>
      <c r="G16" s="6">
        <f>IFERROR(VLOOKUP(Tabela511[[#This Row],[Product]],'Calculations and Tests'!$J$5:$M$28,3,FALSE),0)</f>
        <v>0</v>
      </c>
      <c r="H16" s="6">
        <f>Tabela511[[#This Row],[Quantity]]*Tabela511[[#This Row],[Unity Price]]</f>
        <v>0</v>
      </c>
      <c r="I16" s="7"/>
      <c r="J16" s="3"/>
      <c r="K16" s="6">
        <f>IFERROR(IF(Tabela511[[#This Row],[Sale id]]=B17,0,VLOOKUP(Tabela511[[#This Row],[Deliver]],'Calculations and Tests'!B$5:C$9,2,FALSE)),0)</f>
        <v>0</v>
      </c>
      <c r="L16" s="6">
        <f>Tabela59[[#This Row],[Subtotal]]*(1-Tabela59[[#This Row],[Discount]])+Tabela59[[#This Row],[Delivery Value]]</f>
        <v>0</v>
      </c>
      <c r="M16" s="6" t="str">
        <f>IF(Tabela59[[#This Row],[Sale id]]=B17,"",SUMIF(Tabela59[Sale id],Tabela59[[#This Row],[Sale id]],Tabela59[Total]))</f>
        <v/>
      </c>
    </row>
    <row r="17" spans="2:13" x14ac:dyDescent="0.25">
      <c r="B17" s="3"/>
      <c r="C17" s="5"/>
      <c r="D17" s="3"/>
      <c r="E17" s="3" t="str">
        <f>IFERROR(VLOOKUP(Tabela511[[#This Row],[Product]],'Calculations and Tests'!$J$5:$M$28,4,FALSE),"")</f>
        <v/>
      </c>
      <c r="F17" s="3"/>
      <c r="G17" s="6">
        <f>IFERROR(VLOOKUP(Tabela511[[#This Row],[Product]],'Calculations and Tests'!$J$5:$M$28,3,FALSE),0)</f>
        <v>0</v>
      </c>
      <c r="H17" s="6">
        <f>Tabela511[[#This Row],[Quantity]]*Tabela511[[#This Row],[Unity Price]]</f>
        <v>0</v>
      </c>
      <c r="I17" s="7"/>
      <c r="J17" s="3"/>
      <c r="K17" s="6">
        <f>IFERROR(IF(Tabela511[[#This Row],[Sale id]]=B18,0,VLOOKUP(Tabela511[[#This Row],[Deliver]],'Calculations and Tests'!B$5:C$9,2,FALSE)),0)</f>
        <v>0</v>
      </c>
      <c r="L17" s="6">
        <f>Tabela59[[#This Row],[Subtotal]]*(1-Tabela59[[#This Row],[Discount]])+Tabela59[[#This Row],[Delivery Value]]</f>
        <v>0</v>
      </c>
      <c r="M17" s="6" t="str">
        <f>IF(Tabela59[[#This Row],[Sale id]]=B18,"",SUMIF(Tabela59[Sale id],Tabela59[[#This Row],[Sale id]],Tabela59[Total]))</f>
        <v/>
      </c>
    </row>
    <row r="18" spans="2:13" x14ac:dyDescent="0.25">
      <c r="B18" s="3"/>
      <c r="C18" s="5"/>
      <c r="D18" s="3"/>
      <c r="E18" s="3" t="str">
        <f>IFERROR(VLOOKUP(Tabela511[[#This Row],[Product]],'Calculations and Tests'!$J$5:$M$28,4,FALSE),"")</f>
        <v/>
      </c>
      <c r="F18" s="3"/>
      <c r="G18" s="6">
        <f>IFERROR(VLOOKUP(Tabela511[[#This Row],[Product]],'Calculations and Tests'!$J$5:$M$28,3,FALSE),0)</f>
        <v>0</v>
      </c>
      <c r="H18" s="6">
        <f>Tabela511[[#This Row],[Quantity]]*Tabela511[[#This Row],[Unity Price]]</f>
        <v>0</v>
      </c>
      <c r="I18" s="7"/>
      <c r="J18" s="3"/>
      <c r="K18" s="6">
        <f>IFERROR(IF(Tabela511[[#This Row],[Sale id]]=B19,0,VLOOKUP(Tabela511[[#This Row],[Deliver]],'Calculations and Tests'!B$5:C$9,2,FALSE)),0)</f>
        <v>0</v>
      </c>
      <c r="L18" s="6">
        <f>Tabela59[[#This Row],[Subtotal]]*(1-Tabela59[[#This Row],[Discount]])+Tabela59[[#This Row],[Delivery Value]]</f>
        <v>0</v>
      </c>
      <c r="M18" s="6" t="str">
        <f>IF(Tabela59[[#This Row],[Sale id]]=B19,"",SUMIF(Tabela59[Sale id],Tabela59[[#This Row],[Sale id]],Tabela59[Total]))</f>
        <v/>
      </c>
    </row>
    <row r="19" spans="2:13" x14ac:dyDescent="0.25">
      <c r="B19" s="3"/>
      <c r="C19" s="5"/>
      <c r="D19" s="3"/>
      <c r="E19" s="3" t="str">
        <f>IFERROR(VLOOKUP(Tabela511[[#This Row],[Product]],'Calculations and Tests'!$J$5:$M$28,4,FALSE),"")</f>
        <v/>
      </c>
      <c r="F19" s="3"/>
      <c r="G19" s="6">
        <f>IFERROR(VLOOKUP(Tabela511[[#This Row],[Product]],'Calculations and Tests'!$J$5:$M$28,3,FALSE),0)</f>
        <v>0</v>
      </c>
      <c r="H19" s="6">
        <f>Tabela511[[#This Row],[Quantity]]*Tabela511[[#This Row],[Unity Price]]</f>
        <v>0</v>
      </c>
      <c r="I19" s="7"/>
      <c r="J19" s="3"/>
      <c r="K19" s="6">
        <f>IFERROR(IF(Tabela511[[#This Row],[Sale id]]=B20,0,VLOOKUP(Tabela511[[#This Row],[Deliver]],'Calculations and Tests'!B$5:C$9,2,FALSE)),0)</f>
        <v>0</v>
      </c>
      <c r="L19" s="6">
        <f>Tabela59[[#This Row],[Subtotal]]*(1-Tabela59[[#This Row],[Discount]])+Tabela59[[#This Row],[Delivery Value]]</f>
        <v>0</v>
      </c>
      <c r="M19" s="6" t="str">
        <f>IF(Tabela59[[#This Row],[Sale id]]=B20,"",SUMIF(Tabela59[Sale id],Tabela59[[#This Row],[Sale id]],Tabela59[Total]))</f>
        <v/>
      </c>
    </row>
    <row r="20" spans="2:13" x14ac:dyDescent="0.25">
      <c r="B20" s="3"/>
      <c r="C20" s="5"/>
      <c r="D20" s="3"/>
      <c r="E20" s="3" t="str">
        <f>IFERROR(VLOOKUP(Tabela511[[#This Row],[Product]],'Calculations and Tests'!$J$5:$M$28,4,FALSE),"")</f>
        <v/>
      </c>
      <c r="F20" s="3"/>
      <c r="G20" s="6">
        <f>IFERROR(VLOOKUP(Tabela511[[#This Row],[Product]],'Calculations and Tests'!$J$5:$M$28,3,FALSE),0)</f>
        <v>0</v>
      </c>
      <c r="H20" s="6">
        <f>Tabela511[[#This Row],[Quantity]]*Tabela511[[#This Row],[Unity Price]]</f>
        <v>0</v>
      </c>
      <c r="I20" s="7"/>
      <c r="J20" s="3"/>
      <c r="K20" s="6">
        <f>IFERROR(IF(Tabela511[[#This Row],[Sale id]]=B21,0,VLOOKUP(Tabela511[[#This Row],[Deliver]],'Calculations and Tests'!B$5:C$9,2,FALSE)),0)</f>
        <v>0</v>
      </c>
      <c r="L20" s="6">
        <f>Tabela59[[#This Row],[Subtotal]]*(1-Tabela59[[#This Row],[Discount]])+Tabela59[[#This Row],[Delivery Value]]</f>
        <v>0</v>
      </c>
      <c r="M20" s="6" t="str">
        <f>IF(Tabela59[[#This Row],[Sale id]]=B21,"",SUMIF(Tabela59[Sale id],Tabela59[[#This Row],[Sale id]],Tabela59[Total]))</f>
        <v/>
      </c>
    </row>
    <row r="21" spans="2:13" x14ac:dyDescent="0.25">
      <c r="B21" s="3"/>
      <c r="C21" s="5"/>
      <c r="D21" s="3"/>
      <c r="E21" s="3" t="str">
        <f>IFERROR(VLOOKUP(Tabela511[[#This Row],[Product]],'Calculations and Tests'!$J$5:$M$28,4,FALSE),"")</f>
        <v/>
      </c>
      <c r="F21" s="3"/>
      <c r="G21" s="6">
        <f>IFERROR(VLOOKUP(Tabela511[[#This Row],[Product]],'Calculations and Tests'!$J$5:$M$28,3,FALSE),0)</f>
        <v>0</v>
      </c>
      <c r="H21" s="6">
        <f>Tabela511[[#This Row],[Quantity]]*Tabela511[[#This Row],[Unity Price]]</f>
        <v>0</v>
      </c>
      <c r="I21" s="7"/>
      <c r="J21" s="3"/>
      <c r="K21" s="6">
        <f>IFERROR(IF(Tabela511[[#This Row],[Sale id]]=B22,0,VLOOKUP(Tabela511[[#This Row],[Deliver]],'Calculations and Tests'!B$5:C$9,2,FALSE)),0)</f>
        <v>0</v>
      </c>
      <c r="L21" s="6">
        <f>Tabela59[[#This Row],[Subtotal]]*(1-Tabela59[[#This Row],[Discount]])+Tabela59[[#This Row],[Delivery Value]]</f>
        <v>0</v>
      </c>
      <c r="M21" s="6" t="str">
        <f>IF(Tabela59[[#This Row],[Sale id]]=B22,"",SUMIF(Tabela59[Sale id],Tabela59[[#This Row],[Sale id]],Tabela59[Total]))</f>
        <v/>
      </c>
    </row>
    <row r="22" spans="2:13" x14ac:dyDescent="0.25">
      <c r="B22" s="3"/>
      <c r="C22" s="5"/>
      <c r="D22" s="3"/>
      <c r="E22" s="3" t="str">
        <f>IFERROR(VLOOKUP(Tabela511[[#This Row],[Product]],'Calculations and Tests'!$J$5:$M$28,4,FALSE),"")</f>
        <v/>
      </c>
      <c r="F22" s="3"/>
      <c r="G22" s="6">
        <f>IFERROR(VLOOKUP(Tabela511[[#This Row],[Product]],'Calculations and Tests'!$J$5:$M$28,3,FALSE),0)</f>
        <v>0</v>
      </c>
      <c r="H22" s="6">
        <f>Tabela511[[#This Row],[Quantity]]*Tabela511[[#This Row],[Unity Price]]</f>
        <v>0</v>
      </c>
      <c r="I22" s="7"/>
      <c r="J22" s="3"/>
      <c r="K22" s="6">
        <f>IFERROR(IF(Tabela511[[#This Row],[Sale id]]=B23,0,VLOOKUP(Tabela511[[#This Row],[Deliver]],'Calculations and Tests'!B$5:C$9,2,FALSE)),0)</f>
        <v>0</v>
      </c>
      <c r="L22" s="6">
        <f>Tabela59[[#This Row],[Subtotal]]*(1-Tabela59[[#This Row],[Discount]])+Tabela59[[#This Row],[Delivery Value]]</f>
        <v>0</v>
      </c>
      <c r="M22" s="6" t="str">
        <f>IF(Tabela59[[#This Row],[Sale id]]=B23,"",SUMIF(Tabela59[Sale id],Tabela59[[#This Row],[Sale id]],Tabela59[Total]))</f>
        <v/>
      </c>
    </row>
    <row r="23" spans="2:13" x14ac:dyDescent="0.25">
      <c r="B23" s="3"/>
      <c r="C23" s="5"/>
      <c r="D23" s="3"/>
      <c r="E23" s="3" t="str">
        <f>IFERROR(VLOOKUP(Tabela511[[#This Row],[Product]],'Calculations and Tests'!$J$5:$M$28,4,FALSE),"")</f>
        <v/>
      </c>
      <c r="F23" s="3"/>
      <c r="G23" s="6">
        <f>IFERROR(VLOOKUP(Tabela511[[#This Row],[Product]],'Calculations and Tests'!$J$5:$M$28,3,FALSE),0)</f>
        <v>0</v>
      </c>
      <c r="H23" s="6">
        <f>Tabela511[[#This Row],[Quantity]]*Tabela511[[#This Row],[Unity Price]]</f>
        <v>0</v>
      </c>
      <c r="I23" s="7"/>
      <c r="J23" s="3"/>
      <c r="K23" s="6">
        <f>IFERROR(IF(Tabela511[[#This Row],[Sale id]]=B24,0,VLOOKUP(Tabela511[[#This Row],[Deliver]],'Calculations and Tests'!B$5:C$9,2,FALSE)),0)</f>
        <v>0</v>
      </c>
      <c r="L23" s="6">
        <f>Tabela59[[#This Row],[Subtotal]]*(1-Tabela59[[#This Row],[Discount]])+Tabela59[[#This Row],[Delivery Value]]</f>
        <v>0</v>
      </c>
      <c r="M23" s="6" t="str">
        <f>IF(Tabela59[[#This Row],[Sale id]]=B24,"",SUMIF(Tabela59[Sale id],Tabela59[[#This Row],[Sale id]],Tabela59[Total]))</f>
        <v/>
      </c>
    </row>
    <row r="24" spans="2:13" x14ac:dyDescent="0.25">
      <c r="B24" s="3"/>
      <c r="C24" s="5"/>
      <c r="D24" s="3"/>
      <c r="E24" s="3" t="str">
        <f>IFERROR(VLOOKUP(Tabela511[[#This Row],[Product]],'Calculations and Tests'!$J$5:$M$28,4,FALSE),"")</f>
        <v/>
      </c>
      <c r="F24" s="3"/>
      <c r="G24" s="6">
        <f>IFERROR(VLOOKUP(Tabela511[[#This Row],[Product]],'Calculations and Tests'!$J$5:$M$28,3,FALSE),0)</f>
        <v>0</v>
      </c>
      <c r="H24" s="6">
        <f>Tabela511[[#This Row],[Quantity]]*Tabela511[[#This Row],[Unity Price]]</f>
        <v>0</v>
      </c>
      <c r="I24" s="7"/>
      <c r="J24" s="3"/>
      <c r="K24" s="6">
        <f>IFERROR(IF(Tabela511[[#This Row],[Sale id]]=B25,0,VLOOKUP(Tabela511[[#This Row],[Deliver]],'Calculations and Tests'!B$5:C$9,2,FALSE)),0)</f>
        <v>0</v>
      </c>
      <c r="L24" s="6">
        <f>Tabela59[[#This Row],[Subtotal]]*(1-Tabela59[[#This Row],[Discount]])+Tabela59[[#This Row],[Delivery Value]]</f>
        <v>0</v>
      </c>
      <c r="M24" s="6" t="str">
        <f>IF(Tabela59[[#This Row],[Sale id]]=B25,"",SUMIF(Tabela59[Sale id],Tabela59[[#This Row],[Sale id]],Tabela59[Total]))</f>
        <v/>
      </c>
    </row>
    <row r="25" spans="2:13" x14ac:dyDescent="0.25">
      <c r="B25" s="3"/>
      <c r="C25" s="5"/>
      <c r="D25" s="3"/>
      <c r="E25" s="3" t="str">
        <f>IFERROR(VLOOKUP(Tabela511[[#This Row],[Product]],'Calculations and Tests'!$J$5:$M$28,4,FALSE),"")</f>
        <v/>
      </c>
      <c r="F25" s="3"/>
      <c r="G25" s="6">
        <f>IFERROR(VLOOKUP(Tabela511[[#This Row],[Product]],'Calculations and Tests'!$J$5:$M$28,3,FALSE),0)</f>
        <v>0</v>
      </c>
      <c r="H25" s="6">
        <f>Tabela511[[#This Row],[Quantity]]*Tabela511[[#This Row],[Unity Price]]</f>
        <v>0</v>
      </c>
      <c r="I25" s="7"/>
      <c r="J25" s="3"/>
      <c r="K25" s="6">
        <f>IFERROR(IF(Tabela511[[#This Row],[Sale id]]=B26,0,VLOOKUP(Tabela511[[#This Row],[Deliver]],'Calculations and Tests'!B$5:C$9,2,FALSE)),0)</f>
        <v>0</v>
      </c>
      <c r="L25" s="6">
        <f>Tabela59[[#This Row],[Subtotal]]*(1-Tabela59[[#This Row],[Discount]])+Tabela59[[#This Row],[Delivery Value]]</f>
        <v>0</v>
      </c>
      <c r="M25" s="6" t="str">
        <f>IF(Tabela59[[#This Row],[Sale id]]=B26,"",SUMIF(Tabela59[Sale id],Tabela59[[#This Row],[Sale id]],Tabela59[Total]))</f>
        <v/>
      </c>
    </row>
    <row r="26" spans="2:13" x14ac:dyDescent="0.25">
      <c r="B26" s="3"/>
      <c r="C26" s="5"/>
      <c r="D26" s="3"/>
      <c r="E26" s="3" t="str">
        <f>IFERROR(VLOOKUP(Tabela511[[#This Row],[Product]],'Calculations and Tests'!$J$5:$M$28,4,FALSE),"")</f>
        <v/>
      </c>
      <c r="F26" s="3"/>
      <c r="G26" s="6">
        <f>IFERROR(VLOOKUP(Tabela511[[#This Row],[Product]],'Calculations and Tests'!$J$5:$M$28,3,FALSE),0)</f>
        <v>0</v>
      </c>
      <c r="H26" s="6">
        <f>Tabela511[[#This Row],[Quantity]]*Tabela511[[#This Row],[Unity Price]]</f>
        <v>0</v>
      </c>
      <c r="I26" s="7"/>
      <c r="J26" s="3"/>
      <c r="K26" s="6">
        <f>IFERROR(IF(Tabela511[[#This Row],[Sale id]]=B27,0,VLOOKUP(Tabela511[[#This Row],[Deliver]],'Calculations and Tests'!B$5:C$9,2,FALSE)),0)</f>
        <v>0</v>
      </c>
      <c r="L26" s="6">
        <f>Tabela59[[#This Row],[Subtotal]]*(1-Tabela59[[#This Row],[Discount]])+Tabela59[[#This Row],[Delivery Value]]</f>
        <v>0</v>
      </c>
      <c r="M26" s="6" t="str">
        <f>IF(Tabela59[[#This Row],[Sale id]]=B27,"",SUMIF(Tabela59[Sale id],Tabela59[[#This Row],[Sale id]],Tabela59[Total]))</f>
        <v/>
      </c>
    </row>
    <row r="27" spans="2:13" x14ac:dyDescent="0.25">
      <c r="B27" s="3"/>
      <c r="C27" s="5"/>
      <c r="D27" s="3"/>
      <c r="E27" s="3" t="str">
        <f>IFERROR(VLOOKUP(Tabela511[[#This Row],[Product]],'Calculations and Tests'!$J$5:$M$28,4,FALSE),"")</f>
        <v/>
      </c>
      <c r="F27" s="3"/>
      <c r="G27" s="6">
        <f>IFERROR(VLOOKUP(Tabela511[[#This Row],[Product]],'Calculations and Tests'!$J$5:$M$28,3,FALSE),0)</f>
        <v>0</v>
      </c>
      <c r="H27" s="6">
        <f>Tabela511[[#This Row],[Quantity]]*Tabela511[[#This Row],[Unity Price]]</f>
        <v>0</v>
      </c>
      <c r="I27" s="7"/>
      <c r="J27" s="3"/>
      <c r="K27" s="6">
        <f>IFERROR(IF(Tabela511[[#This Row],[Sale id]]=B28,0,VLOOKUP(Tabela511[[#This Row],[Deliver]],'Calculations and Tests'!B$5:C$9,2,FALSE)),0)</f>
        <v>0</v>
      </c>
      <c r="L27" s="6">
        <f>Tabela59[[#This Row],[Subtotal]]*(1-Tabela59[[#This Row],[Discount]])+Tabela59[[#This Row],[Delivery Value]]</f>
        <v>0</v>
      </c>
      <c r="M27" s="6" t="str">
        <f>IF(Tabela59[[#This Row],[Sale id]]=B28,"",SUMIF(Tabela59[Sale id],Tabela59[[#This Row],[Sale id]],Tabela59[Total]))</f>
        <v/>
      </c>
    </row>
    <row r="28" spans="2:13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2:13" ht="21" x14ac:dyDescent="0.35">
      <c r="B29" s="21" t="s">
        <v>141</v>
      </c>
      <c r="C29" s="21"/>
      <c r="D29" s="21"/>
      <c r="E29" s="22"/>
      <c r="F29" s="22"/>
      <c r="G29" s="22"/>
      <c r="H29" s="22"/>
      <c r="I29" s="22"/>
      <c r="J29" s="22"/>
      <c r="K29" s="22"/>
      <c r="L29" s="22"/>
      <c r="M29" s="23">
        <f>SUM(Tabela511[Total])</f>
        <v>8.8000000000000007</v>
      </c>
    </row>
    <row r="31" spans="2:13" ht="21" x14ac:dyDescent="0.35">
      <c r="B31" s="21" t="s">
        <v>142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SUM(Tabela511[Delivery Value])</f>
        <v>5</v>
      </c>
    </row>
    <row r="33" spans="2:13" ht="21" x14ac:dyDescent="0.35">
      <c r="B33" s="21" t="s">
        <v>143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44">
        <f>SUM(IF(FREQUENCY(Tabela511[Sale id],Tabela511[Sale id])&gt;0,1,0))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6501A6-1A62-490D-B23A-1F3411FB8039}">
          <x14:formula1>
            <xm:f>'Calculations and Tests'!$J$5:$J$166</xm:f>
          </x14:formula1>
          <xm:sqref>D5:D27</xm:sqref>
        </x14:dataValidation>
        <x14:dataValidation type="list" allowBlank="1" showInputMessage="1" showErrorMessage="1" xr:uid="{A32816AD-CF0F-4AAA-B784-C29E2B7BE98E}">
          <x14:formula1>
            <xm:f>'Calculations and Tests'!$B$5:$B$9</xm:f>
          </x14:formula1>
          <xm:sqref>J5:J27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3A420-2447-48AC-B981-79A42677611A}">
  <dimension ref="A3:I7"/>
  <sheetViews>
    <sheetView showGridLines="0" workbookViewId="0">
      <selection activeCell="G15" sqref="G15"/>
    </sheetView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40</v>
      </c>
      <c r="B3" t="s">
        <v>173</v>
      </c>
      <c r="C3" t="s">
        <v>42</v>
      </c>
      <c r="F3" s="76" t="s">
        <v>40</v>
      </c>
      <c r="G3" t="s">
        <v>173</v>
      </c>
      <c r="H3" t="s">
        <v>174</v>
      </c>
      <c r="I3" t="s">
        <v>42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126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43</v>
      </c>
      <c r="C5" s="78">
        <v>0</v>
      </c>
      <c r="F5" s="80" t="s">
        <v>43</v>
      </c>
      <c r="H5" s="78">
        <v>0</v>
      </c>
      <c r="I5" s="78">
        <v>0</v>
      </c>
    </row>
    <row r="6" spans="1:9" x14ac:dyDescent="0.25">
      <c r="A6" s="79" t="s">
        <v>43</v>
      </c>
      <c r="C6" s="78">
        <v>0</v>
      </c>
      <c r="F6" s="79" t="s">
        <v>43</v>
      </c>
      <c r="H6" s="78">
        <v>0</v>
      </c>
      <c r="I6" s="78">
        <v>0</v>
      </c>
    </row>
    <row r="7" spans="1:9" x14ac:dyDescent="0.25">
      <c r="A7" s="77" t="s">
        <v>41</v>
      </c>
      <c r="B7">
        <v>2</v>
      </c>
      <c r="C7" s="78">
        <v>2.2999999999999998</v>
      </c>
      <c r="F7" s="80" t="s">
        <v>41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4:V176"/>
  <sheetViews>
    <sheetView tabSelected="1" workbookViewId="0">
      <selection activeCell="H21" sqref="H21"/>
    </sheetView>
  </sheetViews>
  <sheetFormatPr defaultRowHeight="15" x14ac:dyDescent="0.25"/>
  <cols>
    <col min="2" max="2" width="18.140625" bestFit="1" customWidth="1"/>
    <col min="3" max="3" width="16" bestFit="1" customWidth="1"/>
    <col min="4" max="4" width="10.85546875" bestFit="1" customWidth="1"/>
    <col min="5" max="5" width="15.7109375" bestFit="1" customWidth="1"/>
    <col min="10" max="10" width="15.7109375" bestFit="1" customWidth="1"/>
    <col min="11" max="11" width="26.42578125" bestFit="1" customWidth="1"/>
    <col min="12" max="12" width="25.28515625" bestFit="1" customWidth="1"/>
    <col min="13" max="13" width="10.140625" bestFit="1" customWidth="1"/>
  </cols>
  <sheetData>
    <row r="4" spans="2:13" x14ac:dyDescent="0.25">
      <c r="B4" s="8" t="s">
        <v>136</v>
      </c>
      <c r="C4" s="8" t="s">
        <v>137</v>
      </c>
      <c r="J4" s="8" t="s">
        <v>138</v>
      </c>
      <c r="K4" s="8" t="s">
        <v>139</v>
      </c>
      <c r="L4" s="8" t="s">
        <v>140</v>
      </c>
      <c r="M4" s="8" t="s">
        <v>87</v>
      </c>
    </row>
    <row r="5" spans="2:13" x14ac:dyDescent="0.25">
      <c r="B5" t="s">
        <v>127</v>
      </c>
      <c r="C5" s="4">
        <v>5</v>
      </c>
      <c r="J5" t="s">
        <v>144</v>
      </c>
      <c r="K5" s="4">
        <v>2.8405</v>
      </c>
      <c r="L5" s="4">
        <v>2.99</v>
      </c>
      <c r="M5" t="s">
        <v>145</v>
      </c>
    </row>
    <row r="6" spans="2:13" x14ac:dyDescent="0.25">
      <c r="B6" t="s">
        <v>126</v>
      </c>
      <c r="C6" s="4">
        <v>0</v>
      </c>
      <c r="J6" t="s">
        <v>146</v>
      </c>
      <c r="K6" s="4">
        <v>1.0580000000000001</v>
      </c>
      <c r="L6" s="4">
        <v>1.1499999999999999</v>
      </c>
      <c r="M6" t="s">
        <v>167</v>
      </c>
    </row>
    <row r="7" spans="2:13" x14ac:dyDescent="0.25">
      <c r="B7" t="s">
        <v>128</v>
      </c>
      <c r="C7" s="4">
        <v>6.5</v>
      </c>
      <c r="J7" t="s">
        <v>147</v>
      </c>
      <c r="K7" s="4">
        <v>2.3406000000000002</v>
      </c>
      <c r="L7" s="4">
        <v>2.4900000000000002</v>
      </c>
      <c r="M7" t="s">
        <v>22</v>
      </c>
    </row>
    <row r="8" spans="2:13" x14ac:dyDescent="0.25">
      <c r="B8" t="s">
        <v>129</v>
      </c>
      <c r="C8" s="4">
        <v>8</v>
      </c>
      <c r="J8" t="s">
        <v>148</v>
      </c>
      <c r="K8" s="4">
        <v>1.8506999999999998</v>
      </c>
      <c r="L8" s="4">
        <v>1.99</v>
      </c>
      <c r="M8" t="s">
        <v>167</v>
      </c>
    </row>
    <row r="9" spans="2:13" x14ac:dyDescent="0.25">
      <c r="B9" t="s">
        <v>130</v>
      </c>
      <c r="C9" s="4">
        <v>6.5</v>
      </c>
      <c r="J9" t="s">
        <v>149</v>
      </c>
      <c r="K9" s="4">
        <v>1.0924999999999998</v>
      </c>
      <c r="L9" s="4">
        <v>1.1499999999999999</v>
      </c>
      <c r="M9" t="s">
        <v>167</v>
      </c>
    </row>
    <row r="10" spans="2:13" x14ac:dyDescent="0.25">
      <c r="J10" t="s">
        <v>150</v>
      </c>
      <c r="K10" s="4">
        <v>0.74260000000000004</v>
      </c>
      <c r="L10" s="4">
        <v>0.79</v>
      </c>
      <c r="M10" t="s">
        <v>167</v>
      </c>
    </row>
    <row r="11" spans="2:13" x14ac:dyDescent="0.25">
      <c r="J11" t="s">
        <v>151</v>
      </c>
      <c r="K11" s="4">
        <v>14.469000000000001</v>
      </c>
      <c r="L11" s="4">
        <v>15.9</v>
      </c>
      <c r="M11" t="s">
        <v>22</v>
      </c>
    </row>
    <row r="12" spans="2:13" x14ac:dyDescent="0.25">
      <c r="J12" t="s">
        <v>152</v>
      </c>
      <c r="K12" s="4">
        <v>3.6309000000000005</v>
      </c>
      <c r="L12" s="4">
        <v>3.99</v>
      </c>
      <c r="M12" t="s">
        <v>22</v>
      </c>
    </row>
    <row r="13" spans="2:13" x14ac:dyDescent="0.25">
      <c r="J13" t="s">
        <v>153</v>
      </c>
      <c r="K13" s="4">
        <v>2.1023999999999998</v>
      </c>
      <c r="L13" s="4">
        <v>2.19</v>
      </c>
      <c r="M13" t="s">
        <v>168</v>
      </c>
    </row>
    <row r="14" spans="2:13" x14ac:dyDescent="0.25">
      <c r="J14" t="s">
        <v>19</v>
      </c>
      <c r="K14" s="4">
        <v>4.5409000000000006</v>
      </c>
      <c r="L14" s="4">
        <v>4.99</v>
      </c>
      <c r="M14" t="s">
        <v>169</v>
      </c>
    </row>
    <row r="15" spans="2:13" x14ac:dyDescent="0.25">
      <c r="J15" t="s">
        <v>154</v>
      </c>
      <c r="K15" s="4">
        <v>6.3449999999999998</v>
      </c>
      <c r="L15" s="4">
        <v>6.75</v>
      </c>
      <c r="M15" t="s">
        <v>170</v>
      </c>
    </row>
    <row r="16" spans="2:13" x14ac:dyDescent="0.25">
      <c r="J16" t="s">
        <v>155</v>
      </c>
      <c r="K16" s="4">
        <v>2.3660000000000001</v>
      </c>
      <c r="L16" s="4">
        <v>2.6</v>
      </c>
      <c r="M16" t="s">
        <v>145</v>
      </c>
    </row>
    <row r="17" spans="10:13" x14ac:dyDescent="0.25">
      <c r="J17" t="s">
        <v>156</v>
      </c>
      <c r="K17" s="4">
        <v>4.0659999999999998</v>
      </c>
      <c r="L17" s="4">
        <v>4.28</v>
      </c>
      <c r="M17" t="s">
        <v>22</v>
      </c>
    </row>
    <row r="18" spans="10:13" x14ac:dyDescent="0.25">
      <c r="J18" t="s">
        <v>157</v>
      </c>
      <c r="K18" s="4">
        <v>6.4215999999999998</v>
      </c>
      <c r="L18" s="4">
        <v>6.98</v>
      </c>
      <c r="M18" t="s">
        <v>22</v>
      </c>
    </row>
    <row r="19" spans="10:13" x14ac:dyDescent="0.25">
      <c r="J19" t="s">
        <v>158</v>
      </c>
      <c r="K19" s="4">
        <v>1.3708</v>
      </c>
      <c r="L19" s="4">
        <v>1.49</v>
      </c>
      <c r="M19" t="s">
        <v>171</v>
      </c>
    </row>
    <row r="20" spans="10:13" x14ac:dyDescent="0.25">
      <c r="J20" t="s">
        <v>159</v>
      </c>
      <c r="K20" s="4">
        <v>2.6299000000000001</v>
      </c>
      <c r="L20" s="4">
        <v>2.89</v>
      </c>
      <c r="M20" t="s">
        <v>145</v>
      </c>
    </row>
    <row r="21" spans="10:13" x14ac:dyDescent="0.25">
      <c r="J21" t="s">
        <v>160</v>
      </c>
      <c r="K21" s="4">
        <v>22.226999999999997</v>
      </c>
      <c r="L21" s="4">
        <v>23.9</v>
      </c>
      <c r="M21" t="s">
        <v>22</v>
      </c>
    </row>
    <row r="22" spans="10:13" x14ac:dyDescent="0.25">
      <c r="J22" t="s">
        <v>161</v>
      </c>
      <c r="K22" s="4">
        <v>23.827999999999999</v>
      </c>
      <c r="L22" s="4">
        <v>25.9</v>
      </c>
      <c r="M22" t="s">
        <v>22</v>
      </c>
    </row>
    <row r="23" spans="10:13" x14ac:dyDescent="0.25">
      <c r="J23" t="s">
        <v>162</v>
      </c>
      <c r="K23" s="4">
        <v>2.1749000000000001</v>
      </c>
      <c r="L23" s="4">
        <v>2.39</v>
      </c>
      <c r="M23" t="s">
        <v>171</v>
      </c>
    </row>
    <row r="24" spans="10:13" x14ac:dyDescent="0.25">
      <c r="J24" t="s">
        <v>163</v>
      </c>
      <c r="K24" s="4">
        <v>3.2084999999999999</v>
      </c>
      <c r="L24" s="4">
        <v>3.45</v>
      </c>
      <c r="M24" t="s">
        <v>171</v>
      </c>
    </row>
    <row r="25" spans="10:13" x14ac:dyDescent="0.25">
      <c r="J25" t="s">
        <v>164</v>
      </c>
      <c r="K25" s="4">
        <v>5.3544000000000009</v>
      </c>
      <c r="L25" s="4">
        <v>5.82</v>
      </c>
      <c r="M25" t="s">
        <v>22</v>
      </c>
    </row>
    <row r="26" spans="10:13" x14ac:dyDescent="0.25">
      <c r="J26" t="s">
        <v>165</v>
      </c>
      <c r="K26" s="4">
        <v>9.1009999999999991</v>
      </c>
      <c r="L26" s="4">
        <v>9.58</v>
      </c>
      <c r="M26" t="s">
        <v>22</v>
      </c>
    </row>
    <row r="27" spans="10:13" x14ac:dyDescent="0.25">
      <c r="J27" t="s">
        <v>166</v>
      </c>
      <c r="K27" s="4">
        <v>26.012999999999998</v>
      </c>
      <c r="L27" s="4">
        <v>29.9</v>
      </c>
      <c r="M27" t="s">
        <v>172</v>
      </c>
    </row>
    <row r="28" spans="10:13" x14ac:dyDescent="0.25">
      <c r="J28" t="s">
        <v>15</v>
      </c>
      <c r="K28" s="4">
        <v>46.664999999999999</v>
      </c>
      <c r="L28" s="4">
        <v>54.9</v>
      </c>
      <c r="M28" t="s">
        <v>172</v>
      </c>
    </row>
    <row r="175" spans="1:22" ht="15.75" thickBot="1" x14ac:dyDescent="0.3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</row>
    <row r="176" spans="1:22" ht="15.75" thickTop="1" x14ac:dyDescent="0.25"/>
  </sheetData>
  <autoFilter ref="J4:M4" xr:uid="{00000000-0001-0000-0700-000000000000}">
    <sortState xmlns:xlrd2="http://schemas.microsoft.com/office/spreadsheetml/2017/richdata2" ref="J5:M28">
      <sortCondition ref="J4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Menu</vt:lpstr>
      <vt:lpstr>Expenses</vt:lpstr>
      <vt:lpstr>Goods Control</vt:lpstr>
      <vt:lpstr>Investments</vt:lpstr>
      <vt:lpstr>Inventory control</vt:lpstr>
      <vt:lpstr>Results</vt:lpstr>
      <vt:lpstr>Sales</vt:lpstr>
      <vt:lpstr>Week 1</vt:lpstr>
      <vt:lpstr>Week Analysis 1</vt:lpstr>
      <vt:lpstr>Week 2</vt:lpstr>
      <vt:lpstr>Week Analysis 2</vt:lpstr>
      <vt:lpstr>Week 3</vt:lpstr>
      <vt:lpstr>Week Analysis 3</vt:lpstr>
      <vt:lpstr>Week 4</vt:lpstr>
      <vt:lpstr>Week Analysis 4</vt:lpstr>
      <vt:lpstr>Week 5</vt:lpstr>
      <vt:lpstr>Week Analysis 5</vt:lpstr>
      <vt:lpstr>Calculations and 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Riquelmo A. Avelar Ferreira</cp:lastModifiedBy>
  <dcterms:created xsi:type="dcterms:W3CDTF">2015-06-24T19:21:22Z</dcterms:created>
  <dcterms:modified xsi:type="dcterms:W3CDTF">2023-04-18T04:14:51Z</dcterms:modified>
</cp:coreProperties>
</file>