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drawings/drawing1.xml" ContentType="application/vnd.openxmlformats-officedocument.drawing+xml"/>
  <Override PartName="/xl/tables/table9.xml" ContentType="application/vnd.openxmlformats-officedocument.spreadsheetml.table+xml"/>
  <Override PartName="/xl/drawings/drawing2.xml" ContentType="application/vnd.openxmlformats-officedocument.drawing+xml"/>
  <Override PartName="/xl/tables/table10.xml" ContentType="application/vnd.openxmlformats-officedocument.spreadsheetml.table+xml"/>
  <Override PartName="/xl/drawings/drawing3.xml" ContentType="application/vnd.openxmlformats-officedocument.drawing+xml"/>
  <Override PartName="/xl/tables/table11.xml" ContentType="application/vnd.openxmlformats-officedocument.spreadsheetml.table+xml"/>
  <Override PartName="/xl/drawings/drawing4.xml" ContentType="application/vnd.openxmlformats-officedocument.drawing+xml"/>
  <Override PartName="/xl/tables/table12.xml" ContentType="application/vnd.openxmlformats-officedocument.spreadsheetml.table+xml"/>
  <Override PartName="/xl/drawings/drawing5.xml" ContentType="application/vnd.openxmlformats-officedocument.drawing+xml"/>
  <Override PartName="/xl/tables/table13.xml" ContentType="application/vnd.openxmlformats-officedocument.spreadsheetml.table+xml"/>
  <Override PartName="/xl/drawings/drawing6.xml" ContentType="application/vnd.openxmlformats-officedocument.drawing+xml"/>
  <Override PartName="/xl/tables/table14.xml" ContentType="application/vnd.openxmlformats-officedocument.spreadsheetml.table+xml"/>
  <Override PartName="/xl/drawings/drawing7.xml" ContentType="application/vnd.openxmlformats-officedocument.drawing+xml"/>
  <Override PartName="/xl/tables/table15.xml" ContentType="application/vnd.openxmlformats-officedocument.spreadsheetml.table+xml"/>
  <Override PartName="/xl/drawings/drawing8.xml" ContentType="application/vnd.openxmlformats-officedocument.drawing+xml"/>
  <Override PartName="/xl/tables/table16.xml" ContentType="application/vnd.openxmlformats-officedocument.spreadsheetml.table+xml"/>
  <Override PartName="/xl/drawings/drawing9.xml" ContentType="application/vnd.openxmlformats-officedocument.drawing+xml"/>
  <Override PartName="/xl/tables/table17.xml" ContentType="application/vnd.openxmlformats-officedocument.spreadsheetml.table+xml"/>
  <Override PartName="/xl/drawings/drawing10.xml" ContentType="application/vnd.openxmlformats-officedocument.drawing+xml"/>
  <Override PartName="/xl/tables/table18.xml" ContentType="application/vnd.openxmlformats-officedocument.spreadsheetml.table+xml"/>
  <Override PartName="/xl/drawings/drawing11.xml" ContentType="application/vnd.openxmlformats-officedocument.drawing+xml"/>
  <Override PartName="/xl/tables/table19.xml" ContentType="application/vnd.openxmlformats-officedocument.spreadsheetml.table+xml"/>
  <Override PartName="/xl/drawings/drawing12.xml" ContentType="application/vnd.openxmlformats-officedocument.drawing+xml"/>
  <Override PartName="/xl/tables/table20.xml" ContentType="application/vnd.openxmlformats-officedocument.spreadsheetml.table+xml"/>
  <Override PartName="/xl/drawings/drawing13.xml" ContentType="application/vnd.openxmlformats-officedocument.drawing+xml"/>
  <Override PartName="/xl/tables/table21.xml" ContentType="application/vnd.openxmlformats-officedocument.spreadsheetml.table+xml"/>
  <Override PartName="/xl/drawings/drawing14.xml" ContentType="application/vnd.openxmlformats-officedocument.drawing+xml"/>
  <Override PartName="/xl/tables/table22.xml" ContentType="application/vnd.openxmlformats-officedocument.spreadsheetml.table+xml"/>
  <Override PartName="/xl/drawings/drawing15.xml" ContentType="application/vnd.openxmlformats-officedocument.drawing+xml"/>
  <Override PartName="/xl/tables/table23.xml" ContentType="application/vnd.openxmlformats-officedocument.spreadsheetml.table+xml"/>
  <Override PartName="/xl/drawings/drawing16.xml" ContentType="application/vnd.openxmlformats-officedocument.drawing+xml"/>
  <Override PartName="/xl/tables/table24.xml" ContentType="application/vnd.openxmlformats-officedocument.spreadsheetml.table+xml"/>
  <Override PartName="/xl/drawings/drawing17.xml" ContentType="application/vnd.openxmlformats-officedocument.drawing+xml"/>
  <Override PartName="/xl/tables/table25.xml" ContentType="application/vnd.openxmlformats-officedocument.spreadsheetml.table+xml"/>
  <Override PartName="/xl/drawings/drawing18.xml" ContentType="application/vnd.openxmlformats-officedocument.drawing+xml"/>
  <Override PartName="/xl/tables/table26.xml" ContentType="application/vnd.openxmlformats-officedocument.spreadsheetml.table+xml"/>
  <Override PartName="/xl/drawings/drawing19.xml" ContentType="application/vnd.openxmlformats-officedocument.drawing+xml"/>
  <Override PartName="/xl/tables/table27.xml" ContentType="application/vnd.openxmlformats-officedocument.spreadsheetml.table+xml"/>
  <Override PartName="/xl/drawings/drawing20.xml" ContentType="application/vnd.openxmlformats-officedocument.drawing+xml"/>
  <Override PartName="/xl/tables/table28.xml" ContentType="application/vnd.openxmlformats-officedocument.spreadsheetml.table+xml"/>
  <Override PartName="/xl/drawings/drawing21.xml" ContentType="application/vnd.openxmlformats-officedocument.drawing+xml"/>
  <Override PartName="/xl/tables/table29.xml" ContentType="application/vnd.openxmlformats-officedocument.spreadsheetml.table+xml"/>
  <Override PartName="/xl/drawings/drawing22.xml" ContentType="application/vnd.openxmlformats-officedocument.drawing+xml"/>
  <Override PartName="/xl/tables/table30.xml" ContentType="application/vnd.openxmlformats-officedocument.spreadsheetml.table+xml"/>
  <Override PartName="/xl/drawings/drawing23.xml" ContentType="application/vnd.openxmlformats-officedocument.drawing+xml"/>
  <Override PartName="/xl/tables/table31.xml" ContentType="application/vnd.openxmlformats-officedocument.spreadsheetml.table+xml"/>
  <Override PartName="/xl/drawings/drawing24.xml" ContentType="application/vnd.openxmlformats-officedocument.drawing+xml"/>
  <Override PartName="/xl/tables/table32.xml" ContentType="application/vnd.openxmlformats-officedocument.spreadsheetml.table+xml"/>
  <Override PartName="/xl/drawings/drawing25.xml" ContentType="application/vnd.openxmlformats-officedocument.drawing+xml"/>
  <Override PartName="/xl/tables/table33.xml" ContentType="application/vnd.openxmlformats-officedocument.spreadsheetml.table+xml"/>
  <Override PartName="/xl/drawings/drawing26.xml" ContentType="application/vnd.openxmlformats-officedocument.drawing+xml"/>
  <Override PartName="/xl/tables/table34.xml" ContentType="application/vnd.openxmlformats-officedocument.spreadsheetml.table+xml"/>
  <Override PartName="/xl/drawings/drawing27.xml" ContentType="application/vnd.openxmlformats-officedocument.drawing+xml"/>
  <Override PartName="/xl/tables/table35.xml" ContentType="application/vnd.openxmlformats-officedocument.spreadsheetml.table+xml"/>
  <Override PartName="/xl/drawings/drawing28.xml" ContentType="application/vnd.openxmlformats-officedocument.drawing+xml"/>
  <Override PartName="/xl/tables/table36.xml" ContentType="application/vnd.openxmlformats-officedocument.spreadsheetml.table+xml"/>
  <Override PartName="/xl/drawings/drawing29.xml" ContentType="application/vnd.openxmlformats-officedocument.drawing+xml"/>
  <Override PartName="/xl/tables/table37.xml" ContentType="application/vnd.openxmlformats-officedocument.spreadsheetml.table+xml"/>
  <Override PartName="/xl/drawings/drawing30.xml" ContentType="application/vnd.openxmlformats-officedocument.drawing+xml"/>
  <Override PartName="/xl/tables/table38.xml" ContentType="application/vnd.openxmlformats-officedocument.spreadsheetml.table+xml"/>
  <Override PartName="/xl/drawings/drawing31.xml" ContentType="application/vnd.openxmlformats-officedocument.drawing+xml"/>
  <Override PartName="/xl/tables/table39.xml" ContentType="application/vnd.openxmlformats-officedocument.spreadsheetml.table+xml"/>
  <Override PartName="/xl/drawings/drawing32.xml" ContentType="application/vnd.openxmlformats-officedocument.drawing+xml"/>
  <Override PartName="/xl/tables/table40.xml" ContentType="application/vnd.openxmlformats-officedocument.spreadsheetml.table+xml"/>
  <Override PartName="/xl/drawings/drawing33.xml" ContentType="application/vnd.openxmlformats-officedocument.drawing+xml"/>
  <Override PartName="/xl/tables/table41.xml" ContentType="application/vnd.openxmlformats-officedocument.spreadsheetml.table+xml"/>
  <Override PartName="/xl/drawings/drawing34.xml" ContentType="application/vnd.openxmlformats-officedocument.drawing+xml"/>
  <Override PartName="/xl/tables/table42.xml" ContentType="application/vnd.openxmlformats-officedocument.spreadsheetml.table+xml"/>
  <Override PartName="/xl/drawings/drawing35.xml" ContentType="application/vnd.openxmlformats-officedocument.drawing+xml"/>
  <Override PartName="/xl/tables/table43.xml" ContentType="application/vnd.openxmlformats-officedocument.spreadsheetml.table+xml"/>
  <Override PartName="/xl/drawings/drawing36.xml" ContentType="application/vnd.openxmlformats-officedocument.drawing+xml"/>
  <Override PartName="/xl/tables/table4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esktop\Rishabh's Data\Seekers\"/>
    </mc:Choice>
  </mc:AlternateContent>
  <bookViews>
    <workbookView xWindow="0" yWindow="0" windowWidth="19200" windowHeight="6900" tabRatio="954"/>
  </bookViews>
  <sheets>
    <sheet name="Template Working" sheetId="45" r:id="rId1"/>
    <sheet name="H" sheetId="15" r:id="rId2"/>
    <sheet name="M" sheetId="13" r:id="rId3"/>
    <sheet name="W1" sheetId="43" r:id="rId4"/>
    <sheet name="W2" sheetId="11" r:id="rId5"/>
    <sheet name="W3" sheetId="10" r:id="rId6"/>
    <sheet name="W4" sheetId="9" r:id="rId7"/>
    <sheet name="W5" sheetId="44" r:id="rId8"/>
    <sheet name="1" sheetId="1" r:id="rId9"/>
    <sheet name="2" sheetId="2" r:id="rId10"/>
    <sheet name="3" sheetId="3" r:id="rId11"/>
    <sheet name="4" sheetId="4" r:id="rId12"/>
    <sheet name="5" sheetId="5" r:id="rId13"/>
    <sheet name="6" sheetId="6" r:id="rId14"/>
    <sheet name="7" sheetId="7" r:id="rId15"/>
    <sheet name="8" sheetId="8" r:id="rId16"/>
    <sheet name="9" sheetId="14" r:id="rId17"/>
    <sheet name="10" sheetId="17" r:id="rId18"/>
    <sheet name="11" sheetId="21" r:id="rId19"/>
    <sheet name="12" sheetId="22" r:id="rId20"/>
    <sheet name="13" sheetId="23" r:id="rId21"/>
    <sheet name="14" sheetId="24" r:id="rId22"/>
    <sheet name="15" sheetId="25" r:id="rId23"/>
    <sheet name="16" sheetId="26" r:id="rId24"/>
    <sheet name="17" sheetId="28" r:id="rId25"/>
    <sheet name="18" sheetId="29" r:id="rId26"/>
    <sheet name="19" sheetId="30" r:id="rId27"/>
    <sheet name="20" sheetId="31" r:id="rId28"/>
    <sheet name="21" sheetId="32" r:id="rId29"/>
    <sheet name="22" sheetId="33" r:id="rId30"/>
    <sheet name="23" sheetId="34" r:id="rId31"/>
    <sheet name="24" sheetId="35" r:id="rId32"/>
    <sheet name="25" sheetId="36" r:id="rId33"/>
    <sheet name="26" sheetId="37" r:id="rId34"/>
    <sheet name="27" sheetId="38" r:id="rId35"/>
    <sheet name="28" sheetId="39" r:id="rId36"/>
    <sheet name="29" sheetId="40" r:id="rId37"/>
    <sheet name="30" sheetId="41" r:id="rId3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7" i="11" l="1"/>
  <c r="E49" i="41" l="1"/>
  <c r="F49" i="41"/>
  <c r="G49" i="41"/>
  <c r="H49" i="41"/>
  <c r="I49" i="41"/>
  <c r="D49" i="41"/>
  <c r="E49" i="40"/>
  <c r="F49" i="40"/>
  <c r="G49" i="40"/>
  <c r="H49" i="40"/>
  <c r="I49" i="40"/>
  <c r="D49" i="40"/>
  <c r="E49" i="39"/>
  <c r="F49" i="39"/>
  <c r="G49" i="39"/>
  <c r="H49" i="39"/>
  <c r="I49" i="39"/>
  <c r="D49" i="39"/>
  <c r="E49" i="38"/>
  <c r="F49" i="38"/>
  <c r="G49" i="38"/>
  <c r="H49" i="38"/>
  <c r="I49" i="38"/>
  <c r="D49" i="38"/>
  <c r="E49" i="37"/>
  <c r="F49" i="37"/>
  <c r="G49" i="37"/>
  <c r="H49" i="37"/>
  <c r="I49" i="37"/>
  <c r="D49" i="37"/>
  <c r="E49" i="36"/>
  <c r="F49" i="36"/>
  <c r="G49" i="36"/>
  <c r="H49" i="36"/>
  <c r="I49" i="36"/>
  <c r="D49" i="36"/>
  <c r="E49" i="35"/>
  <c r="F49" i="35"/>
  <c r="G49" i="35"/>
  <c r="H49" i="35"/>
  <c r="I49" i="35"/>
  <c r="D49" i="35"/>
  <c r="E49" i="34"/>
  <c r="F49" i="34"/>
  <c r="G49" i="34"/>
  <c r="H49" i="34"/>
  <c r="I49" i="34"/>
  <c r="D49" i="34"/>
  <c r="E49" i="33"/>
  <c r="F49" i="33"/>
  <c r="G49" i="33"/>
  <c r="H49" i="33"/>
  <c r="I49" i="33"/>
  <c r="D49" i="33"/>
  <c r="E49" i="32"/>
  <c r="F49" i="32"/>
  <c r="G49" i="32"/>
  <c r="H49" i="32"/>
  <c r="I49" i="32"/>
  <c r="D49" i="32"/>
  <c r="E49" i="31"/>
  <c r="F49" i="31"/>
  <c r="G49" i="31"/>
  <c r="H49" i="31"/>
  <c r="I49" i="31"/>
  <c r="D49" i="31"/>
  <c r="E49" i="30"/>
  <c r="F49" i="30"/>
  <c r="G49" i="30"/>
  <c r="H49" i="30"/>
  <c r="I49" i="30"/>
  <c r="D49" i="30"/>
  <c r="E49" i="29"/>
  <c r="F49" i="29"/>
  <c r="G49" i="29"/>
  <c r="H49" i="29"/>
  <c r="I49" i="29"/>
  <c r="D49" i="29"/>
  <c r="E49" i="28"/>
  <c r="F49" i="28"/>
  <c r="G49" i="28"/>
  <c r="H49" i="28"/>
  <c r="I49" i="28"/>
  <c r="D49" i="28"/>
  <c r="E49" i="26"/>
  <c r="F49" i="26"/>
  <c r="G49" i="26"/>
  <c r="H49" i="26"/>
  <c r="I49" i="26"/>
  <c r="D49" i="26"/>
  <c r="E49" i="25"/>
  <c r="F49" i="25"/>
  <c r="G49" i="25"/>
  <c r="H49" i="25"/>
  <c r="I49" i="25"/>
  <c r="D49" i="25"/>
  <c r="E49" i="24"/>
  <c r="F49" i="24"/>
  <c r="G49" i="24"/>
  <c r="H49" i="24"/>
  <c r="I49" i="24"/>
  <c r="D49" i="24"/>
  <c r="E49" i="23"/>
  <c r="F49" i="23"/>
  <c r="G49" i="23"/>
  <c r="H49" i="23"/>
  <c r="I49" i="23"/>
  <c r="D49" i="23"/>
  <c r="E49" i="22"/>
  <c r="F49" i="22"/>
  <c r="G49" i="22"/>
  <c r="H49" i="22"/>
  <c r="I49" i="22"/>
  <c r="D49" i="22"/>
  <c r="E49" i="21"/>
  <c r="F49" i="21"/>
  <c r="G49" i="21"/>
  <c r="H49" i="21"/>
  <c r="I49" i="21"/>
  <c r="D49" i="21"/>
  <c r="E49" i="17"/>
  <c r="F49" i="17"/>
  <c r="G49" i="17"/>
  <c r="H49" i="17"/>
  <c r="I49" i="17"/>
  <c r="D49" i="17"/>
  <c r="E49" i="14"/>
  <c r="F49" i="14"/>
  <c r="G49" i="14"/>
  <c r="H49" i="14"/>
  <c r="I49" i="14"/>
  <c r="D49" i="14"/>
  <c r="E49" i="8"/>
  <c r="F49" i="8"/>
  <c r="G49" i="8"/>
  <c r="H49" i="8"/>
  <c r="I49" i="8"/>
  <c r="D49" i="8"/>
  <c r="E49" i="7"/>
  <c r="F49" i="7"/>
  <c r="G49" i="7"/>
  <c r="H49" i="7"/>
  <c r="I49" i="7"/>
  <c r="D49" i="7"/>
  <c r="E49" i="6"/>
  <c r="F49" i="6"/>
  <c r="G49" i="6"/>
  <c r="H49" i="6"/>
  <c r="I49" i="6"/>
  <c r="D49" i="6"/>
  <c r="E49" i="5"/>
  <c r="F49" i="5"/>
  <c r="G49" i="5"/>
  <c r="H49" i="5"/>
  <c r="I49" i="5"/>
  <c r="D49" i="5"/>
  <c r="E49" i="4"/>
  <c r="F49" i="4"/>
  <c r="G49" i="4"/>
  <c r="H49" i="4"/>
  <c r="I49" i="4"/>
  <c r="D49" i="4"/>
  <c r="E49" i="3"/>
  <c r="F49" i="3"/>
  <c r="G49" i="3"/>
  <c r="H49" i="3"/>
  <c r="I49" i="3"/>
  <c r="D49" i="3"/>
  <c r="E49" i="2"/>
  <c r="F49" i="2"/>
  <c r="G49" i="2"/>
  <c r="D49" i="2"/>
  <c r="E49" i="1"/>
  <c r="F49" i="1"/>
  <c r="G49" i="1"/>
  <c r="H49" i="1"/>
  <c r="I49" i="1"/>
  <c r="D49" i="1"/>
  <c r="E49" i="44"/>
  <c r="E49" i="9"/>
  <c r="D49" i="9"/>
  <c r="E49" i="10"/>
  <c r="D49" i="10"/>
  <c r="E49" i="11"/>
  <c r="F49" i="11"/>
  <c r="G49" i="11"/>
  <c r="D49" i="11"/>
  <c r="H49" i="43"/>
  <c r="F49" i="43"/>
  <c r="G49" i="43"/>
  <c r="E49" i="43"/>
  <c r="D49" i="43"/>
  <c r="K49" i="13"/>
  <c r="J49" i="13"/>
  <c r="I49" i="13"/>
  <c r="H49" i="13"/>
  <c r="G49" i="13"/>
  <c r="F49" i="13"/>
  <c r="E49" i="13"/>
  <c r="D49" i="13"/>
  <c r="G48" i="13" l="1"/>
  <c r="G47" i="13"/>
  <c r="G46" i="13"/>
  <c r="G45" i="13"/>
  <c r="G44" i="13"/>
  <c r="G43" i="13"/>
  <c r="G42" i="13"/>
  <c r="G41" i="13"/>
  <c r="G40" i="13"/>
  <c r="G39" i="13"/>
  <c r="G38" i="13"/>
  <c r="G37" i="13"/>
  <c r="G36" i="13"/>
  <c r="G35" i="13"/>
  <c r="G34" i="13"/>
  <c r="G33" i="13"/>
  <c r="G32" i="13"/>
  <c r="G31" i="13"/>
  <c r="G30" i="13"/>
  <c r="G29" i="13"/>
  <c r="G28" i="13"/>
  <c r="G27" i="13"/>
  <c r="G26" i="13"/>
  <c r="G25" i="13"/>
  <c r="G24" i="13"/>
  <c r="G23" i="13"/>
  <c r="G22" i="13"/>
  <c r="G21" i="13"/>
  <c r="G20" i="13"/>
  <c r="G19" i="13"/>
  <c r="G18" i="13"/>
  <c r="G17" i="13"/>
  <c r="G16" i="13"/>
  <c r="G15" i="13"/>
  <c r="G14" i="13"/>
  <c r="G13" i="13"/>
  <c r="G12" i="13"/>
  <c r="G11" i="13"/>
  <c r="G10" i="13"/>
  <c r="G9" i="13"/>
  <c r="G8" i="13"/>
  <c r="G7" i="13"/>
  <c r="G6" i="13"/>
  <c r="G5" i="13"/>
  <c r="G4" i="13"/>
  <c r="G3" i="13"/>
  <c r="F4" i="13" l="1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6" i="13"/>
  <c r="F47" i="13"/>
  <c r="F48" i="13"/>
  <c r="F3" i="13"/>
  <c r="A1" i="23" l="1"/>
  <c r="F3" i="43" l="1"/>
  <c r="G3" i="43"/>
  <c r="H3" i="43"/>
  <c r="F4" i="43"/>
  <c r="G4" i="43"/>
  <c r="I4" i="43" s="1"/>
  <c r="H4" i="43"/>
  <c r="F5" i="43"/>
  <c r="I5" i="43" s="1"/>
  <c r="G5" i="43"/>
  <c r="H5" i="43"/>
  <c r="F6" i="43"/>
  <c r="G6" i="43"/>
  <c r="H6" i="43"/>
  <c r="I6" i="43"/>
  <c r="F7" i="43"/>
  <c r="G7" i="43"/>
  <c r="I7" i="43" s="1"/>
  <c r="H7" i="43"/>
  <c r="F8" i="43"/>
  <c r="G8" i="43"/>
  <c r="H8" i="43"/>
  <c r="I8" i="43"/>
  <c r="F9" i="43"/>
  <c r="G9" i="43"/>
  <c r="I9" i="43" s="1"/>
  <c r="H9" i="43"/>
  <c r="F10" i="43"/>
  <c r="G10" i="43"/>
  <c r="H10" i="43"/>
  <c r="I10" i="43"/>
  <c r="F11" i="43"/>
  <c r="G11" i="43"/>
  <c r="I11" i="43" s="1"/>
  <c r="H11" i="43"/>
  <c r="F12" i="43"/>
  <c r="G12" i="43"/>
  <c r="H12" i="43"/>
  <c r="I12" i="43"/>
  <c r="F13" i="43"/>
  <c r="G13" i="43"/>
  <c r="I13" i="43" s="1"/>
  <c r="H13" i="43"/>
  <c r="F14" i="43"/>
  <c r="G14" i="43"/>
  <c r="H14" i="43"/>
  <c r="I14" i="43"/>
  <c r="F15" i="43"/>
  <c r="G15" i="43"/>
  <c r="I15" i="43" s="1"/>
  <c r="H15" i="43"/>
  <c r="F16" i="43"/>
  <c r="G16" i="43"/>
  <c r="H16" i="43"/>
  <c r="I16" i="43"/>
  <c r="F17" i="43"/>
  <c r="G17" i="43"/>
  <c r="I17" i="43" s="1"/>
  <c r="H17" i="43"/>
  <c r="F18" i="43"/>
  <c r="G18" i="43"/>
  <c r="H18" i="43"/>
  <c r="I18" i="43"/>
  <c r="F19" i="43"/>
  <c r="G19" i="43"/>
  <c r="I19" i="43" s="1"/>
  <c r="H19" i="43"/>
  <c r="F20" i="43"/>
  <c r="G20" i="43"/>
  <c r="H20" i="43"/>
  <c r="I20" i="43"/>
  <c r="F21" i="43"/>
  <c r="G21" i="43"/>
  <c r="I21" i="43" s="1"/>
  <c r="H21" i="43"/>
  <c r="F22" i="43"/>
  <c r="G22" i="43"/>
  <c r="H22" i="43"/>
  <c r="I22" i="43"/>
  <c r="F23" i="43"/>
  <c r="G23" i="43"/>
  <c r="I23" i="43" s="1"/>
  <c r="H23" i="43"/>
  <c r="F24" i="43"/>
  <c r="G24" i="43"/>
  <c r="H24" i="43"/>
  <c r="I24" i="43"/>
  <c r="F25" i="43"/>
  <c r="G25" i="43"/>
  <c r="I25" i="43" s="1"/>
  <c r="H25" i="43"/>
  <c r="F26" i="43"/>
  <c r="G26" i="43"/>
  <c r="H26" i="43"/>
  <c r="I26" i="43"/>
  <c r="F27" i="43"/>
  <c r="G27" i="43"/>
  <c r="I27" i="43" s="1"/>
  <c r="H27" i="43"/>
  <c r="F28" i="43"/>
  <c r="G28" i="43"/>
  <c r="H28" i="43"/>
  <c r="I28" i="43"/>
  <c r="F29" i="43"/>
  <c r="G29" i="43"/>
  <c r="I29" i="43" s="1"/>
  <c r="H29" i="43"/>
  <c r="F30" i="43"/>
  <c r="G30" i="43"/>
  <c r="H30" i="43"/>
  <c r="I30" i="43"/>
  <c r="F31" i="43"/>
  <c r="G31" i="43"/>
  <c r="I31" i="43" s="1"/>
  <c r="H31" i="43"/>
  <c r="F32" i="43"/>
  <c r="G32" i="43"/>
  <c r="H32" i="43"/>
  <c r="I32" i="43"/>
  <c r="F33" i="43"/>
  <c r="G33" i="43"/>
  <c r="I33" i="43" s="1"/>
  <c r="H33" i="43"/>
  <c r="F34" i="43"/>
  <c r="G34" i="43"/>
  <c r="H34" i="43"/>
  <c r="I34" i="43"/>
  <c r="F35" i="43"/>
  <c r="G35" i="43"/>
  <c r="I35" i="43" s="1"/>
  <c r="H35" i="43"/>
  <c r="F36" i="43"/>
  <c r="G36" i="43"/>
  <c r="H36" i="43"/>
  <c r="I36" i="43"/>
  <c r="F37" i="43"/>
  <c r="G37" i="43"/>
  <c r="I37" i="43" s="1"/>
  <c r="H37" i="43"/>
  <c r="F38" i="43"/>
  <c r="G38" i="43"/>
  <c r="H38" i="43"/>
  <c r="I38" i="43"/>
  <c r="F39" i="43"/>
  <c r="G39" i="43"/>
  <c r="I39" i="43" s="1"/>
  <c r="H39" i="43"/>
  <c r="F40" i="43"/>
  <c r="G40" i="43"/>
  <c r="H40" i="43"/>
  <c r="I40" i="43"/>
  <c r="F41" i="43"/>
  <c r="G41" i="43"/>
  <c r="I41" i="43" s="1"/>
  <c r="H41" i="43"/>
  <c r="F42" i="43"/>
  <c r="G42" i="43"/>
  <c r="H42" i="43"/>
  <c r="I42" i="43"/>
  <c r="F43" i="43"/>
  <c r="G43" i="43"/>
  <c r="I43" i="43" s="1"/>
  <c r="H43" i="43"/>
  <c r="F44" i="43"/>
  <c r="G44" i="43"/>
  <c r="H44" i="43"/>
  <c r="I44" i="43"/>
  <c r="F45" i="43"/>
  <c r="G45" i="43"/>
  <c r="I45" i="43" s="1"/>
  <c r="H45" i="43"/>
  <c r="F46" i="43"/>
  <c r="G46" i="43"/>
  <c r="H46" i="43"/>
  <c r="I46" i="43"/>
  <c r="F47" i="43"/>
  <c r="G47" i="43"/>
  <c r="I47" i="43" s="1"/>
  <c r="H47" i="43"/>
  <c r="F48" i="43"/>
  <c r="G48" i="43"/>
  <c r="H48" i="43"/>
  <c r="I48" i="43"/>
  <c r="I3" i="43" l="1"/>
  <c r="A5" i="43" l="1"/>
  <c r="B5" i="43"/>
  <c r="A48" i="17" l="1"/>
  <c r="A47" i="17"/>
  <c r="C5" i="3" l="1"/>
  <c r="C14" i="7"/>
  <c r="C10" i="37"/>
  <c r="B10" i="37"/>
  <c r="A10" i="37"/>
  <c r="D49" i="44" l="1"/>
  <c r="F15" i="15"/>
  <c r="E15" i="15"/>
  <c r="B6" i="15"/>
  <c r="B3" i="15"/>
  <c r="B2" i="15" l="1"/>
  <c r="A1" i="43" l="1"/>
  <c r="F48" i="11" l="1"/>
  <c r="A46" i="43"/>
  <c r="B46" i="43"/>
  <c r="C46" i="43"/>
  <c r="A47" i="43"/>
  <c r="B47" i="43"/>
  <c r="C47" i="43"/>
  <c r="F47" i="11"/>
  <c r="G47" i="11"/>
  <c r="A48" i="43"/>
  <c r="B48" i="43"/>
  <c r="C48" i="43"/>
  <c r="G48" i="11"/>
  <c r="C4" i="43"/>
  <c r="C5" i="43"/>
  <c r="C6" i="43"/>
  <c r="C7" i="43"/>
  <c r="C8" i="43"/>
  <c r="C9" i="43"/>
  <c r="C10" i="43"/>
  <c r="C11" i="43"/>
  <c r="C12" i="43"/>
  <c r="C13" i="43"/>
  <c r="C14" i="43"/>
  <c r="C15" i="43"/>
  <c r="C16" i="43"/>
  <c r="C17" i="43"/>
  <c r="C18" i="43"/>
  <c r="C19" i="43"/>
  <c r="C20" i="43"/>
  <c r="C21" i="43"/>
  <c r="C22" i="43"/>
  <c r="C23" i="43"/>
  <c r="C24" i="43"/>
  <c r="C25" i="43"/>
  <c r="C26" i="43"/>
  <c r="C27" i="43"/>
  <c r="C28" i="43"/>
  <c r="C29" i="43"/>
  <c r="C30" i="43"/>
  <c r="C31" i="43"/>
  <c r="C32" i="43"/>
  <c r="C33" i="43"/>
  <c r="C34" i="43"/>
  <c r="C35" i="43"/>
  <c r="C36" i="43"/>
  <c r="C37" i="43"/>
  <c r="C38" i="43"/>
  <c r="C39" i="43"/>
  <c r="C40" i="43"/>
  <c r="C41" i="43"/>
  <c r="C42" i="43"/>
  <c r="C43" i="43"/>
  <c r="C44" i="43"/>
  <c r="C45" i="43"/>
  <c r="C3" i="43"/>
  <c r="A4" i="43"/>
  <c r="B4" i="43"/>
  <c r="A6" i="43"/>
  <c r="B6" i="43"/>
  <c r="A7" i="43"/>
  <c r="B7" i="43"/>
  <c r="A8" i="43"/>
  <c r="B8" i="43"/>
  <c r="A9" i="43"/>
  <c r="B9" i="43"/>
  <c r="A10" i="43"/>
  <c r="B10" i="43"/>
  <c r="A11" i="43"/>
  <c r="B11" i="43"/>
  <c r="A12" i="43"/>
  <c r="B12" i="43"/>
  <c r="A13" i="43"/>
  <c r="B13" i="43"/>
  <c r="A14" i="43"/>
  <c r="B14" i="43"/>
  <c r="A15" i="43"/>
  <c r="B15" i="43"/>
  <c r="A16" i="43"/>
  <c r="B16" i="43"/>
  <c r="A17" i="43"/>
  <c r="B17" i="43"/>
  <c r="A18" i="43"/>
  <c r="B18" i="43"/>
  <c r="A19" i="43"/>
  <c r="B19" i="43"/>
  <c r="A20" i="43"/>
  <c r="B20" i="43"/>
  <c r="A21" i="43"/>
  <c r="B21" i="43"/>
  <c r="A22" i="43"/>
  <c r="B22" i="43"/>
  <c r="A23" i="43"/>
  <c r="B23" i="43"/>
  <c r="A24" i="43"/>
  <c r="B24" i="43"/>
  <c r="A25" i="43"/>
  <c r="B25" i="43"/>
  <c r="A26" i="43"/>
  <c r="B26" i="43"/>
  <c r="A27" i="43"/>
  <c r="B27" i="43"/>
  <c r="A28" i="43"/>
  <c r="B28" i="43"/>
  <c r="A29" i="43"/>
  <c r="B29" i="43"/>
  <c r="A30" i="43"/>
  <c r="B30" i="43"/>
  <c r="A31" i="43"/>
  <c r="B31" i="43"/>
  <c r="A32" i="43"/>
  <c r="B32" i="43"/>
  <c r="A33" i="43"/>
  <c r="B33" i="43"/>
  <c r="A34" i="43"/>
  <c r="B34" i="43"/>
  <c r="A35" i="43"/>
  <c r="B35" i="43"/>
  <c r="A36" i="43"/>
  <c r="B36" i="43"/>
  <c r="A37" i="43"/>
  <c r="B37" i="43"/>
  <c r="A38" i="43"/>
  <c r="B38" i="43"/>
  <c r="A39" i="43"/>
  <c r="B39" i="43"/>
  <c r="A40" i="43"/>
  <c r="B40" i="43"/>
  <c r="A41" i="43"/>
  <c r="B41" i="43"/>
  <c r="A42" i="43"/>
  <c r="B42" i="43"/>
  <c r="A43" i="43"/>
  <c r="B43" i="43"/>
  <c r="A44" i="43"/>
  <c r="B44" i="43"/>
  <c r="A45" i="43"/>
  <c r="B45" i="43"/>
  <c r="B3" i="43"/>
  <c r="A3" i="43"/>
  <c r="G45" i="11"/>
  <c r="G44" i="11"/>
  <c r="G43" i="11"/>
  <c r="G42" i="11"/>
  <c r="F41" i="11"/>
  <c r="G40" i="11"/>
  <c r="G39" i="11"/>
  <c r="G38" i="11"/>
  <c r="F37" i="11"/>
  <c r="G36" i="11"/>
  <c r="F35" i="11"/>
  <c r="G34" i="11"/>
  <c r="G33" i="11"/>
  <c r="G32" i="11"/>
  <c r="G31" i="11"/>
  <c r="G30" i="11"/>
  <c r="F30" i="11"/>
  <c r="F29" i="11"/>
  <c r="G28" i="11"/>
  <c r="F27" i="11"/>
  <c r="G26" i="11"/>
  <c r="F26" i="11"/>
  <c r="G25" i="11"/>
  <c r="F25" i="11"/>
  <c r="G24" i="11"/>
  <c r="G23" i="11"/>
  <c r="G22" i="11"/>
  <c r="F22" i="11"/>
  <c r="G21" i="11"/>
  <c r="G20" i="11"/>
  <c r="F19" i="11"/>
  <c r="G18" i="11"/>
  <c r="G17" i="11"/>
  <c r="G16" i="11"/>
  <c r="G15" i="11"/>
  <c r="G14" i="11"/>
  <c r="G12" i="11"/>
  <c r="F11" i="11"/>
  <c r="G10" i="11"/>
  <c r="G9" i="11"/>
  <c r="G8" i="11"/>
  <c r="G7" i="11"/>
  <c r="G6" i="11"/>
  <c r="F6" i="11"/>
  <c r="G5" i="11"/>
  <c r="I2" i="15" l="1"/>
  <c r="H2" i="15"/>
  <c r="F8" i="11"/>
  <c r="G13" i="11"/>
  <c r="G46" i="11"/>
  <c r="F32" i="11"/>
  <c r="F44" i="11"/>
  <c r="F9" i="11"/>
  <c r="F42" i="11"/>
  <c r="F13" i="11"/>
  <c r="F5" i="11"/>
  <c r="F21" i="11"/>
  <c r="F46" i="11"/>
  <c r="F24" i="11"/>
  <c r="F38" i="11"/>
  <c r="G29" i="11"/>
  <c r="G4" i="11"/>
  <c r="F10" i="11"/>
  <c r="F4" i="11"/>
  <c r="G19" i="11"/>
  <c r="G27" i="11"/>
  <c r="F17" i="11" l="1"/>
  <c r="F3" i="11"/>
  <c r="F34" i="11"/>
  <c r="F28" i="11"/>
  <c r="F7" i="11"/>
  <c r="F20" i="11"/>
  <c r="F18" i="11"/>
  <c r="F16" i="11"/>
  <c r="F45" i="11"/>
  <c r="F14" i="11"/>
  <c r="F43" i="11"/>
  <c r="G41" i="11"/>
  <c r="F12" i="11"/>
  <c r="F40" i="11"/>
  <c r="F39" i="11"/>
  <c r="G37" i="11"/>
  <c r="G11" i="11"/>
  <c r="F31" i="11"/>
  <c r="F36" i="11"/>
  <c r="F33" i="11"/>
  <c r="F23" i="11"/>
  <c r="G35" i="11"/>
  <c r="G3" i="11"/>
  <c r="F15" i="11"/>
  <c r="I49" i="43" l="1"/>
  <c r="C48" i="41" l="1"/>
  <c r="B48" i="41"/>
  <c r="A48" i="41"/>
  <c r="C47" i="41"/>
  <c r="B47" i="41"/>
  <c r="A47" i="41"/>
  <c r="H47" i="41"/>
  <c r="H48" i="41"/>
  <c r="C48" i="40"/>
  <c r="B48" i="40"/>
  <c r="A48" i="40"/>
  <c r="C47" i="40"/>
  <c r="B47" i="40"/>
  <c r="A47" i="40"/>
  <c r="H47" i="40"/>
  <c r="H48" i="40"/>
  <c r="C48" i="39"/>
  <c r="B48" i="39"/>
  <c r="A48" i="39"/>
  <c r="C47" i="39"/>
  <c r="B47" i="39"/>
  <c r="A47" i="39"/>
  <c r="H47" i="39"/>
  <c r="H48" i="39"/>
  <c r="C48" i="38"/>
  <c r="B48" i="38"/>
  <c r="A48" i="38"/>
  <c r="C47" i="38"/>
  <c r="B47" i="38"/>
  <c r="A47" i="38"/>
  <c r="C48" i="37"/>
  <c r="B48" i="37"/>
  <c r="A48" i="37"/>
  <c r="C47" i="37"/>
  <c r="B47" i="37"/>
  <c r="A47" i="37"/>
  <c r="C48" i="36"/>
  <c r="B48" i="36"/>
  <c r="A48" i="36"/>
  <c r="C47" i="36"/>
  <c r="B47" i="36"/>
  <c r="A47" i="36"/>
  <c r="H47" i="36"/>
  <c r="C48" i="35"/>
  <c r="B48" i="35"/>
  <c r="A48" i="35"/>
  <c r="C47" i="35"/>
  <c r="B47" i="35"/>
  <c r="A47" i="35"/>
  <c r="C48" i="34"/>
  <c r="B48" i="34"/>
  <c r="A48" i="34"/>
  <c r="C47" i="34"/>
  <c r="B47" i="34"/>
  <c r="A47" i="34"/>
  <c r="H48" i="34"/>
  <c r="C48" i="33"/>
  <c r="B48" i="33"/>
  <c r="A48" i="33"/>
  <c r="C47" i="33"/>
  <c r="B47" i="33"/>
  <c r="A47" i="33"/>
  <c r="H47" i="33"/>
  <c r="H48" i="33"/>
  <c r="C48" i="32"/>
  <c r="B48" i="32"/>
  <c r="A48" i="32"/>
  <c r="C47" i="32"/>
  <c r="B47" i="32"/>
  <c r="A47" i="32"/>
  <c r="H47" i="32"/>
  <c r="H48" i="32"/>
  <c r="C48" i="31"/>
  <c r="B48" i="31"/>
  <c r="A48" i="31"/>
  <c r="C47" i="31"/>
  <c r="B47" i="31"/>
  <c r="A47" i="31"/>
  <c r="H47" i="31"/>
  <c r="C48" i="30"/>
  <c r="B48" i="30"/>
  <c r="A48" i="30"/>
  <c r="C47" i="30"/>
  <c r="B47" i="30"/>
  <c r="A47" i="30"/>
  <c r="C48" i="29"/>
  <c r="B48" i="29"/>
  <c r="A48" i="29"/>
  <c r="C47" i="29"/>
  <c r="B47" i="29"/>
  <c r="A47" i="29"/>
  <c r="H47" i="29"/>
  <c r="H48" i="29"/>
  <c r="C48" i="28"/>
  <c r="B48" i="28"/>
  <c r="A48" i="28"/>
  <c r="C47" i="28"/>
  <c r="B47" i="28"/>
  <c r="A47" i="28"/>
  <c r="H48" i="28"/>
  <c r="C48" i="26"/>
  <c r="B48" i="26"/>
  <c r="A48" i="26"/>
  <c r="C47" i="26"/>
  <c r="B47" i="26"/>
  <c r="A47" i="26"/>
  <c r="H47" i="26"/>
  <c r="H48" i="26"/>
  <c r="C48" i="25"/>
  <c r="B48" i="25"/>
  <c r="A48" i="25"/>
  <c r="C47" i="25"/>
  <c r="B47" i="25"/>
  <c r="A47" i="25"/>
  <c r="H47" i="25"/>
  <c r="H48" i="25"/>
  <c r="C48" i="24"/>
  <c r="B48" i="24"/>
  <c r="A48" i="24"/>
  <c r="C47" i="24"/>
  <c r="B47" i="24"/>
  <c r="A47" i="24"/>
  <c r="H48" i="24"/>
  <c r="C48" i="23"/>
  <c r="B48" i="23"/>
  <c r="A48" i="23"/>
  <c r="C47" i="23"/>
  <c r="B47" i="23"/>
  <c r="A47" i="23"/>
  <c r="H47" i="23"/>
  <c r="H48" i="23"/>
  <c r="C48" i="22"/>
  <c r="B48" i="22"/>
  <c r="A48" i="22"/>
  <c r="C47" i="22"/>
  <c r="B47" i="22"/>
  <c r="A47" i="22"/>
  <c r="H47" i="22"/>
  <c r="H48" i="22"/>
  <c r="C48" i="21"/>
  <c r="B48" i="21"/>
  <c r="A48" i="21"/>
  <c r="C47" i="21"/>
  <c r="B47" i="21"/>
  <c r="A47" i="21"/>
  <c r="B47" i="17"/>
  <c r="C47" i="17"/>
  <c r="H47" i="17"/>
  <c r="B48" i="17"/>
  <c r="C48" i="17"/>
  <c r="H48" i="17"/>
  <c r="C48" i="14"/>
  <c r="B48" i="14"/>
  <c r="A48" i="14"/>
  <c r="C47" i="14"/>
  <c r="B47" i="14"/>
  <c r="A47" i="14"/>
  <c r="H47" i="14"/>
  <c r="H48" i="14"/>
  <c r="C48" i="8"/>
  <c r="B48" i="8"/>
  <c r="A48" i="8"/>
  <c r="C47" i="8"/>
  <c r="B47" i="8"/>
  <c r="A47" i="8"/>
  <c r="H48" i="8"/>
  <c r="C48" i="7"/>
  <c r="B48" i="7"/>
  <c r="A48" i="7"/>
  <c r="C47" i="7"/>
  <c r="B47" i="7"/>
  <c r="A47" i="7"/>
  <c r="H47" i="7"/>
  <c r="C48" i="6"/>
  <c r="B48" i="6"/>
  <c r="A48" i="6"/>
  <c r="C47" i="6"/>
  <c r="B47" i="6"/>
  <c r="A47" i="6"/>
  <c r="C48" i="5"/>
  <c r="B48" i="5"/>
  <c r="A48" i="5"/>
  <c r="C47" i="5"/>
  <c r="B47" i="5"/>
  <c r="A47" i="5"/>
  <c r="H47" i="5"/>
  <c r="C48" i="4"/>
  <c r="B48" i="4"/>
  <c r="A48" i="4"/>
  <c r="C47" i="4"/>
  <c r="B47" i="4"/>
  <c r="A47" i="4"/>
  <c r="H47" i="4"/>
  <c r="C48" i="3"/>
  <c r="B48" i="3"/>
  <c r="A48" i="3"/>
  <c r="C47" i="3"/>
  <c r="B47" i="3"/>
  <c r="A47" i="3"/>
  <c r="H48" i="3"/>
  <c r="B49" i="2"/>
  <c r="A49" i="2"/>
  <c r="C48" i="2"/>
  <c r="B48" i="2"/>
  <c r="A48" i="2"/>
  <c r="C47" i="2"/>
  <c r="B47" i="2"/>
  <c r="A47" i="2"/>
  <c r="H47" i="2"/>
  <c r="H48" i="2"/>
  <c r="B49" i="1"/>
  <c r="A49" i="1"/>
  <c r="C48" i="1"/>
  <c r="B48" i="1"/>
  <c r="A48" i="1"/>
  <c r="C47" i="1"/>
  <c r="B47" i="1"/>
  <c r="A47" i="1"/>
  <c r="C48" i="44"/>
  <c r="B48" i="44"/>
  <c r="A48" i="44"/>
  <c r="C47" i="44"/>
  <c r="B47" i="44"/>
  <c r="A47" i="44"/>
  <c r="C46" i="44"/>
  <c r="B46" i="44"/>
  <c r="A46" i="44"/>
  <c r="C45" i="44"/>
  <c r="B45" i="44"/>
  <c r="A45" i="44"/>
  <c r="C44" i="44"/>
  <c r="B44" i="44"/>
  <c r="A44" i="44"/>
  <c r="C43" i="44"/>
  <c r="B43" i="44"/>
  <c r="A43" i="44"/>
  <c r="C48" i="9"/>
  <c r="B48" i="9"/>
  <c r="A48" i="9"/>
  <c r="C47" i="9"/>
  <c r="B47" i="9"/>
  <c r="A47" i="9"/>
  <c r="C46" i="9"/>
  <c r="B46" i="9"/>
  <c r="A46" i="9"/>
  <c r="C45" i="9"/>
  <c r="B45" i="9"/>
  <c r="A45" i="9"/>
  <c r="C44" i="9"/>
  <c r="B44" i="9"/>
  <c r="A44" i="9"/>
  <c r="C48" i="10"/>
  <c r="B48" i="10"/>
  <c r="A48" i="10"/>
  <c r="C47" i="10"/>
  <c r="B47" i="10"/>
  <c r="A47" i="10"/>
  <c r="C46" i="10"/>
  <c r="B46" i="10"/>
  <c r="A46" i="10"/>
  <c r="C45" i="10"/>
  <c r="B45" i="10"/>
  <c r="A45" i="10"/>
  <c r="C44" i="10"/>
  <c r="B44" i="10"/>
  <c r="A44" i="10"/>
  <c r="B49" i="11"/>
  <c r="A49" i="11"/>
  <c r="C48" i="11"/>
  <c r="B48" i="11"/>
  <c r="A48" i="11"/>
  <c r="C47" i="11"/>
  <c r="B47" i="11"/>
  <c r="A47" i="11"/>
  <c r="C46" i="11"/>
  <c r="B46" i="11"/>
  <c r="A46" i="11"/>
  <c r="C45" i="11"/>
  <c r="B45" i="11"/>
  <c r="A45" i="11"/>
  <c r="C44" i="11"/>
  <c r="B44" i="11"/>
  <c r="A44" i="11"/>
  <c r="C43" i="11"/>
  <c r="B43" i="11"/>
  <c r="A43" i="11"/>
  <c r="H48" i="44"/>
  <c r="B41" i="44"/>
  <c r="G47" i="10"/>
  <c r="H47" i="10"/>
  <c r="G48" i="10"/>
  <c r="F48" i="10"/>
  <c r="F48" i="9" s="1"/>
  <c r="F48" i="44" s="1"/>
  <c r="F47" i="10"/>
  <c r="F47" i="9" s="1"/>
  <c r="F47" i="44" s="1"/>
  <c r="F47" i="1"/>
  <c r="G47" i="1"/>
  <c r="G47" i="2" s="1"/>
  <c r="G47" i="3" s="1"/>
  <c r="G47" i="4" s="1"/>
  <c r="G47" i="5" s="1"/>
  <c r="G47" i="6" s="1"/>
  <c r="G47" i="7" s="1"/>
  <c r="H47" i="1"/>
  <c r="F48" i="1"/>
  <c r="G48" i="1"/>
  <c r="G48" i="2" s="1"/>
  <c r="H48" i="1"/>
  <c r="I47" i="1" l="1"/>
  <c r="I48" i="1"/>
  <c r="I48" i="10"/>
  <c r="G48" i="9"/>
  <c r="G48" i="44" s="1"/>
  <c r="I48" i="44" s="1"/>
  <c r="G47" i="8"/>
  <c r="G47" i="14" s="1"/>
  <c r="G47" i="17" s="1"/>
  <c r="G47" i="21" s="1"/>
  <c r="G47" i="22" s="1"/>
  <c r="G47" i="23" s="1"/>
  <c r="G47" i="24" s="1"/>
  <c r="F48" i="2"/>
  <c r="F48" i="3" s="1"/>
  <c r="F48" i="4" s="1"/>
  <c r="F48" i="5" s="1"/>
  <c r="F48" i="6" s="1"/>
  <c r="F48" i="7" s="1"/>
  <c r="F48" i="8" s="1"/>
  <c r="I47" i="10"/>
  <c r="G47" i="9"/>
  <c r="G47" i="44" s="1"/>
  <c r="I47" i="44" s="1"/>
  <c r="F47" i="2"/>
  <c r="H47" i="38"/>
  <c r="H48" i="38"/>
  <c r="H47" i="37"/>
  <c r="H48" i="37"/>
  <c r="H48" i="36"/>
  <c r="H47" i="35"/>
  <c r="H48" i="35"/>
  <c r="H47" i="34"/>
  <c r="H48" i="31"/>
  <c r="H47" i="30"/>
  <c r="H48" i="30"/>
  <c r="H47" i="28"/>
  <c r="H47" i="24"/>
  <c r="H47" i="21"/>
  <c r="H48" i="21"/>
  <c r="H47" i="8"/>
  <c r="H48" i="7"/>
  <c r="H47" i="44"/>
  <c r="H47" i="6"/>
  <c r="H48" i="6"/>
  <c r="H48" i="5"/>
  <c r="H48" i="4"/>
  <c r="H47" i="3"/>
  <c r="G48" i="3"/>
  <c r="H47" i="9"/>
  <c r="H48" i="9"/>
  <c r="H48" i="10"/>
  <c r="I48" i="2" l="1"/>
  <c r="I48" i="9"/>
  <c r="F48" i="14"/>
  <c r="G47" i="25"/>
  <c r="G47" i="26" s="1"/>
  <c r="G47" i="28" s="1"/>
  <c r="G47" i="29" s="1"/>
  <c r="G47" i="30" s="1"/>
  <c r="I47" i="9"/>
  <c r="I47" i="2"/>
  <c r="F47" i="3"/>
  <c r="I48" i="3"/>
  <c r="G48" i="4"/>
  <c r="F47" i="4" l="1"/>
  <c r="I47" i="3"/>
  <c r="F48" i="17"/>
  <c r="G47" i="31"/>
  <c r="I48" i="4"/>
  <c r="G48" i="5"/>
  <c r="G47" i="32" l="1"/>
  <c r="G47" i="33" s="1"/>
  <c r="F48" i="21"/>
  <c r="I48" i="5"/>
  <c r="G48" i="6"/>
  <c r="F47" i="5"/>
  <c r="I47" i="4"/>
  <c r="H47" i="13"/>
  <c r="H48" i="13"/>
  <c r="G48" i="7" l="1"/>
  <c r="I48" i="6"/>
  <c r="F48" i="22"/>
  <c r="G47" i="34"/>
  <c r="F47" i="6"/>
  <c r="I47" i="5"/>
  <c r="G47" i="35" l="1"/>
  <c r="F48" i="23"/>
  <c r="F47" i="7"/>
  <c r="I47" i="6"/>
  <c r="G48" i="8"/>
  <c r="I48" i="7"/>
  <c r="I5" i="15"/>
  <c r="I3" i="15"/>
  <c r="H3" i="15"/>
  <c r="K2" i="15"/>
  <c r="H11" i="15" s="1"/>
  <c r="E13" i="15"/>
  <c r="E12" i="15"/>
  <c r="F11" i="15"/>
  <c r="E11" i="15"/>
  <c r="E9" i="15"/>
  <c r="E8" i="15"/>
  <c r="F7" i="15"/>
  <c r="E7" i="15"/>
  <c r="F5" i="15"/>
  <c r="E5" i="15"/>
  <c r="C17" i="15"/>
  <c r="B17" i="15"/>
  <c r="C15" i="15"/>
  <c r="B15" i="15"/>
  <c r="B13" i="15"/>
  <c r="C12" i="15"/>
  <c r="B11" i="15"/>
  <c r="C10" i="15"/>
  <c r="B9" i="15"/>
  <c r="C8" i="15"/>
  <c r="C6" i="15"/>
  <c r="C4" i="15"/>
  <c r="B4" i="15"/>
  <c r="C2" i="15"/>
  <c r="C46" i="41"/>
  <c r="B46" i="41"/>
  <c r="A46" i="41"/>
  <c r="C45" i="41"/>
  <c r="B45" i="41"/>
  <c r="A45" i="41"/>
  <c r="C44" i="41"/>
  <c r="B44" i="41"/>
  <c r="A44" i="41"/>
  <c r="C43" i="41"/>
  <c r="B43" i="41"/>
  <c r="A43" i="41"/>
  <c r="C42" i="41"/>
  <c r="B42" i="41"/>
  <c r="A42" i="41"/>
  <c r="C41" i="41"/>
  <c r="B41" i="41"/>
  <c r="A41" i="41"/>
  <c r="C40" i="41"/>
  <c r="B40" i="41"/>
  <c r="A40" i="41"/>
  <c r="C39" i="41"/>
  <c r="B39" i="41"/>
  <c r="A39" i="41"/>
  <c r="C38" i="41"/>
  <c r="B38" i="41"/>
  <c r="A38" i="41"/>
  <c r="C37" i="41"/>
  <c r="B37" i="41"/>
  <c r="A37" i="41"/>
  <c r="C36" i="41"/>
  <c r="B36" i="41"/>
  <c r="A36" i="41"/>
  <c r="H46" i="41"/>
  <c r="C46" i="40"/>
  <c r="B46" i="40"/>
  <c r="A46" i="40"/>
  <c r="C45" i="40"/>
  <c r="B45" i="40"/>
  <c r="A45" i="40"/>
  <c r="C44" i="40"/>
  <c r="B44" i="40"/>
  <c r="A44" i="40"/>
  <c r="C43" i="40"/>
  <c r="B43" i="40"/>
  <c r="A43" i="40"/>
  <c r="C42" i="40"/>
  <c r="B42" i="40"/>
  <c r="A42" i="40"/>
  <c r="C41" i="40"/>
  <c r="B41" i="40"/>
  <c r="A41" i="40"/>
  <c r="C40" i="40"/>
  <c r="B40" i="40"/>
  <c r="A40" i="40"/>
  <c r="C39" i="40"/>
  <c r="B39" i="40"/>
  <c r="A39" i="40"/>
  <c r="C38" i="40"/>
  <c r="B38" i="40"/>
  <c r="A38" i="40"/>
  <c r="H46" i="40"/>
  <c r="C46" i="39"/>
  <c r="B46" i="39"/>
  <c r="A46" i="39"/>
  <c r="C45" i="39"/>
  <c r="B45" i="39"/>
  <c r="A45" i="39"/>
  <c r="C44" i="39"/>
  <c r="B44" i="39"/>
  <c r="A44" i="39"/>
  <c r="C43" i="39"/>
  <c r="B43" i="39"/>
  <c r="A43" i="39"/>
  <c r="C42" i="39"/>
  <c r="B42" i="39"/>
  <c r="A42" i="39"/>
  <c r="C41" i="39"/>
  <c r="B41" i="39"/>
  <c r="A41" i="39"/>
  <c r="C40" i="39"/>
  <c r="B40" i="39"/>
  <c r="A40" i="39"/>
  <c r="C39" i="39"/>
  <c r="B39" i="39"/>
  <c r="A39" i="39"/>
  <c r="C38" i="39"/>
  <c r="B38" i="39"/>
  <c r="A38" i="39"/>
  <c r="C37" i="39"/>
  <c r="B37" i="39"/>
  <c r="A37" i="39"/>
  <c r="C36" i="39"/>
  <c r="B36" i="39"/>
  <c r="A36" i="39"/>
  <c r="C35" i="39"/>
  <c r="B35" i="39"/>
  <c r="A35" i="39"/>
  <c r="C34" i="39"/>
  <c r="B34" i="39"/>
  <c r="A34" i="39"/>
  <c r="H46" i="39"/>
  <c r="C46" i="38"/>
  <c r="B46" i="38"/>
  <c r="A46" i="38"/>
  <c r="C45" i="38"/>
  <c r="B45" i="38"/>
  <c r="A45" i="38"/>
  <c r="C44" i="38"/>
  <c r="B44" i="38"/>
  <c r="A44" i="38"/>
  <c r="C43" i="38"/>
  <c r="B43" i="38"/>
  <c r="A43" i="38"/>
  <c r="C42" i="38"/>
  <c r="B42" i="38"/>
  <c r="A42" i="38"/>
  <c r="C41" i="38"/>
  <c r="B41" i="38"/>
  <c r="A41" i="38"/>
  <c r="C40" i="38"/>
  <c r="B40" i="38"/>
  <c r="A40" i="38"/>
  <c r="C39" i="38"/>
  <c r="B39" i="38"/>
  <c r="A39" i="38"/>
  <c r="C38" i="38"/>
  <c r="B38" i="38"/>
  <c r="A38" i="38"/>
  <c r="C37" i="38"/>
  <c r="B37" i="38"/>
  <c r="A37" i="38"/>
  <c r="C36" i="38"/>
  <c r="B36" i="38"/>
  <c r="A36" i="38"/>
  <c r="H46" i="38"/>
  <c r="C46" i="37"/>
  <c r="B46" i="37"/>
  <c r="A46" i="37"/>
  <c r="C45" i="37"/>
  <c r="B45" i="37"/>
  <c r="A45" i="37"/>
  <c r="C44" i="37"/>
  <c r="B44" i="37"/>
  <c r="A44" i="37"/>
  <c r="C43" i="37"/>
  <c r="B43" i="37"/>
  <c r="A43" i="37"/>
  <c r="C42" i="37"/>
  <c r="B42" i="37"/>
  <c r="A42" i="37"/>
  <c r="C41" i="37"/>
  <c r="B41" i="37"/>
  <c r="A41" i="37"/>
  <c r="C40" i="37"/>
  <c r="B40" i="37"/>
  <c r="A40" i="37"/>
  <c r="C39" i="37"/>
  <c r="B39" i="37"/>
  <c r="A39" i="37"/>
  <c r="C38" i="37"/>
  <c r="B38" i="37"/>
  <c r="A38" i="37"/>
  <c r="C37" i="37"/>
  <c r="B37" i="37"/>
  <c r="A37" i="37"/>
  <c r="C36" i="37"/>
  <c r="B36" i="37"/>
  <c r="A36" i="37"/>
  <c r="C35" i="37"/>
  <c r="B35" i="37"/>
  <c r="A35" i="37"/>
  <c r="H46" i="37"/>
  <c r="C46" i="36"/>
  <c r="B46" i="36"/>
  <c r="A46" i="36"/>
  <c r="C45" i="36"/>
  <c r="B45" i="36"/>
  <c r="A45" i="36"/>
  <c r="C44" i="36"/>
  <c r="B44" i="36"/>
  <c r="A44" i="36"/>
  <c r="C43" i="36"/>
  <c r="B43" i="36"/>
  <c r="A43" i="36"/>
  <c r="C42" i="36"/>
  <c r="B42" i="36"/>
  <c r="A42" i="36"/>
  <c r="C41" i="36"/>
  <c r="B41" i="36"/>
  <c r="A41" i="36"/>
  <c r="C40" i="36"/>
  <c r="B40" i="36"/>
  <c r="A40" i="36"/>
  <c r="C39" i="36"/>
  <c r="B39" i="36"/>
  <c r="A39" i="36"/>
  <c r="C38" i="36"/>
  <c r="B38" i="36"/>
  <c r="A38" i="36"/>
  <c r="C37" i="36"/>
  <c r="B37" i="36"/>
  <c r="A37" i="36"/>
  <c r="C36" i="36"/>
  <c r="B36" i="36"/>
  <c r="A36" i="36"/>
  <c r="C35" i="36"/>
  <c r="B35" i="36"/>
  <c r="A35" i="36"/>
  <c r="H46" i="36"/>
  <c r="C46" i="35"/>
  <c r="B46" i="35"/>
  <c r="A46" i="35"/>
  <c r="C45" i="35"/>
  <c r="B45" i="35"/>
  <c r="A45" i="35"/>
  <c r="C44" i="35"/>
  <c r="B44" i="35"/>
  <c r="A44" i="35"/>
  <c r="C43" i="35"/>
  <c r="B43" i="35"/>
  <c r="A43" i="35"/>
  <c r="C42" i="35"/>
  <c r="B42" i="35"/>
  <c r="A42" i="35"/>
  <c r="C41" i="35"/>
  <c r="B41" i="35"/>
  <c r="A41" i="35"/>
  <c r="C40" i="35"/>
  <c r="B40" i="35"/>
  <c r="A40" i="35"/>
  <c r="C39" i="35"/>
  <c r="B39" i="35"/>
  <c r="A39" i="35"/>
  <c r="H46" i="35"/>
  <c r="C46" i="34"/>
  <c r="B46" i="34"/>
  <c r="A46" i="34"/>
  <c r="C45" i="34"/>
  <c r="B45" i="34"/>
  <c r="A45" i="34"/>
  <c r="C44" i="34"/>
  <c r="B44" i="34"/>
  <c r="A44" i="34"/>
  <c r="C43" i="34"/>
  <c r="B43" i="34"/>
  <c r="A43" i="34"/>
  <c r="C42" i="34"/>
  <c r="B42" i="34"/>
  <c r="A42" i="34"/>
  <c r="C41" i="34"/>
  <c r="B41" i="34"/>
  <c r="A41" i="34"/>
  <c r="C40" i="34"/>
  <c r="B40" i="34"/>
  <c r="A40" i="34"/>
  <c r="C39" i="34"/>
  <c r="B39" i="34"/>
  <c r="A39" i="34"/>
  <c r="H46" i="34"/>
  <c r="C46" i="33"/>
  <c r="B46" i="33"/>
  <c r="A46" i="33"/>
  <c r="C45" i="33"/>
  <c r="B45" i="33"/>
  <c r="A45" i="33"/>
  <c r="C44" i="33"/>
  <c r="B44" i="33"/>
  <c r="A44" i="33"/>
  <c r="C43" i="33"/>
  <c r="B43" i="33"/>
  <c r="A43" i="33"/>
  <c r="C42" i="33"/>
  <c r="B42" i="33"/>
  <c r="A42" i="33"/>
  <c r="C41" i="33"/>
  <c r="B41" i="33"/>
  <c r="A41" i="33"/>
  <c r="C40" i="33"/>
  <c r="B40" i="33"/>
  <c r="A40" i="33"/>
  <c r="C39" i="33"/>
  <c r="B39" i="33"/>
  <c r="A39" i="33"/>
  <c r="C46" i="32"/>
  <c r="B46" i="32"/>
  <c r="A46" i="32"/>
  <c r="C45" i="32"/>
  <c r="B45" i="32"/>
  <c r="A45" i="32"/>
  <c r="C44" i="32"/>
  <c r="B44" i="32"/>
  <c r="A44" i="32"/>
  <c r="C43" i="32"/>
  <c r="B43" i="32"/>
  <c r="A43" i="32"/>
  <c r="C42" i="32"/>
  <c r="B42" i="32"/>
  <c r="A42" i="32"/>
  <c r="C41" i="32"/>
  <c r="B41" i="32"/>
  <c r="A41" i="32"/>
  <c r="C40" i="32"/>
  <c r="B40" i="32"/>
  <c r="A40" i="32"/>
  <c r="C39" i="32"/>
  <c r="B39" i="32"/>
  <c r="A39" i="32"/>
  <c r="C38" i="32"/>
  <c r="B38" i="32"/>
  <c r="A38" i="32"/>
  <c r="C37" i="32"/>
  <c r="B37" i="32"/>
  <c r="A37" i="32"/>
  <c r="C36" i="32"/>
  <c r="B36" i="32"/>
  <c r="A36" i="32"/>
  <c r="C35" i="32"/>
  <c r="B35" i="32"/>
  <c r="A35" i="32"/>
  <c r="C34" i="32"/>
  <c r="B34" i="32"/>
  <c r="A34" i="32"/>
  <c r="C46" i="31"/>
  <c r="B46" i="31"/>
  <c r="A46" i="31"/>
  <c r="C45" i="31"/>
  <c r="B45" i="31"/>
  <c r="A45" i="31"/>
  <c r="C44" i="31"/>
  <c r="B44" i="31"/>
  <c r="A44" i="31"/>
  <c r="C43" i="31"/>
  <c r="B43" i="31"/>
  <c r="A43" i="31"/>
  <c r="C42" i="31"/>
  <c r="B42" i="31"/>
  <c r="A42" i="31"/>
  <c r="C41" i="31"/>
  <c r="B41" i="31"/>
  <c r="A41" i="31"/>
  <c r="C40" i="31"/>
  <c r="B40" i="31"/>
  <c r="A40" i="31"/>
  <c r="C39" i="31"/>
  <c r="B39" i="31"/>
  <c r="A39" i="31"/>
  <c r="C38" i="31"/>
  <c r="B38" i="31"/>
  <c r="A38" i="31"/>
  <c r="C37" i="31"/>
  <c r="B37" i="31"/>
  <c r="A37" i="31"/>
  <c r="H46" i="31"/>
  <c r="C46" i="30"/>
  <c r="B46" i="30"/>
  <c r="A46" i="30"/>
  <c r="C45" i="30"/>
  <c r="B45" i="30"/>
  <c r="A45" i="30"/>
  <c r="C44" i="30"/>
  <c r="B44" i="30"/>
  <c r="A44" i="30"/>
  <c r="C43" i="30"/>
  <c r="B43" i="30"/>
  <c r="A43" i="30"/>
  <c r="C42" i="30"/>
  <c r="B42" i="30"/>
  <c r="A42" i="30"/>
  <c r="C41" i="30"/>
  <c r="B41" i="30"/>
  <c r="A41" i="30"/>
  <c r="C40" i="30"/>
  <c r="B40" i="30"/>
  <c r="A40" i="30"/>
  <c r="C39" i="30"/>
  <c r="B39" i="30"/>
  <c r="A39" i="30"/>
  <c r="C38" i="30"/>
  <c r="B38" i="30"/>
  <c r="A38" i="30"/>
  <c r="C37" i="30"/>
  <c r="B37" i="30"/>
  <c r="A37" i="30"/>
  <c r="C46" i="29"/>
  <c r="B46" i="29"/>
  <c r="A46" i="29"/>
  <c r="C45" i="29"/>
  <c r="B45" i="29"/>
  <c r="A45" i="29"/>
  <c r="C44" i="29"/>
  <c r="B44" i="29"/>
  <c r="A44" i="29"/>
  <c r="C43" i="29"/>
  <c r="B43" i="29"/>
  <c r="A43" i="29"/>
  <c r="C42" i="29"/>
  <c r="B42" i="29"/>
  <c r="A42" i="29"/>
  <c r="C41" i="29"/>
  <c r="B41" i="29"/>
  <c r="A41" i="29"/>
  <c r="C40" i="29"/>
  <c r="B40" i="29"/>
  <c r="A40" i="29"/>
  <c r="C39" i="29"/>
  <c r="B39" i="29"/>
  <c r="A39" i="29"/>
  <c r="C38" i="29"/>
  <c r="B38" i="29"/>
  <c r="A38" i="29"/>
  <c r="C46" i="28"/>
  <c r="B46" i="28"/>
  <c r="A46" i="28"/>
  <c r="C45" i="28"/>
  <c r="B45" i="28"/>
  <c r="A45" i="28"/>
  <c r="C44" i="28"/>
  <c r="B44" i="28"/>
  <c r="A44" i="28"/>
  <c r="C43" i="28"/>
  <c r="B43" i="28"/>
  <c r="A43" i="28"/>
  <c r="C42" i="28"/>
  <c r="B42" i="28"/>
  <c r="A42" i="28"/>
  <c r="C41" i="28"/>
  <c r="B41" i="28"/>
  <c r="A41" i="28"/>
  <c r="C40" i="28"/>
  <c r="B40" i="28"/>
  <c r="A40" i="28"/>
  <c r="C39" i="28"/>
  <c r="B39" i="28"/>
  <c r="A39" i="28"/>
  <c r="C38" i="28"/>
  <c r="B38" i="28"/>
  <c r="A38" i="28"/>
  <c r="H46" i="28"/>
  <c r="C46" i="26"/>
  <c r="B46" i="26"/>
  <c r="A46" i="26"/>
  <c r="C45" i="26"/>
  <c r="B45" i="26"/>
  <c r="A45" i="26"/>
  <c r="C44" i="26"/>
  <c r="B44" i="26"/>
  <c r="A44" i="26"/>
  <c r="C43" i="26"/>
  <c r="B43" i="26"/>
  <c r="A43" i="26"/>
  <c r="C42" i="26"/>
  <c r="B42" i="26"/>
  <c r="A42" i="26"/>
  <c r="C41" i="26"/>
  <c r="B41" i="26"/>
  <c r="A41" i="26"/>
  <c r="C40" i="26"/>
  <c r="B40" i="26"/>
  <c r="A40" i="26"/>
  <c r="C39" i="26"/>
  <c r="B39" i="26"/>
  <c r="A39" i="26"/>
  <c r="C38" i="26"/>
  <c r="B38" i="26"/>
  <c r="A38" i="26"/>
  <c r="C37" i="26"/>
  <c r="B37" i="26"/>
  <c r="A37" i="26"/>
  <c r="C36" i="26"/>
  <c r="B36" i="26"/>
  <c r="A36" i="26"/>
  <c r="H46" i="26"/>
  <c r="C46" i="25"/>
  <c r="B46" i="25"/>
  <c r="A46" i="25"/>
  <c r="C45" i="25"/>
  <c r="B45" i="25"/>
  <c r="A45" i="25"/>
  <c r="C44" i="25"/>
  <c r="B44" i="25"/>
  <c r="A44" i="25"/>
  <c r="C43" i="25"/>
  <c r="B43" i="25"/>
  <c r="A43" i="25"/>
  <c r="C42" i="25"/>
  <c r="B42" i="25"/>
  <c r="A42" i="25"/>
  <c r="C41" i="25"/>
  <c r="B41" i="25"/>
  <c r="A41" i="25"/>
  <c r="C40" i="25"/>
  <c r="B40" i="25"/>
  <c r="A40" i="25"/>
  <c r="C39" i="25"/>
  <c r="B39" i="25"/>
  <c r="A39" i="25"/>
  <c r="C38" i="25"/>
  <c r="B38" i="25"/>
  <c r="A38" i="25"/>
  <c r="C37" i="25"/>
  <c r="B37" i="25"/>
  <c r="A37" i="25"/>
  <c r="H46" i="25"/>
  <c r="C46" i="24"/>
  <c r="B46" i="24"/>
  <c r="A46" i="24"/>
  <c r="C45" i="24"/>
  <c r="B45" i="24"/>
  <c r="A45" i="24"/>
  <c r="C44" i="24"/>
  <c r="B44" i="24"/>
  <c r="A44" i="24"/>
  <c r="C43" i="24"/>
  <c r="B43" i="24"/>
  <c r="A43" i="24"/>
  <c r="C42" i="24"/>
  <c r="B42" i="24"/>
  <c r="A42" i="24"/>
  <c r="C41" i="24"/>
  <c r="B41" i="24"/>
  <c r="A41" i="24"/>
  <c r="C40" i="24"/>
  <c r="B40" i="24"/>
  <c r="A40" i="24"/>
  <c r="C39" i="24"/>
  <c r="B39" i="24"/>
  <c r="A39" i="24"/>
  <c r="C38" i="24"/>
  <c r="B38" i="24"/>
  <c r="A38" i="24"/>
  <c r="H46" i="24"/>
  <c r="B49" i="23"/>
  <c r="A49" i="23"/>
  <c r="C46" i="23"/>
  <c r="B46" i="23"/>
  <c r="A46" i="23"/>
  <c r="C45" i="23"/>
  <c r="B45" i="23"/>
  <c r="A45" i="23"/>
  <c r="C44" i="23"/>
  <c r="B44" i="23"/>
  <c r="A44" i="23"/>
  <c r="C43" i="23"/>
  <c r="B43" i="23"/>
  <c r="A43" i="23"/>
  <c r="C42" i="23"/>
  <c r="B42" i="23"/>
  <c r="A42" i="23"/>
  <c r="C41" i="23"/>
  <c r="B41" i="23"/>
  <c r="A41" i="23"/>
  <c r="C40" i="23"/>
  <c r="B40" i="23"/>
  <c r="A40" i="23"/>
  <c r="C39" i="23"/>
  <c r="B39" i="23"/>
  <c r="A39" i="23"/>
  <c r="C46" i="22"/>
  <c r="B46" i="22"/>
  <c r="A46" i="22"/>
  <c r="C45" i="22"/>
  <c r="B45" i="22"/>
  <c r="A45" i="22"/>
  <c r="C44" i="22"/>
  <c r="B44" i="22"/>
  <c r="A44" i="22"/>
  <c r="C43" i="22"/>
  <c r="B43" i="22"/>
  <c r="A43" i="22"/>
  <c r="C42" i="22"/>
  <c r="B42" i="22"/>
  <c r="A42" i="22"/>
  <c r="C41" i="22"/>
  <c r="B41" i="22"/>
  <c r="A41" i="22"/>
  <c r="C40" i="22"/>
  <c r="B40" i="22"/>
  <c r="A40" i="22"/>
  <c r="C39" i="22"/>
  <c r="B39" i="22"/>
  <c r="A39" i="22"/>
  <c r="H46" i="22"/>
  <c r="C46" i="21"/>
  <c r="B46" i="21"/>
  <c r="A46" i="21"/>
  <c r="C45" i="21"/>
  <c r="B45" i="21"/>
  <c r="A45" i="21"/>
  <c r="C44" i="21"/>
  <c r="B44" i="21"/>
  <c r="A44" i="21"/>
  <c r="C43" i="21"/>
  <c r="B43" i="21"/>
  <c r="A43" i="21"/>
  <c r="C42" i="21"/>
  <c r="B42" i="21"/>
  <c r="A42" i="21"/>
  <c r="C41" i="21"/>
  <c r="B41" i="21"/>
  <c r="A41" i="21"/>
  <c r="C40" i="21"/>
  <c r="B40" i="21"/>
  <c r="A40" i="21"/>
  <c r="C39" i="21"/>
  <c r="B39" i="21"/>
  <c r="A39" i="21"/>
  <c r="C38" i="21"/>
  <c r="B38" i="21"/>
  <c r="A38" i="21"/>
  <c r="C37" i="21"/>
  <c r="B37" i="21"/>
  <c r="A37" i="21"/>
  <c r="H46" i="21"/>
  <c r="C46" i="17"/>
  <c r="B46" i="17"/>
  <c r="A46" i="17"/>
  <c r="C45" i="17"/>
  <c r="B45" i="17"/>
  <c r="A45" i="17"/>
  <c r="C44" i="17"/>
  <c r="B44" i="17"/>
  <c r="A44" i="17"/>
  <c r="C43" i="17"/>
  <c r="B43" i="17"/>
  <c r="A43" i="17"/>
  <c r="C42" i="17"/>
  <c r="B42" i="17"/>
  <c r="A42" i="17"/>
  <c r="C41" i="17"/>
  <c r="B41" i="17"/>
  <c r="A41" i="17"/>
  <c r="C40" i="17"/>
  <c r="B40" i="17"/>
  <c r="A40" i="17"/>
  <c r="C39" i="17"/>
  <c r="B39" i="17"/>
  <c r="A39" i="17"/>
  <c r="C38" i="17"/>
  <c r="B38" i="17"/>
  <c r="A38" i="17"/>
  <c r="C37" i="17"/>
  <c r="B37" i="17"/>
  <c r="A37" i="17"/>
  <c r="H46" i="17"/>
  <c r="C46" i="14"/>
  <c r="B46" i="14"/>
  <c r="A46" i="14"/>
  <c r="C45" i="14"/>
  <c r="B45" i="14"/>
  <c r="A45" i="14"/>
  <c r="C44" i="14"/>
  <c r="B44" i="14"/>
  <c r="A44" i="14"/>
  <c r="C43" i="14"/>
  <c r="B43" i="14"/>
  <c r="A43" i="14"/>
  <c r="C42" i="14"/>
  <c r="B42" i="14"/>
  <c r="A42" i="14"/>
  <c r="C41" i="14"/>
  <c r="B41" i="14"/>
  <c r="A41" i="14"/>
  <c r="C40" i="14"/>
  <c r="B40" i="14"/>
  <c r="A40" i="14"/>
  <c r="C39" i="14"/>
  <c r="B39" i="14"/>
  <c r="A39" i="14"/>
  <c r="H46" i="14"/>
  <c r="C46" i="8"/>
  <c r="B46" i="8"/>
  <c r="A46" i="8"/>
  <c r="C45" i="8"/>
  <c r="B45" i="8"/>
  <c r="A45" i="8"/>
  <c r="C44" i="8"/>
  <c r="B44" i="8"/>
  <c r="A44" i="8"/>
  <c r="C43" i="8"/>
  <c r="B43" i="8"/>
  <c r="A43" i="8"/>
  <c r="C42" i="8"/>
  <c r="B42" i="8"/>
  <c r="A42" i="8"/>
  <c r="C41" i="8"/>
  <c r="B41" i="8"/>
  <c r="A41" i="8"/>
  <c r="C40" i="8"/>
  <c r="B40" i="8"/>
  <c r="A40" i="8"/>
  <c r="C39" i="8"/>
  <c r="B39" i="8"/>
  <c r="A39" i="8"/>
  <c r="C38" i="8"/>
  <c r="B38" i="8"/>
  <c r="A38" i="8"/>
  <c r="C37" i="8"/>
  <c r="B37" i="8"/>
  <c r="A37" i="8"/>
  <c r="H46" i="8"/>
  <c r="C46" i="7"/>
  <c r="B46" i="7"/>
  <c r="A46" i="7"/>
  <c r="C45" i="7"/>
  <c r="B45" i="7"/>
  <c r="A45" i="7"/>
  <c r="C44" i="7"/>
  <c r="B44" i="7"/>
  <c r="A44" i="7"/>
  <c r="C43" i="7"/>
  <c r="B43" i="7"/>
  <c r="A43" i="7"/>
  <c r="C42" i="7"/>
  <c r="B42" i="7"/>
  <c r="A42" i="7"/>
  <c r="C41" i="7"/>
  <c r="B41" i="7"/>
  <c r="A41" i="7"/>
  <c r="C40" i="7"/>
  <c r="B40" i="7"/>
  <c r="A40" i="7"/>
  <c r="C39" i="7"/>
  <c r="B39" i="7"/>
  <c r="A39" i="7"/>
  <c r="C38" i="7"/>
  <c r="B38" i="7"/>
  <c r="A38" i="7"/>
  <c r="C37" i="7"/>
  <c r="B37" i="7"/>
  <c r="A37" i="7"/>
  <c r="H46" i="7"/>
  <c r="A46" i="6"/>
  <c r="C46" i="6"/>
  <c r="B46" i="6"/>
  <c r="C45" i="6"/>
  <c r="B45" i="6"/>
  <c r="A45" i="6"/>
  <c r="C44" i="6"/>
  <c r="B44" i="6"/>
  <c r="A44" i="6"/>
  <c r="C43" i="6"/>
  <c r="B43" i="6"/>
  <c r="A43" i="6"/>
  <c r="C42" i="6"/>
  <c r="B42" i="6"/>
  <c r="A42" i="6"/>
  <c r="C41" i="6"/>
  <c r="B41" i="6"/>
  <c r="A41" i="6"/>
  <c r="C40" i="6"/>
  <c r="B40" i="6"/>
  <c r="A40" i="6"/>
  <c r="C39" i="6"/>
  <c r="B39" i="6"/>
  <c r="A39" i="6"/>
  <c r="C38" i="6"/>
  <c r="B38" i="6"/>
  <c r="A38" i="6"/>
  <c r="C37" i="6"/>
  <c r="B37" i="6"/>
  <c r="A37" i="6"/>
  <c r="C36" i="6"/>
  <c r="B36" i="6"/>
  <c r="A36" i="6"/>
  <c r="C35" i="6"/>
  <c r="B35" i="6"/>
  <c r="A35" i="6"/>
  <c r="C34" i="6"/>
  <c r="B34" i="6"/>
  <c r="A34" i="6"/>
  <c r="C33" i="6"/>
  <c r="B33" i="6"/>
  <c r="A33" i="6"/>
  <c r="C32" i="6"/>
  <c r="B32" i="6"/>
  <c r="A32" i="6"/>
  <c r="C46" i="5"/>
  <c r="B46" i="5"/>
  <c r="A46" i="5"/>
  <c r="C45" i="5"/>
  <c r="B45" i="5"/>
  <c r="A45" i="5"/>
  <c r="C44" i="5"/>
  <c r="B44" i="5"/>
  <c r="A44" i="5"/>
  <c r="C43" i="5"/>
  <c r="B43" i="5"/>
  <c r="A43" i="5"/>
  <c r="C42" i="5"/>
  <c r="B42" i="5"/>
  <c r="A42" i="5"/>
  <c r="C41" i="5"/>
  <c r="B41" i="5"/>
  <c r="A41" i="5"/>
  <c r="C40" i="5"/>
  <c r="B40" i="5"/>
  <c r="A40" i="5"/>
  <c r="C39" i="5"/>
  <c r="B39" i="5"/>
  <c r="A39" i="5"/>
  <c r="C38" i="5"/>
  <c r="B38" i="5"/>
  <c r="A38" i="5"/>
  <c r="C37" i="5"/>
  <c r="B37" i="5"/>
  <c r="A37" i="5"/>
  <c r="C46" i="4"/>
  <c r="B46" i="4"/>
  <c r="A46" i="4"/>
  <c r="C45" i="4"/>
  <c r="B45" i="4"/>
  <c r="A45" i="4"/>
  <c r="C44" i="4"/>
  <c r="B44" i="4"/>
  <c r="A44" i="4"/>
  <c r="C43" i="4"/>
  <c r="B43" i="4"/>
  <c r="A43" i="4"/>
  <c r="C42" i="4"/>
  <c r="B42" i="4"/>
  <c r="A42" i="4"/>
  <c r="C41" i="4"/>
  <c r="B41" i="4"/>
  <c r="A41" i="4"/>
  <c r="C40" i="4"/>
  <c r="B40" i="4"/>
  <c r="A40" i="4"/>
  <c r="C39" i="4"/>
  <c r="B39" i="4"/>
  <c r="A39" i="4"/>
  <c r="C38" i="4"/>
  <c r="B38" i="4"/>
  <c r="A38" i="4"/>
  <c r="C37" i="4"/>
  <c r="B37" i="4"/>
  <c r="A37" i="4"/>
  <c r="H46" i="4"/>
  <c r="C46" i="3"/>
  <c r="B46" i="3"/>
  <c r="A46" i="3"/>
  <c r="C45" i="3"/>
  <c r="B45" i="3"/>
  <c r="A45" i="3"/>
  <c r="C44" i="3"/>
  <c r="B44" i="3"/>
  <c r="A44" i="3"/>
  <c r="C43" i="3"/>
  <c r="B43" i="3"/>
  <c r="A43" i="3"/>
  <c r="C42" i="3"/>
  <c r="B42" i="3"/>
  <c r="A42" i="3"/>
  <c r="C41" i="3"/>
  <c r="B41" i="3"/>
  <c r="A41" i="3"/>
  <c r="C40" i="3"/>
  <c r="B40" i="3"/>
  <c r="A40" i="3"/>
  <c r="C39" i="3"/>
  <c r="B39" i="3"/>
  <c r="A39" i="3"/>
  <c r="C38" i="3"/>
  <c r="B38" i="3"/>
  <c r="A38" i="3"/>
  <c r="C37" i="3"/>
  <c r="B37" i="3"/>
  <c r="A37" i="3"/>
  <c r="H46" i="3"/>
  <c r="C46" i="2"/>
  <c r="B46" i="2"/>
  <c r="A46" i="2"/>
  <c r="C45" i="2"/>
  <c r="B45" i="2"/>
  <c r="A45" i="2"/>
  <c r="C44" i="2"/>
  <c r="B44" i="2"/>
  <c r="A44" i="2"/>
  <c r="C43" i="2"/>
  <c r="B43" i="2"/>
  <c r="A43" i="2"/>
  <c r="C42" i="2"/>
  <c r="B42" i="2"/>
  <c r="A42" i="2"/>
  <c r="C41" i="2"/>
  <c r="B41" i="2"/>
  <c r="A41" i="2"/>
  <c r="C40" i="2"/>
  <c r="B40" i="2"/>
  <c r="A40" i="2"/>
  <c r="C39" i="2"/>
  <c r="B39" i="2"/>
  <c r="A39" i="2"/>
  <c r="C38" i="2"/>
  <c r="B38" i="2"/>
  <c r="A38" i="2"/>
  <c r="C37" i="2"/>
  <c r="B37" i="2"/>
  <c r="A37" i="2"/>
  <c r="C36" i="2"/>
  <c r="B36" i="2"/>
  <c r="A36" i="2"/>
  <c r="H46" i="2"/>
  <c r="C46" i="1"/>
  <c r="B46" i="1"/>
  <c r="A46" i="1"/>
  <c r="C45" i="1"/>
  <c r="B45" i="1"/>
  <c r="A45" i="1"/>
  <c r="C44" i="1"/>
  <c r="B44" i="1"/>
  <c r="A44" i="1"/>
  <c r="C43" i="1"/>
  <c r="B43" i="1"/>
  <c r="A43" i="1"/>
  <c r="C42" i="1"/>
  <c r="B42" i="1"/>
  <c r="A42" i="1"/>
  <c r="C41" i="1"/>
  <c r="B41" i="1"/>
  <c r="A41" i="1"/>
  <c r="C40" i="1"/>
  <c r="B40" i="1"/>
  <c r="A40" i="1"/>
  <c r="C39" i="1"/>
  <c r="B39" i="1"/>
  <c r="A39" i="1"/>
  <c r="C38" i="1"/>
  <c r="B38" i="1"/>
  <c r="A38" i="1"/>
  <c r="C37" i="1"/>
  <c r="B37" i="1"/>
  <c r="A37" i="1"/>
  <c r="C36" i="1"/>
  <c r="B36" i="1"/>
  <c r="A36" i="1"/>
  <c r="F46" i="1"/>
  <c r="F46" i="2" s="1"/>
  <c r="F46" i="3" s="1"/>
  <c r="G46" i="1"/>
  <c r="G46" i="2" s="1"/>
  <c r="G46" i="3" s="1"/>
  <c r="G46" i="4" s="1"/>
  <c r="G46" i="5" s="1"/>
  <c r="G46" i="6" s="1"/>
  <c r="G46" i="7" s="1"/>
  <c r="G46" i="8" s="1"/>
  <c r="G46" i="14" s="1"/>
  <c r="G46" i="17" s="1"/>
  <c r="G46" i="21" s="1"/>
  <c r="G46" i="22" s="1"/>
  <c r="G46" i="23" s="1"/>
  <c r="G46" i="24" s="1"/>
  <c r="G46" i="25" s="1"/>
  <c r="G46" i="26" s="1"/>
  <c r="G46" i="28" s="1"/>
  <c r="G46" i="29" s="1"/>
  <c r="G46" i="30" s="1"/>
  <c r="G46" i="31" s="1"/>
  <c r="G46" i="32" s="1"/>
  <c r="G46" i="33" s="1"/>
  <c r="G46" i="34" s="1"/>
  <c r="G46" i="35" s="1"/>
  <c r="G46" i="36" s="1"/>
  <c r="G46" i="37" s="1"/>
  <c r="G46" i="38" s="1"/>
  <c r="G46" i="39" s="1"/>
  <c r="G46" i="40" s="1"/>
  <c r="G46" i="41" s="1"/>
  <c r="H46" i="1"/>
  <c r="C42" i="44"/>
  <c r="B42" i="44"/>
  <c r="A42" i="44"/>
  <c r="C41" i="44"/>
  <c r="A41" i="44"/>
  <c r="C40" i="44"/>
  <c r="B40" i="44"/>
  <c r="A40" i="44"/>
  <c r="C39" i="44"/>
  <c r="B39" i="44"/>
  <c r="A39" i="44"/>
  <c r="C38" i="44"/>
  <c r="B38" i="44"/>
  <c r="A38" i="44"/>
  <c r="C37" i="44"/>
  <c r="B37" i="44"/>
  <c r="A37" i="44"/>
  <c r="C36" i="44"/>
  <c r="B36" i="44"/>
  <c r="A36" i="44"/>
  <c r="C35" i="44"/>
  <c r="B35" i="44"/>
  <c r="A35" i="44"/>
  <c r="C34" i="44"/>
  <c r="B34" i="44"/>
  <c r="A34" i="44"/>
  <c r="C33" i="44"/>
  <c r="B33" i="44"/>
  <c r="A33" i="44"/>
  <c r="H46" i="44"/>
  <c r="C32" i="9"/>
  <c r="C43" i="9"/>
  <c r="B43" i="9"/>
  <c r="A43" i="9"/>
  <c r="C42" i="9"/>
  <c r="B42" i="9"/>
  <c r="A42" i="9"/>
  <c r="C41" i="9"/>
  <c r="B41" i="9"/>
  <c r="A41" i="9"/>
  <c r="C40" i="9"/>
  <c r="B40" i="9"/>
  <c r="A40" i="9"/>
  <c r="C39" i="9"/>
  <c r="B39" i="9"/>
  <c r="A39" i="9"/>
  <c r="C38" i="9"/>
  <c r="B38" i="9"/>
  <c r="A38" i="9"/>
  <c r="C37" i="9"/>
  <c r="B37" i="9"/>
  <c r="A37" i="9"/>
  <c r="C36" i="9"/>
  <c r="B36" i="9"/>
  <c r="A36" i="9"/>
  <c r="C35" i="9"/>
  <c r="B35" i="9"/>
  <c r="A35" i="9"/>
  <c r="C43" i="10"/>
  <c r="B43" i="10"/>
  <c r="A43" i="10"/>
  <c r="C42" i="10"/>
  <c r="B42" i="10"/>
  <c r="A42" i="10"/>
  <c r="C41" i="10"/>
  <c r="B41" i="10"/>
  <c r="A41" i="10"/>
  <c r="C40" i="10"/>
  <c r="B40" i="10"/>
  <c r="A40" i="10"/>
  <c r="C39" i="10"/>
  <c r="B39" i="10"/>
  <c r="A39" i="10"/>
  <c r="C38" i="10"/>
  <c r="B38" i="10"/>
  <c r="A38" i="10"/>
  <c r="C37" i="10"/>
  <c r="B37" i="10"/>
  <c r="A37" i="10"/>
  <c r="C36" i="10"/>
  <c r="B36" i="10"/>
  <c r="A36" i="10"/>
  <c r="C35" i="10"/>
  <c r="B35" i="10"/>
  <c r="A35" i="10"/>
  <c r="C34" i="10"/>
  <c r="B34" i="10"/>
  <c r="A34" i="10"/>
  <c r="C33" i="10"/>
  <c r="B33" i="10"/>
  <c r="A33" i="10"/>
  <c r="C42" i="11"/>
  <c r="C41" i="11"/>
  <c r="C40" i="11"/>
  <c r="C39" i="11"/>
  <c r="B42" i="11"/>
  <c r="B41" i="11"/>
  <c r="B40" i="11"/>
  <c r="B39" i="11"/>
  <c r="B38" i="11"/>
  <c r="B37" i="11"/>
  <c r="A42" i="11"/>
  <c r="A41" i="11"/>
  <c r="A40" i="11"/>
  <c r="A39" i="11"/>
  <c r="A38" i="11"/>
  <c r="A37" i="11"/>
  <c r="A36" i="11"/>
  <c r="A35" i="11"/>
  <c r="A34" i="11"/>
  <c r="A33" i="11"/>
  <c r="H46" i="13"/>
  <c r="H46" i="23"/>
  <c r="H46" i="33"/>
  <c r="H46" i="32"/>
  <c r="H46" i="30"/>
  <c r="H46" i="29"/>
  <c r="H46" i="6"/>
  <c r="H46" i="5"/>
  <c r="H46" i="9"/>
  <c r="H46" i="10"/>
  <c r="H45" i="23"/>
  <c r="H6" i="15"/>
  <c r="H45" i="41"/>
  <c r="A49" i="41"/>
  <c r="C37" i="40"/>
  <c r="B37" i="40"/>
  <c r="A37" i="40"/>
  <c r="H45" i="39"/>
  <c r="H45" i="36"/>
  <c r="C38" i="35"/>
  <c r="B38" i="35"/>
  <c r="A38" i="35"/>
  <c r="C37" i="35"/>
  <c r="B37" i="35"/>
  <c r="A37" i="35"/>
  <c r="H45" i="40"/>
  <c r="H45" i="38"/>
  <c r="H45" i="37"/>
  <c r="H45" i="35"/>
  <c r="C38" i="34"/>
  <c r="B38" i="34"/>
  <c r="A38" i="34"/>
  <c r="C37" i="34"/>
  <c r="B37" i="34"/>
  <c r="A37" i="34"/>
  <c r="H45" i="34"/>
  <c r="C38" i="33"/>
  <c r="B38" i="33"/>
  <c r="A38" i="33"/>
  <c r="B37" i="33"/>
  <c r="A37" i="33"/>
  <c r="H45" i="33"/>
  <c r="H45" i="31"/>
  <c r="H45" i="30"/>
  <c r="C37" i="29"/>
  <c r="B37" i="29"/>
  <c r="A37" i="29"/>
  <c r="C37" i="28"/>
  <c r="B37" i="28"/>
  <c r="A37" i="28"/>
  <c r="H45" i="26"/>
  <c r="H45" i="25"/>
  <c r="C37" i="24"/>
  <c r="B37" i="24"/>
  <c r="A37" i="24"/>
  <c r="H45" i="24"/>
  <c r="C38" i="23"/>
  <c r="B38" i="23"/>
  <c r="A38" i="23"/>
  <c r="C37" i="23"/>
  <c r="B37" i="23"/>
  <c r="A37" i="23"/>
  <c r="C38" i="22"/>
  <c r="B38" i="22"/>
  <c r="A38" i="22"/>
  <c r="C37" i="22"/>
  <c r="B37" i="22"/>
  <c r="A37" i="22"/>
  <c r="H45" i="22"/>
  <c r="C36" i="21"/>
  <c r="B36" i="21"/>
  <c r="A36" i="21"/>
  <c r="A36" i="17"/>
  <c r="H45" i="17"/>
  <c r="C38" i="14"/>
  <c r="B38" i="14"/>
  <c r="C37" i="14"/>
  <c r="B37" i="14"/>
  <c r="A38" i="14"/>
  <c r="A37" i="14"/>
  <c r="H45" i="14"/>
  <c r="H45" i="32"/>
  <c r="H45" i="29"/>
  <c r="H45" i="28"/>
  <c r="H45" i="21"/>
  <c r="C36" i="30"/>
  <c r="C36" i="29"/>
  <c r="C36" i="28"/>
  <c r="C35" i="26"/>
  <c r="C34" i="26"/>
  <c r="C33" i="26"/>
  <c r="C32" i="26"/>
  <c r="C31" i="26"/>
  <c r="C30" i="26"/>
  <c r="C29" i="26"/>
  <c r="C28" i="26"/>
  <c r="C27" i="26"/>
  <c r="C26" i="26"/>
  <c r="C25" i="26"/>
  <c r="C24" i="26"/>
  <c r="C23" i="26"/>
  <c r="C22" i="26"/>
  <c r="C21" i="26"/>
  <c r="C20" i="26"/>
  <c r="C19" i="26"/>
  <c r="C18" i="26"/>
  <c r="C17" i="26"/>
  <c r="C16" i="26"/>
  <c r="C36" i="25"/>
  <c r="C35" i="25"/>
  <c r="C34" i="25"/>
  <c r="C33" i="25"/>
  <c r="C32" i="25"/>
  <c r="C36" i="24"/>
  <c r="C36" i="22"/>
  <c r="C35" i="21"/>
  <c r="C36" i="17"/>
  <c r="C35" i="17"/>
  <c r="C34" i="17"/>
  <c r="C33" i="17"/>
  <c r="C36" i="14"/>
  <c r="C35" i="14"/>
  <c r="C36" i="8"/>
  <c r="C35" i="8"/>
  <c r="C34" i="8"/>
  <c r="C36" i="7"/>
  <c r="C35" i="7"/>
  <c r="C34" i="7"/>
  <c r="C36" i="4"/>
  <c r="C35" i="4"/>
  <c r="C34" i="4"/>
  <c r="C33" i="4"/>
  <c r="C36" i="3"/>
  <c r="C35" i="3"/>
  <c r="C34" i="3"/>
  <c r="C33" i="3"/>
  <c r="C35" i="2"/>
  <c r="C35" i="1"/>
  <c r="C34" i="1"/>
  <c r="C33" i="1"/>
  <c r="C32" i="17"/>
  <c r="C31" i="17"/>
  <c r="H45" i="6"/>
  <c r="H45" i="5"/>
  <c r="H45" i="4"/>
  <c r="H45" i="3"/>
  <c r="H45" i="2"/>
  <c r="F44" i="1"/>
  <c r="G44" i="1"/>
  <c r="G44" i="2" s="1"/>
  <c r="G44" i="3" s="1"/>
  <c r="G44" i="4" s="1"/>
  <c r="G44" i="5" s="1"/>
  <c r="G44" i="6" s="1"/>
  <c r="G44" i="7" s="1"/>
  <c r="G44" i="8" s="1"/>
  <c r="G44" i="14" s="1"/>
  <c r="G44" i="17" s="1"/>
  <c r="G44" i="21" s="1"/>
  <c r="G44" i="22" s="1"/>
  <c r="G44" i="23" s="1"/>
  <c r="G44" i="24" s="1"/>
  <c r="G44" i="25" s="1"/>
  <c r="G44" i="26" s="1"/>
  <c r="G44" i="28" s="1"/>
  <c r="G44" i="29" s="1"/>
  <c r="G44" i="30" s="1"/>
  <c r="G44" i="31" s="1"/>
  <c r="G44" i="32" s="1"/>
  <c r="G44" i="33" s="1"/>
  <c r="G44" i="34" s="1"/>
  <c r="G44" i="35" s="1"/>
  <c r="G44" i="36" s="1"/>
  <c r="G44" i="37" s="1"/>
  <c r="G44" i="38" s="1"/>
  <c r="G44" i="39" s="1"/>
  <c r="G44" i="40" s="1"/>
  <c r="G44" i="41" s="1"/>
  <c r="H44" i="1"/>
  <c r="H44" i="9"/>
  <c r="H44" i="11"/>
  <c r="H44" i="13"/>
  <c r="G45" i="10"/>
  <c r="G45" i="9" s="1"/>
  <c r="G45" i="44" s="1"/>
  <c r="H44" i="10"/>
  <c r="H45" i="8"/>
  <c r="H45" i="7"/>
  <c r="H44" i="44"/>
  <c r="G44" i="10"/>
  <c r="G44" i="9" s="1"/>
  <c r="G44" i="44" s="1"/>
  <c r="H39" i="41"/>
  <c r="H40" i="41"/>
  <c r="H41" i="41"/>
  <c r="H42" i="41"/>
  <c r="H43" i="41"/>
  <c r="H44" i="41"/>
  <c r="H39" i="39"/>
  <c r="H40" i="39"/>
  <c r="H41" i="39"/>
  <c r="H42" i="39"/>
  <c r="H43" i="39"/>
  <c r="H44" i="39"/>
  <c r="H39" i="38"/>
  <c r="H41" i="38"/>
  <c r="H43" i="38"/>
  <c r="H39" i="37"/>
  <c r="H40" i="37"/>
  <c r="H41" i="37"/>
  <c r="H39" i="36"/>
  <c r="H44" i="35"/>
  <c r="H42" i="35"/>
  <c r="H40" i="33"/>
  <c r="H40" i="32"/>
  <c r="H41" i="32"/>
  <c r="H40" i="31"/>
  <c r="H39" i="30"/>
  <c r="H40" i="30"/>
  <c r="H39" i="29"/>
  <c r="H39" i="28"/>
  <c r="H41" i="28"/>
  <c r="H43" i="26"/>
  <c r="H39" i="26"/>
  <c r="H40" i="26"/>
  <c r="H41" i="26"/>
  <c r="H42" i="26"/>
  <c r="H44" i="26"/>
  <c r="H42" i="25"/>
  <c r="H43" i="25"/>
  <c r="H44" i="25"/>
  <c r="H42" i="23"/>
  <c r="H42" i="21"/>
  <c r="H43" i="21"/>
  <c r="A49" i="21"/>
  <c r="H42" i="14"/>
  <c r="H44" i="14"/>
  <c r="H42" i="8"/>
  <c r="H42" i="7"/>
  <c r="H43" i="7"/>
  <c r="H44" i="6"/>
  <c r="H42" i="5"/>
  <c r="H42" i="4"/>
  <c r="H42" i="3"/>
  <c r="H43" i="3"/>
  <c r="H42" i="2"/>
  <c r="H43" i="2"/>
  <c r="H44" i="2"/>
  <c r="F41" i="1"/>
  <c r="F41" i="2" s="1"/>
  <c r="F41" i="3" s="1"/>
  <c r="F41" i="4" s="1"/>
  <c r="G41" i="1"/>
  <c r="G41" i="2" s="1"/>
  <c r="H41" i="1"/>
  <c r="F42" i="1"/>
  <c r="F42" i="2" s="1"/>
  <c r="G42" i="1"/>
  <c r="G42" i="2" s="1"/>
  <c r="G42" i="3" s="1"/>
  <c r="H42" i="1"/>
  <c r="F43" i="1"/>
  <c r="F43" i="2" s="1"/>
  <c r="F43" i="3" s="1"/>
  <c r="G43" i="1"/>
  <c r="G43" i="2" s="1"/>
  <c r="H43" i="1"/>
  <c r="H41" i="10"/>
  <c r="H42" i="10"/>
  <c r="G43" i="10"/>
  <c r="G43" i="9" s="1"/>
  <c r="G43" i="44" s="1"/>
  <c r="H41" i="11"/>
  <c r="F42" i="10"/>
  <c r="H42" i="11"/>
  <c r="F43" i="10"/>
  <c r="F43" i="9" s="1"/>
  <c r="H43" i="11"/>
  <c r="H45" i="13"/>
  <c r="H42" i="13"/>
  <c r="H43" i="13"/>
  <c r="H39" i="40"/>
  <c r="H40" i="40"/>
  <c r="H41" i="40"/>
  <c r="H42" i="40"/>
  <c r="H43" i="40"/>
  <c r="H44" i="40"/>
  <c r="H42" i="38"/>
  <c r="H40" i="38"/>
  <c r="H44" i="38"/>
  <c r="H42" i="37"/>
  <c r="H43" i="37"/>
  <c r="H44" i="37"/>
  <c r="H44" i="36"/>
  <c r="H40" i="36"/>
  <c r="H41" i="36"/>
  <c r="H42" i="36"/>
  <c r="H43" i="36"/>
  <c r="H39" i="35"/>
  <c r="H40" i="35"/>
  <c r="H41" i="35"/>
  <c r="H43" i="35"/>
  <c r="H39" i="34"/>
  <c r="H40" i="34"/>
  <c r="H43" i="34"/>
  <c r="H41" i="34"/>
  <c r="H42" i="34"/>
  <c r="H44" i="34"/>
  <c r="H42" i="33"/>
  <c r="H43" i="33"/>
  <c r="H39" i="33"/>
  <c r="H41" i="33"/>
  <c r="H44" i="33"/>
  <c r="H39" i="32"/>
  <c r="H42" i="32"/>
  <c r="H43" i="32"/>
  <c r="H44" i="32"/>
  <c r="H39" i="31"/>
  <c r="H41" i="31"/>
  <c r="H42" i="31"/>
  <c r="H43" i="31"/>
  <c r="H44" i="31"/>
  <c r="H44" i="30"/>
  <c r="H41" i="30"/>
  <c r="H42" i="30"/>
  <c r="H43" i="30"/>
  <c r="H40" i="29"/>
  <c r="H41" i="29"/>
  <c r="H42" i="29"/>
  <c r="H43" i="29"/>
  <c r="H40" i="28"/>
  <c r="H42" i="28"/>
  <c r="H43" i="28"/>
  <c r="H44" i="28"/>
  <c r="H42" i="24"/>
  <c r="H43" i="24"/>
  <c r="H44" i="24"/>
  <c r="H43" i="23"/>
  <c r="H44" i="23"/>
  <c r="H42" i="22"/>
  <c r="H43" i="22"/>
  <c r="H44" i="22"/>
  <c r="H44" i="21"/>
  <c r="H42" i="17"/>
  <c r="H43" i="17"/>
  <c r="H44" i="17"/>
  <c r="H43" i="14"/>
  <c r="H43" i="8"/>
  <c r="H44" i="8"/>
  <c r="H44" i="7"/>
  <c r="H42" i="6"/>
  <c r="H43" i="6"/>
  <c r="H43" i="5"/>
  <c r="H44" i="5"/>
  <c r="H43" i="4"/>
  <c r="H44" i="4"/>
  <c r="H44" i="3"/>
  <c r="H42" i="44"/>
  <c r="H43" i="44"/>
  <c r="H45" i="44"/>
  <c r="H42" i="9"/>
  <c r="H43" i="9"/>
  <c r="H45" i="9"/>
  <c r="H43" i="10"/>
  <c r="B7" i="2"/>
  <c r="F41" i="10"/>
  <c r="F41" i="9" s="1"/>
  <c r="F41" i="44" s="1"/>
  <c r="F37" i="10"/>
  <c r="F37" i="9" s="1"/>
  <c r="H29" i="7"/>
  <c r="H39" i="25"/>
  <c r="H40" i="25"/>
  <c r="H41" i="25"/>
  <c r="H39" i="24"/>
  <c r="H41" i="24"/>
  <c r="H40" i="21"/>
  <c r="H40" i="17"/>
  <c r="H41" i="17"/>
  <c r="H40" i="14"/>
  <c r="H40" i="5"/>
  <c r="H40" i="4"/>
  <c r="H41" i="2"/>
  <c r="F45" i="1"/>
  <c r="G45" i="1"/>
  <c r="G45" i="2" s="1"/>
  <c r="G45" i="3" s="1"/>
  <c r="H45" i="1"/>
  <c r="H41" i="44"/>
  <c r="H40" i="24"/>
  <c r="H40" i="23"/>
  <c r="H41" i="23"/>
  <c r="H39" i="23"/>
  <c r="H40" i="22"/>
  <c r="H40" i="8"/>
  <c r="H40" i="7"/>
  <c r="H40" i="6"/>
  <c r="H40" i="3"/>
  <c r="H40" i="9"/>
  <c r="B31" i="10"/>
  <c r="H40" i="10"/>
  <c r="H40" i="13"/>
  <c r="G40" i="10"/>
  <c r="G40" i="9" s="1"/>
  <c r="G40" i="44" s="1"/>
  <c r="H40" i="11"/>
  <c r="H39" i="21"/>
  <c r="H39" i="14"/>
  <c r="H41" i="14"/>
  <c r="H39" i="7"/>
  <c r="H41" i="7"/>
  <c r="H39" i="6"/>
  <c r="H41" i="6"/>
  <c r="H39" i="3"/>
  <c r="H39" i="2"/>
  <c r="H40" i="2"/>
  <c r="F39" i="1"/>
  <c r="F39" i="2" s="1"/>
  <c r="F39" i="3" s="1"/>
  <c r="F39" i="4" s="1"/>
  <c r="F39" i="5" s="1"/>
  <c r="F39" i="6" s="1"/>
  <c r="F39" i="7" s="1"/>
  <c r="F39" i="8" s="1"/>
  <c r="F39" i="14" s="1"/>
  <c r="F39" i="17" s="1"/>
  <c r="F39" i="21" s="1"/>
  <c r="F39" i="22" s="1"/>
  <c r="F39" i="23" s="1"/>
  <c r="F39" i="24" s="1"/>
  <c r="F39" i="25" s="1"/>
  <c r="F39" i="26" s="1"/>
  <c r="F39" i="28" s="1"/>
  <c r="F39" i="29" s="1"/>
  <c r="G39" i="1"/>
  <c r="H39" i="1"/>
  <c r="F40" i="1"/>
  <c r="F40" i="2" s="1"/>
  <c r="F40" i="3" s="1"/>
  <c r="F40" i="4" s="1"/>
  <c r="G40" i="1"/>
  <c r="G40" i="2" s="1"/>
  <c r="G40" i="3" s="1"/>
  <c r="G40" i="4" s="1"/>
  <c r="G40" i="5" s="1"/>
  <c r="G40" i="6" s="1"/>
  <c r="G40" i="7" s="1"/>
  <c r="G40" i="8" s="1"/>
  <c r="G40" i="14" s="1"/>
  <c r="G40" i="17" s="1"/>
  <c r="G40" i="21" s="1"/>
  <c r="G40" i="22" s="1"/>
  <c r="G40" i="23" s="1"/>
  <c r="G40" i="24" s="1"/>
  <c r="G40" i="25" s="1"/>
  <c r="G40" i="26" s="1"/>
  <c r="G40" i="28" s="1"/>
  <c r="G40" i="29" s="1"/>
  <c r="G40" i="30" s="1"/>
  <c r="G40" i="31" s="1"/>
  <c r="G40" i="32" s="1"/>
  <c r="G40" i="33" s="1"/>
  <c r="G40" i="34" s="1"/>
  <c r="G40" i="35" s="1"/>
  <c r="G40" i="36" s="1"/>
  <c r="H40" i="1"/>
  <c r="H39" i="44"/>
  <c r="H39" i="9"/>
  <c r="H39" i="10"/>
  <c r="F39" i="10"/>
  <c r="F39" i="9" s="1"/>
  <c r="F39" i="44" s="1"/>
  <c r="G39" i="10"/>
  <c r="H39" i="11"/>
  <c r="H45" i="11"/>
  <c r="H38" i="13"/>
  <c r="H39" i="13"/>
  <c r="H39" i="22"/>
  <c r="H41" i="22"/>
  <c r="H41" i="21"/>
  <c r="H39" i="17"/>
  <c r="H39" i="8"/>
  <c r="H41" i="8"/>
  <c r="H39" i="5"/>
  <c r="H41" i="5"/>
  <c r="H39" i="4"/>
  <c r="H41" i="4"/>
  <c r="H41" i="3"/>
  <c r="H40" i="44"/>
  <c r="H41" i="9"/>
  <c r="H45" i="10"/>
  <c r="H37" i="41"/>
  <c r="H38" i="41"/>
  <c r="H38" i="39"/>
  <c r="H37" i="39"/>
  <c r="H38" i="38"/>
  <c r="H37" i="37"/>
  <c r="H37" i="36"/>
  <c r="H38" i="36"/>
  <c r="H38" i="34"/>
  <c r="H37" i="33"/>
  <c r="H38" i="32"/>
  <c r="H37" i="32"/>
  <c r="H37" i="31"/>
  <c r="H38" i="30"/>
  <c r="H38" i="29"/>
  <c r="H37" i="28"/>
  <c r="H37" i="26"/>
  <c r="H38" i="26"/>
  <c r="H37" i="25"/>
  <c r="H38" i="25"/>
  <c r="H37" i="23"/>
  <c r="H38" i="22"/>
  <c r="H37" i="21"/>
  <c r="H38" i="21"/>
  <c r="H37" i="17"/>
  <c r="H37" i="14"/>
  <c r="H38" i="14"/>
  <c r="H37" i="5"/>
  <c r="H38" i="5"/>
  <c r="H37" i="4"/>
  <c r="H37" i="3"/>
  <c r="H38" i="3"/>
  <c r="F38" i="1"/>
  <c r="F38" i="2" s="1"/>
  <c r="G38" i="1"/>
  <c r="G38" i="2" s="1"/>
  <c r="G38" i="3" s="1"/>
  <c r="G38" i="4" s="1"/>
  <c r="G38" i="5" s="1"/>
  <c r="G38" i="6" s="1"/>
  <c r="G38" i="7" s="1"/>
  <c r="G38" i="8" s="1"/>
  <c r="G38" i="14" s="1"/>
  <c r="G38" i="17" s="1"/>
  <c r="G38" i="21" s="1"/>
  <c r="G38" i="22" s="1"/>
  <c r="G38" i="23" s="1"/>
  <c r="G38" i="24" s="1"/>
  <c r="G38" i="25" s="1"/>
  <c r="G38" i="26" s="1"/>
  <c r="G38" i="28" s="1"/>
  <c r="G38" i="29" s="1"/>
  <c r="G38" i="30" s="1"/>
  <c r="G38" i="31" s="1"/>
  <c r="G38" i="32" s="1"/>
  <c r="G38" i="33" s="1"/>
  <c r="G38" i="34" s="1"/>
  <c r="G38" i="35" s="1"/>
  <c r="G38" i="36" s="1"/>
  <c r="G38" i="37" s="1"/>
  <c r="G38" i="38" s="1"/>
  <c r="G38" i="39" s="1"/>
  <c r="G38" i="40" s="1"/>
  <c r="G38" i="41" s="1"/>
  <c r="H38" i="1"/>
  <c r="H37" i="9"/>
  <c r="H38" i="9"/>
  <c r="H37" i="10"/>
  <c r="H38" i="10"/>
  <c r="G37" i="10"/>
  <c r="H37" i="11"/>
  <c r="C38" i="11"/>
  <c r="G38" i="10"/>
  <c r="G38" i="9" s="1"/>
  <c r="H38" i="11"/>
  <c r="F37" i="1"/>
  <c r="F37" i="2" s="1"/>
  <c r="G37" i="1"/>
  <c r="G37" i="2" s="1"/>
  <c r="G37" i="3" s="1"/>
  <c r="G37" i="4" s="1"/>
  <c r="G37" i="5" s="1"/>
  <c r="G37" i="6" s="1"/>
  <c r="G37" i="7" s="1"/>
  <c r="G37" i="8" s="1"/>
  <c r="G37" i="14" s="1"/>
  <c r="G37" i="17" s="1"/>
  <c r="G37" i="21" s="1"/>
  <c r="G37" i="22" s="1"/>
  <c r="G37" i="23" s="1"/>
  <c r="G37" i="24" s="1"/>
  <c r="G37" i="25" s="1"/>
  <c r="G37" i="26" s="1"/>
  <c r="G37" i="28" s="1"/>
  <c r="G37" i="29" s="1"/>
  <c r="G37" i="30" s="1"/>
  <c r="G37" i="31" s="1"/>
  <c r="G37" i="32" s="1"/>
  <c r="G37" i="33" s="1"/>
  <c r="G37" i="34" s="1"/>
  <c r="G37" i="35" s="1"/>
  <c r="G37" i="36" s="1"/>
  <c r="G37" i="37" s="1"/>
  <c r="G37" i="38" s="1"/>
  <c r="G37" i="39" s="1"/>
  <c r="G37" i="40" s="1"/>
  <c r="G37" i="41" s="1"/>
  <c r="H37" i="1"/>
  <c r="H37" i="13"/>
  <c r="H36" i="13"/>
  <c r="H37" i="40"/>
  <c r="H38" i="40"/>
  <c r="H37" i="38"/>
  <c r="H38" i="37"/>
  <c r="H37" i="35"/>
  <c r="H38" i="35"/>
  <c r="H37" i="34"/>
  <c r="H38" i="33"/>
  <c r="H38" i="31"/>
  <c r="H37" i="30"/>
  <c r="H37" i="29"/>
  <c r="H38" i="28"/>
  <c r="H37" i="24"/>
  <c r="H38" i="24"/>
  <c r="H38" i="23"/>
  <c r="H37" i="22"/>
  <c r="H38" i="17"/>
  <c r="H37" i="8"/>
  <c r="H38" i="8"/>
  <c r="H37" i="7"/>
  <c r="H38" i="7"/>
  <c r="H37" i="6"/>
  <c r="H38" i="6"/>
  <c r="H38" i="4"/>
  <c r="H37" i="44"/>
  <c r="H38" i="44"/>
  <c r="C26" i="44"/>
  <c r="C27" i="44"/>
  <c r="C28" i="44"/>
  <c r="C29" i="44"/>
  <c r="C30" i="44"/>
  <c r="C31" i="44"/>
  <c r="C32" i="44"/>
  <c r="C26" i="9"/>
  <c r="C27" i="9"/>
  <c r="C28" i="9"/>
  <c r="C29" i="9"/>
  <c r="C30" i="9"/>
  <c r="C31" i="9"/>
  <c r="C33" i="9"/>
  <c r="C34" i="9"/>
  <c r="C21" i="10"/>
  <c r="C22" i="10"/>
  <c r="C23" i="10"/>
  <c r="C24" i="10"/>
  <c r="C25" i="10"/>
  <c r="C26" i="10"/>
  <c r="C27" i="10"/>
  <c r="C28" i="10"/>
  <c r="C29" i="10"/>
  <c r="C30" i="10"/>
  <c r="C31" i="10"/>
  <c r="C32" i="10"/>
  <c r="C26" i="11"/>
  <c r="C27" i="11"/>
  <c r="C28" i="11"/>
  <c r="C29" i="11"/>
  <c r="C30" i="11"/>
  <c r="C31" i="11"/>
  <c r="C32" i="11"/>
  <c r="C33" i="11"/>
  <c r="C34" i="11"/>
  <c r="C35" i="11"/>
  <c r="C36" i="11"/>
  <c r="C27" i="41"/>
  <c r="C28" i="41"/>
  <c r="C29" i="41"/>
  <c r="C30" i="41"/>
  <c r="C31" i="41"/>
  <c r="C32" i="41"/>
  <c r="C33" i="41"/>
  <c r="C34" i="41"/>
  <c r="C35" i="41"/>
  <c r="B27" i="41"/>
  <c r="B28" i="41"/>
  <c r="B29" i="41"/>
  <c r="B30" i="41"/>
  <c r="B31" i="41"/>
  <c r="B32" i="41"/>
  <c r="B33" i="41"/>
  <c r="B34" i="41"/>
  <c r="B35" i="41"/>
  <c r="A27" i="41"/>
  <c r="A28" i="41"/>
  <c r="A29" i="41"/>
  <c r="A30" i="41"/>
  <c r="A31" i="41"/>
  <c r="A32" i="41"/>
  <c r="A33" i="41"/>
  <c r="A34" i="41"/>
  <c r="A35" i="41"/>
  <c r="C26" i="40"/>
  <c r="C27" i="40"/>
  <c r="C28" i="40"/>
  <c r="C29" i="40"/>
  <c r="C30" i="40"/>
  <c r="C31" i="40"/>
  <c r="C32" i="40"/>
  <c r="C33" i="40"/>
  <c r="C34" i="40"/>
  <c r="C35" i="40"/>
  <c r="C36" i="40"/>
  <c r="B26" i="40"/>
  <c r="B27" i="40"/>
  <c r="B28" i="40"/>
  <c r="B29" i="40"/>
  <c r="B30" i="40"/>
  <c r="B31" i="40"/>
  <c r="B32" i="40"/>
  <c r="B33" i="40"/>
  <c r="B34" i="40"/>
  <c r="B35" i="40"/>
  <c r="B36" i="40"/>
  <c r="A26" i="40"/>
  <c r="A27" i="40"/>
  <c r="A28" i="40"/>
  <c r="A29" i="40"/>
  <c r="A30" i="40"/>
  <c r="A31" i="40"/>
  <c r="A32" i="40"/>
  <c r="A33" i="40"/>
  <c r="A34" i="40"/>
  <c r="A35" i="40"/>
  <c r="A36" i="40"/>
  <c r="A49" i="40"/>
  <c r="B28" i="39"/>
  <c r="B29" i="39"/>
  <c r="B30" i="39"/>
  <c r="B31" i="39"/>
  <c r="B32" i="39"/>
  <c r="B33" i="39"/>
  <c r="A28" i="39"/>
  <c r="A29" i="39"/>
  <c r="A30" i="39"/>
  <c r="A31" i="39"/>
  <c r="A32" i="39"/>
  <c r="A33" i="39"/>
  <c r="A49" i="39"/>
  <c r="C25" i="38"/>
  <c r="C26" i="38"/>
  <c r="C27" i="38"/>
  <c r="C28" i="38"/>
  <c r="C29" i="38"/>
  <c r="C30" i="38"/>
  <c r="C31" i="38"/>
  <c r="C32" i="38"/>
  <c r="C33" i="38"/>
  <c r="C34" i="38"/>
  <c r="C35" i="38"/>
  <c r="B25" i="38"/>
  <c r="B26" i="38"/>
  <c r="B27" i="38"/>
  <c r="B28" i="38"/>
  <c r="B29" i="38"/>
  <c r="B30" i="38"/>
  <c r="B31" i="38"/>
  <c r="B32" i="38"/>
  <c r="B33" i="38"/>
  <c r="B34" i="38"/>
  <c r="B35" i="38"/>
  <c r="A25" i="38"/>
  <c r="A26" i="38"/>
  <c r="A27" i="38"/>
  <c r="A28" i="38"/>
  <c r="A29" i="38"/>
  <c r="A30" i="38"/>
  <c r="A31" i="38"/>
  <c r="A32" i="38"/>
  <c r="A33" i="38"/>
  <c r="A34" i="38"/>
  <c r="A35" i="38"/>
  <c r="A49" i="38"/>
  <c r="C26" i="37"/>
  <c r="C27" i="37"/>
  <c r="C28" i="37"/>
  <c r="C29" i="37"/>
  <c r="C30" i="37"/>
  <c r="C31" i="37"/>
  <c r="C32" i="37"/>
  <c r="C33" i="37"/>
  <c r="C34" i="37"/>
  <c r="B26" i="37"/>
  <c r="B27" i="37"/>
  <c r="B28" i="37"/>
  <c r="B29" i="37"/>
  <c r="B30" i="37"/>
  <c r="B31" i="37"/>
  <c r="B32" i="37"/>
  <c r="B33" i="37"/>
  <c r="B34" i="37"/>
  <c r="A26" i="37"/>
  <c r="A27" i="37"/>
  <c r="A28" i="37"/>
  <c r="A29" i="37"/>
  <c r="A30" i="37"/>
  <c r="A31" i="37"/>
  <c r="A32" i="37"/>
  <c r="A33" i="37"/>
  <c r="A34" i="37"/>
  <c r="A49" i="37"/>
  <c r="C25" i="36"/>
  <c r="C26" i="36"/>
  <c r="C27" i="36"/>
  <c r="C28" i="36"/>
  <c r="C29" i="36"/>
  <c r="C30" i="36"/>
  <c r="C31" i="36"/>
  <c r="C32" i="36"/>
  <c r="C33" i="36"/>
  <c r="C34" i="36"/>
  <c r="B25" i="36"/>
  <c r="B26" i="36"/>
  <c r="B27" i="36"/>
  <c r="B28" i="36"/>
  <c r="B29" i="36"/>
  <c r="B30" i="36"/>
  <c r="B31" i="36"/>
  <c r="B32" i="36"/>
  <c r="B33" i="36"/>
  <c r="B34" i="36"/>
  <c r="A24" i="36"/>
  <c r="A25" i="36"/>
  <c r="A26" i="36"/>
  <c r="A27" i="36"/>
  <c r="A28" i="36"/>
  <c r="A29" i="36"/>
  <c r="A30" i="36"/>
  <c r="A31" i="36"/>
  <c r="A32" i="36"/>
  <c r="A33" i="36"/>
  <c r="A34" i="36"/>
  <c r="A49" i="36"/>
  <c r="C25" i="35"/>
  <c r="C26" i="35"/>
  <c r="C27" i="35"/>
  <c r="C28" i="35"/>
  <c r="C29" i="35"/>
  <c r="C30" i="35"/>
  <c r="C31" i="35"/>
  <c r="C32" i="35"/>
  <c r="C33" i="35"/>
  <c r="C34" i="35"/>
  <c r="C35" i="35"/>
  <c r="C36" i="35"/>
  <c r="B25" i="35"/>
  <c r="B26" i="35"/>
  <c r="B27" i="35"/>
  <c r="B28" i="35"/>
  <c r="B29" i="35"/>
  <c r="B30" i="35"/>
  <c r="B31" i="35"/>
  <c r="B32" i="35"/>
  <c r="B33" i="35"/>
  <c r="B34" i="35"/>
  <c r="B35" i="35"/>
  <c r="B36" i="35"/>
  <c r="A34" i="35"/>
  <c r="A35" i="35"/>
  <c r="A36" i="35"/>
  <c r="A25" i="35"/>
  <c r="A26" i="35"/>
  <c r="A27" i="35"/>
  <c r="A28" i="35"/>
  <c r="A29" i="35"/>
  <c r="A30" i="35"/>
  <c r="A31" i="35"/>
  <c r="A32" i="35"/>
  <c r="A33" i="35"/>
  <c r="B26" i="34"/>
  <c r="B27" i="34"/>
  <c r="B28" i="34"/>
  <c r="B29" i="34"/>
  <c r="B30" i="34"/>
  <c r="B31" i="34"/>
  <c r="B32" i="34"/>
  <c r="B33" i="34"/>
  <c r="B34" i="34"/>
  <c r="B35" i="34"/>
  <c r="B36" i="34"/>
  <c r="A25" i="34"/>
  <c r="A26" i="34"/>
  <c r="A27" i="34"/>
  <c r="A28" i="34"/>
  <c r="A29" i="34"/>
  <c r="A30" i="34"/>
  <c r="A31" i="34"/>
  <c r="A32" i="34"/>
  <c r="A33" i="34"/>
  <c r="A34" i="34"/>
  <c r="A35" i="34"/>
  <c r="A36" i="34"/>
  <c r="A49" i="34"/>
  <c r="C25" i="33"/>
  <c r="C26" i="33"/>
  <c r="C27" i="33"/>
  <c r="C28" i="33"/>
  <c r="C29" i="33"/>
  <c r="C30" i="33"/>
  <c r="C31" i="33"/>
  <c r="C32" i="33"/>
  <c r="C33" i="33"/>
  <c r="C34" i="33"/>
  <c r="C35" i="33"/>
  <c r="C36" i="33"/>
  <c r="B25" i="33"/>
  <c r="B26" i="33"/>
  <c r="B27" i="33"/>
  <c r="B28" i="33"/>
  <c r="B29" i="33"/>
  <c r="B30" i="33"/>
  <c r="B31" i="33"/>
  <c r="B32" i="33"/>
  <c r="B33" i="33"/>
  <c r="B34" i="33"/>
  <c r="B35" i="33"/>
  <c r="B36" i="33"/>
  <c r="A25" i="33"/>
  <c r="A26" i="33"/>
  <c r="A27" i="33"/>
  <c r="A28" i="33"/>
  <c r="A29" i="33"/>
  <c r="A30" i="33"/>
  <c r="A31" i="33"/>
  <c r="A32" i="33"/>
  <c r="A33" i="33"/>
  <c r="A34" i="33"/>
  <c r="A35" i="33"/>
  <c r="A36" i="33"/>
  <c r="A49" i="33"/>
  <c r="C25" i="32"/>
  <c r="C26" i="32"/>
  <c r="C27" i="32"/>
  <c r="C28" i="32"/>
  <c r="C29" i="32"/>
  <c r="C30" i="32"/>
  <c r="C31" i="32"/>
  <c r="C32" i="32"/>
  <c r="C33" i="32"/>
  <c r="B25" i="32"/>
  <c r="B26" i="32"/>
  <c r="B27" i="32"/>
  <c r="B28" i="32"/>
  <c r="B29" i="32"/>
  <c r="B30" i="32"/>
  <c r="B31" i="32"/>
  <c r="B32" i="32"/>
  <c r="B33" i="32"/>
  <c r="A25" i="32"/>
  <c r="A26" i="32"/>
  <c r="A27" i="32"/>
  <c r="A28" i="32"/>
  <c r="A29" i="32"/>
  <c r="A30" i="32"/>
  <c r="A31" i="32"/>
  <c r="A32" i="32"/>
  <c r="A33" i="32"/>
  <c r="A49" i="32"/>
  <c r="C25" i="31"/>
  <c r="C26" i="31"/>
  <c r="C27" i="31"/>
  <c r="C28" i="31"/>
  <c r="C29" i="31"/>
  <c r="C30" i="31"/>
  <c r="C31" i="31"/>
  <c r="C32" i="31"/>
  <c r="C33" i="31"/>
  <c r="C34" i="31"/>
  <c r="C35" i="31"/>
  <c r="C36" i="31"/>
  <c r="B25" i="31"/>
  <c r="B26" i="31"/>
  <c r="B27" i="31"/>
  <c r="B28" i="31"/>
  <c r="B29" i="31"/>
  <c r="B30" i="31"/>
  <c r="B31" i="31"/>
  <c r="B32" i="31"/>
  <c r="B33" i="31"/>
  <c r="B34" i="31"/>
  <c r="B35" i="31"/>
  <c r="B36" i="31"/>
  <c r="A25" i="31"/>
  <c r="A26" i="31"/>
  <c r="A27" i="31"/>
  <c r="A28" i="31"/>
  <c r="A29" i="31"/>
  <c r="A30" i="31"/>
  <c r="A31" i="31"/>
  <c r="A32" i="31"/>
  <c r="A33" i="31"/>
  <c r="A34" i="31"/>
  <c r="A35" i="31"/>
  <c r="A36" i="31"/>
  <c r="A49" i="31"/>
  <c r="C25" i="30"/>
  <c r="C26" i="30"/>
  <c r="C27" i="30"/>
  <c r="C28" i="30"/>
  <c r="C29" i="30"/>
  <c r="C30" i="30"/>
  <c r="C31" i="30"/>
  <c r="C32" i="30"/>
  <c r="C33" i="30"/>
  <c r="C34" i="30"/>
  <c r="C35" i="30"/>
  <c r="B25" i="30"/>
  <c r="B26" i="30"/>
  <c r="B27" i="30"/>
  <c r="B28" i="30"/>
  <c r="B29" i="30"/>
  <c r="B30" i="30"/>
  <c r="B31" i="30"/>
  <c r="B32" i="30"/>
  <c r="B33" i="30"/>
  <c r="B34" i="30"/>
  <c r="B35" i="30"/>
  <c r="B36" i="30"/>
  <c r="A25" i="30"/>
  <c r="A26" i="30"/>
  <c r="A27" i="30"/>
  <c r="A28" i="30"/>
  <c r="A29" i="30"/>
  <c r="A30" i="30"/>
  <c r="A31" i="30"/>
  <c r="A32" i="30"/>
  <c r="A33" i="30"/>
  <c r="A34" i="30"/>
  <c r="A35" i="30"/>
  <c r="A36" i="30"/>
  <c r="C25" i="29"/>
  <c r="C26" i="29"/>
  <c r="C27" i="29"/>
  <c r="C28" i="29"/>
  <c r="C29" i="29"/>
  <c r="C30" i="29"/>
  <c r="C31" i="29"/>
  <c r="C32" i="29"/>
  <c r="C33" i="29"/>
  <c r="C34" i="29"/>
  <c r="C35" i="29"/>
  <c r="B25" i="29"/>
  <c r="B26" i="29"/>
  <c r="B27" i="29"/>
  <c r="B28" i="29"/>
  <c r="B29" i="29"/>
  <c r="B30" i="29"/>
  <c r="B31" i="29"/>
  <c r="B32" i="29"/>
  <c r="B33" i="29"/>
  <c r="B34" i="29"/>
  <c r="B35" i="29"/>
  <c r="B36" i="29"/>
  <c r="A25" i="29"/>
  <c r="A26" i="29"/>
  <c r="A27" i="29"/>
  <c r="A28" i="29"/>
  <c r="A29" i="29"/>
  <c r="A30" i="29"/>
  <c r="A31" i="29"/>
  <c r="A32" i="29"/>
  <c r="A33" i="29"/>
  <c r="A34" i="29"/>
  <c r="A35" i="29"/>
  <c r="A36" i="29"/>
  <c r="A49" i="29"/>
  <c r="C25" i="28"/>
  <c r="C26" i="28"/>
  <c r="C27" i="28"/>
  <c r="C28" i="28"/>
  <c r="C29" i="28"/>
  <c r="C30" i="28"/>
  <c r="C31" i="28"/>
  <c r="C32" i="28"/>
  <c r="C33" i="28"/>
  <c r="C34" i="28"/>
  <c r="C35" i="28"/>
  <c r="B25" i="28"/>
  <c r="B26" i="28"/>
  <c r="B27" i="28"/>
  <c r="B28" i="28"/>
  <c r="B29" i="28"/>
  <c r="B30" i="28"/>
  <c r="B31" i="28"/>
  <c r="B32" i="28"/>
  <c r="B33" i="28"/>
  <c r="B34" i="28"/>
  <c r="B35" i="28"/>
  <c r="B36" i="28"/>
  <c r="A25" i="28"/>
  <c r="A26" i="28"/>
  <c r="A27" i="28"/>
  <c r="A28" i="28"/>
  <c r="A29" i="28"/>
  <c r="A30" i="28"/>
  <c r="A31" i="28"/>
  <c r="A32" i="28"/>
  <c r="A33" i="28"/>
  <c r="A34" i="28"/>
  <c r="A35" i="28"/>
  <c r="A36" i="28"/>
  <c r="A49" i="28"/>
  <c r="B25" i="26"/>
  <c r="B26" i="26"/>
  <c r="B27" i="26"/>
  <c r="B28" i="26"/>
  <c r="B29" i="26"/>
  <c r="B30" i="26"/>
  <c r="B31" i="26"/>
  <c r="B32" i="26"/>
  <c r="B33" i="26"/>
  <c r="B34" i="26"/>
  <c r="B35" i="26"/>
  <c r="A25" i="26"/>
  <c r="A26" i="26"/>
  <c r="A27" i="26"/>
  <c r="A28" i="26"/>
  <c r="A29" i="26"/>
  <c r="A30" i="26"/>
  <c r="A31" i="26"/>
  <c r="A32" i="26"/>
  <c r="A33" i="26"/>
  <c r="A34" i="26"/>
  <c r="A35" i="26"/>
  <c r="A49" i="26"/>
  <c r="C24" i="25"/>
  <c r="C25" i="25"/>
  <c r="C26" i="25"/>
  <c r="C27" i="25"/>
  <c r="C28" i="25"/>
  <c r="C29" i="25"/>
  <c r="C30" i="25"/>
  <c r="C31" i="25"/>
  <c r="B24" i="25"/>
  <c r="B25" i="25"/>
  <c r="B26" i="25"/>
  <c r="B27" i="25"/>
  <c r="B28" i="25"/>
  <c r="B29" i="25"/>
  <c r="B30" i="25"/>
  <c r="B31" i="25"/>
  <c r="B32" i="25"/>
  <c r="B33" i="25"/>
  <c r="B34" i="25"/>
  <c r="B35" i="25"/>
  <c r="B36" i="25"/>
  <c r="A24" i="25"/>
  <c r="A25" i="25"/>
  <c r="A26" i="25"/>
  <c r="A27" i="25"/>
  <c r="A28" i="25"/>
  <c r="A29" i="25"/>
  <c r="A30" i="25"/>
  <c r="A31" i="25"/>
  <c r="A32" i="25"/>
  <c r="A33" i="25"/>
  <c r="A34" i="25"/>
  <c r="A35" i="25"/>
  <c r="A36" i="25"/>
  <c r="A49" i="25"/>
  <c r="C25" i="24"/>
  <c r="C26" i="24"/>
  <c r="C27" i="24"/>
  <c r="C28" i="24"/>
  <c r="C29" i="24"/>
  <c r="C30" i="24"/>
  <c r="C31" i="24"/>
  <c r="C32" i="24"/>
  <c r="C33" i="24"/>
  <c r="C34" i="24"/>
  <c r="C35" i="24"/>
  <c r="B25" i="24"/>
  <c r="B26" i="24"/>
  <c r="B27" i="24"/>
  <c r="B28" i="24"/>
  <c r="B29" i="24"/>
  <c r="B30" i="24"/>
  <c r="B31" i="24"/>
  <c r="B32" i="24"/>
  <c r="B33" i="24"/>
  <c r="B34" i="24"/>
  <c r="B35" i="24"/>
  <c r="B36" i="24"/>
  <c r="A25" i="24"/>
  <c r="A26" i="24"/>
  <c r="A27" i="24"/>
  <c r="A28" i="24"/>
  <c r="A29" i="24"/>
  <c r="A30" i="24"/>
  <c r="A31" i="24"/>
  <c r="A32" i="24"/>
  <c r="A33" i="24"/>
  <c r="A34" i="24"/>
  <c r="A35" i="24"/>
  <c r="A36" i="24"/>
  <c r="A49" i="24"/>
  <c r="C25" i="23"/>
  <c r="C26" i="23"/>
  <c r="C27" i="23"/>
  <c r="C28" i="23"/>
  <c r="C29" i="23"/>
  <c r="C30" i="23"/>
  <c r="C31" i="23"/>
  <c r="C32" i="23"/>
  <c r="C33" i="23"/>
  <c r="C34" i="23"/>
  <c r="C35" i="23"/>
  <c r="C36" i="23"/>
  <c r="B25" i="23"/>
  <c r="B26" i="23"/>
  <c r="B27" i="23"/>
  <c r="B28" i="23"/>
  <c r="B29" i="23"/>
  <c r="B30" i="23"/>
  <c r="B31" i="23"/>
  <c r="B32" i="23"/>
  <c r="B33" i="23"/>
  <c r="B34" i="23"/>
  <c r="B35" i="23"/>
  <c r="B36" i="23"/>
  <c r="A25" i="23"/>
  <c r="A26" i="23"/>
  <c r="A27" i="23"/>
  <c r="A28" i="23"/>
  <c r="A29" i="23"/>
  <c r="A30" i="23"/>
  <c r="A31" i="23"/>
  <c r="A32" i="23"/>
  <c r="A33" i="23"/>
  <c r="A34" i="23"/>
  <c r="A35" i="23"/>
  <c r="A36" i="23"/>
  <c r="C24" i="22"/>
  <c r="C25" i="22"/>
  <c r="C26" i="22"/>
  <c r="C27" i="22"/>
  <c r="C28" i="22"/>
  <c r="C29" i="22"/>
  <c r="C30" i="22"/>
  <c r="C31" i="22"/>
  <c r="C32" i="22"/>
  <c r="C33" i="22"/>
  <c r="C34" i="22"/>
  <c r="C35" i="22"/>
  <c r="B24" i="22"/>
  <c r="B25" i="22"/>
  <c r="B26" i="22"/>
  <c r="B27" i="22"/>
  <c r="B28" i="22"/>
  <c r="B29" i="22"/>
  <c r="B30" i="22"/>
  <c r="B31" i="22"/>
  <c r="B32" i="22"/>
  <c r="B33" i="22"/>
  <c r="B34" i="22"/>
  <c r="B35" i="22"/>
  <c r="B36" i="22"/>
  <c r="A24" i="22"/>
  <c r="A25" i="22"/>
  <c r="A26" i="22"/>
  <c r="A27" i="22"/>
  <c r="A28" i="22"/>
  <c r="A29" i="22"/>
  <c r="A30" i="22"/>
  <c r="A31" i="22"/>
  <c r="A32" i="22"/>
  <c r="A33" i="22"/>
  <c r="A34" i="22"/>
  <c r="A35" i="22"/>
  <c r="A36" i="22"/>
  <c r="A49" i="22"/>
  <c r="C25" i="21"/>
  <c r="C26" i="21"/>
  <c r="C27" i="21"/>
  <c r="C28" i="21"/>
  <c r="C29" i="21"/>
  <c r="C30" i="21"/>
  <c r="C31" i="21"/>
  <c r="C32" i="21"/>
  <c r="C33" i="21"/>
  <c r="C34" i="21"/>
  <c r="B25" i="21"/>
  <c r="B26" i="21"/>
  <c r="B27" i="21"/>
  <c r="B28" i="21"/>
  <c r="B29" i="21"/>
  <c r="B30" i="21"/>
  <c r="B31" i="21"/>
  <c r="B32" i="21"/>
  <c r="B33" i="21"/>
  <c r="B34" i="21"/>
  <c r="B35" i="21"/>
  <c r="A25" i="21"/>
  <c r="A26" i="21"/>
  <c r="A27" i="21"/>
  <c r="A28" i="21"/>
  <c r="A29" i="21"/>
  <c r="A30" i="21"/>
  <c r="A31" i="21"/>
  <c r="A32" i="21"/>
  <c r="A33" i="21"/>
  <c r="A34" i="21"/>
  <c r="A35" i="21"/>
  <c r="C27" i="17"/>
  <c r="C28" i="17"/>
  <c r="C29" i="17"/>
  <c r="C30" i="17"/>
  <c r="B27" i="17"/>
  <c r="B28" i="17"/>
  <c r="B29" i="17"/>
  <c r="B30" i="17"/>
  <c r="B31" i="17"/>
  <c r="B32" i="17"/>
  <c r="B33" i="17"/>
  <c r="B34" i="17"/>
  <c r="B35" i="17"/>
  <c r="B36" i="17"/>
  <c r="A26" i="17"/>
  <c r="A27" i="17"/>
  <c r="A28" i="17"/>
  <c r="A29" i="17"/>
  <c r="A30" i="17"/>
  <c r="A31" i="17"/>
  <c r="A32" i="17"/>
  <c r="A33" i="17"/>
  <c r="A34" i="17"/>
  <c r="A35" i="17"/>
  <c r="C26" i="14"/>
  <c r="C27" i="14"/>
  <c r="C28" i="14"/>
  <c r="C29" i="14"/>
  <c r="C30" i="14"/>
  <c r="C31" i="14"/>
  <c r="C32" i="14"/>
  <c r="C33" i="14"/>
  <c r="C34" i="14"/>
  <c r="B26" i="14"/>
  <c r="B27" i="14"/>
  <c r="B28" i="14"/>
  <c r="B29" i="14"/>
  <c r="B30" i="14"/>
  <c r="B31" i="14"/>
  <c r="B32" i="14"/>
  <c r="B33" i="14"/>
  <c r="B34" i="14"/>
  <c r="B35" i="14"/>
  <c r="B36" i="14"/>
  <c r="A26" i="14"/>
  <c r="A27" i="14"/>
  <c r="A28" i="14"/>
  <c r="A29" i="14"/>
  <c r="A30" i="14"/>
  <c r="A31" i="14"/>
  <c r="A32" i="14"/>
  <c r="A33" i="14"/>
  <c r="A34" i="14"/>
  <c r="A35" i="14"/>
  <c r="A36" i="14"/>
  <c r="A49" i="14"/>
  <c r="C26" i="8"/>
  <c r="C27" i="8"/>
  <c r="C28" i="8"/>
  <c r="C29" i="8"/>
  <c r="C30" i="8"/>
  <c r="C31" i="8"/>
  <c r="C32" i="8"/>
  <c r="C33" i="8"/>
  <c r="B26" i="8"/>
  <c r="B27" i="8"/>
  <c r="B28" i="8"/>
  <c r="B29" i="8"/>
  <c r="B30" i="8"/>
  <c r="B31" i="8"/>
  <c r="B32" i="8"/>
  <c r="B33" i="8"/>
  <c r="B34" i="8"/>
  <c r="B35" i="8"/>
  <c r="B36" i="8"/>
  <c r="A26" i="8"/>
  <c r="A27" i="8"/>
  <c r="A28" i="8"/>
  <c r="A29" i="8"/>
  <c r="A30" i="8"/>
  <c r="A31" i="8"/>
  <c r="A32" i="8"/>
  <c r="A33" i="8"/>
  <c r="A34" i="8"/>
  <c r="A35" i="8"/>
  <c r="A36" i="8"/>
  <c r="A49" i="8"/>
  <c r="C27" i="7"/>
  <c r="C28" i="7"/>
  <c r="C29" i="7"/>
  <c r="C30" i="7"/>
  <c r="C31" i="7"/>
  <c r="C32" i="7"/>
  <c r="C33" i="7"/>
  <c r="B27" i="7"/>
  <c r="B28" i="7"/>
  <c r="B29" i="7"/>
  <c r="B30" i="7"/>
  <c r="B31" i="7"/>
  <c r="B32" i="7"/>
  <c r="B33" i="7"/>
  <c r="B34" i="7"/>
  <c r="B35" i="7"/>
  <c r="B36" i="7"/>
  <c r="A27" i="7"/>
  <c r="A28" i="7"/>
  <c r="A29" i="7"/>
  <c r="A30" i="7"/>
  <c r="A31" i="7"/>
  <c r="A32" i="7"/>
  <c r="A33" i="7"/>
  <c r="A34" i="7"/>
  <c r="A35" i="7"/>
  <c r="A36" i="7"/>
  <c r="A49" i="7"/>
  <c r="C27" i="6"/>
  <c r="C28" i="6"/>
  <c r="C29" i="6"/>
  <c r="C30" i="6"/>
  <c r="C31" i="6"/>
  <c r="B27" i="6"/>
  <c r="B28" i="6"/>
  <c r="B29" i="6"/>
  <c r="B30" i="6"/>
  <c r="B31" i="6"/>
  <c r="A27" i="6"/>
  <c r="A28" i="6"/>
  <c r="A29" i="6"/>
  <c r="A30" i="6"/>
  <c r="A31" i="6"/>
  <c r="A49" i="6"/>
  <c r="C27" i="5"/>
  <c r="C28" i="5"/>
  <c r="C29" i="5"/>
  <c r="C30" i="5"/>
  <c r="C31" i="5"/>
  <c r="C32" i="5"/>
  <c r="C33" i="5"/>
  <c r="C34" i="5"/>
  <c r="C35" i="5"/>
  <c r="C36" i="5"/>
  <c r="B27" i="5"/>
  <c r="B28" i="5"/>
  <c r="B29" i="5"/>
  <c r="B30" i="5"/>
  <c r="B31" i="5"/>
  <c r="B32" i="5"/>
  <c r="B33" i="5"/>
  <c r="B34" i="5"/>
  <c r="B35" i="5"/>
  <c r="B36" i="5"/>
  <c r="A27" i="5"/>
  <c r="A28" i="5"/>
  <c r="A29" i="5"/>
  <c r="A30" i="5"/>
  <c r="A31" i="5"/>
  <c r="A32" i="5"/>
  <c r="A33" i="5"/>
  <c r="A34" i="5"/>
  <c r="A35" i="5"/>
  <c r="A36" i="5"/>
  <c r="A49" i="5"/>
  <c r="C26" i="4"/>
  <c r="C27" i="4"/>
  <c r="C28" i="4"/>
  <c r="C29" i="4"/>
  <c r="C30" i="4"/>
  <c r="C31" i="4"/>
  <c r="C32" i="4"/>
  <c r="B26" i="4"/>
  <c r="B27" i="4"/>
  <c r="B28" i="4"/>
  <c r="B29" i="4"/>
  <c r="B30" i="4"/>
  <c r="B31" i="4"/>
  <c r="B32" i="4"/>
  <c r="B33" i="4"/>
  <c r="B34" i="4"/>
  <c r="B35" i="4"/>
  <c r="B36" i="4"/>
  <c r="A26" i="4"/>
  <c r="A27" i="4"/>
  <c r="A28" i="4"/>
  <c r="A29" i="4"/>
  <c r="A30" i="4"/>
  <c r="A31" i="4"/>
  <c r="A32" i="4"/>
  <c r="A33" i="4"/>
  <c r="A34" i="4"/>
  <c r="A35" i="4"/>
  <c r="A36" i="4"/>
  <c r="A49" i="4"/>
  <c r="C27" i="3"/>
  <c r="C28" i="3"/>
  <c r="C29" i="3"/>
  <c r="C30" i="3"/>
  <c r="C31" i="3"/>
  <c r="C32" i="3"/>
  <c r="B27" i="3"/>
  <c r="B28" i="3"/>
  <c r="B29" i="3"/>
  <c r="B30" i="3"/>
  <c r="B31" i="3"/>
  <c r="B32" i="3"/>
  <c r="B33" i="3"/>
  <c r="B34" i="3"/>
  <c r="B35" i="3"/>
  <c r="B36" i="3"/>
  <c r="A27" i="3"/>
  <c r="A28" i="3"/>
  <c r="A29" i="3"/>
  <c r="A30" i="3"/>
  <c r="A31" i="3"/>
  <c r="A32" i="3"/>
  <c r="A33" i="3"/>
  <c r="A34" i="3"/>
  <c r="A35" i="3"/>
  <c r="A36" i="3"/>
  <c r="A49" i="3"/>
  <c r="C27" i="2"/>
  <c r="C28" i="2"/>
  <c r="C29" i="2"/>
  <c r="C30" i="2"/>
  <c r="C31" i="2"/>
  <c r="C32" i="2"/>
  <c r="C33" i="2"/>
  <c r="C34" i="2"/>
  <c r="B26" i="2"/>
  <c r="B27" i="2"/>
  <c r="B28" i="2"/>
  <c r="B29" i="2"/>
  <c r="B30" i="2"/>
  <c r="B31" i="2"/>
  <c r="B32" i="2"/>
  <c r="B33" i="2"/>
  <c r="B34" i="2"/>
  <c r="B35" i="2"/>
  <c r="A26" i="2"/>
  <c r="A27" i="2"/>
  <c r="A28" i="2"/>
  <c r="A29" i="2"/>
  <c r="A30" i="2"/>
  <c r="A31" i="2"/>
  <c r="A32" i="2"/>
  <c r="A33" i="2"/>
  <c r="A34" i="2"/>
  <c r="A35" i="2"/>
  <c r="C28" i="1"/>
  <c r="C29" i="1"/>
  <c r="C30" i="1"/>
  <c r="C31" i="1"/>
  <c r="C32" i="1"/>
  <c r="B28" i="1"/>
  <c r="B29" i="1"/>
  <c r="B30" i="1"/>
  <c r="B31" i="1"/>
  <c r="B32" i="1"/>
  <c r="B33" i="1"/>
  <c r="B34" i="1"/>
  <c r="B35" i="1"/>
  <c r="A27" i="1"/>
  <c r="A28" i="1"/>
  <c r="A29" i="1"/>
  <c r="A30" i="1"/>
  <c r="A31" i="1"/>
  <c r="A32" i="1"/>
  <c r="A33" i="1"/>
  <c r="A34" i="1"/>
  <c r="A35" i="1"/>
  <c r="B26" i="44"/>
  <c r="B27" i="44"/>
  <c r="B28" i="44"/>
  <c r="B29" i="44"/>
  <c r="B30" i="44"/>
  <c r="B31" i="44"/>
  <c r="B32" i="44"/>
  <c r="A27" i="44"/>
  <c r="A28" i="44"/>
  <c r="A29" i="44"/>
  <c r="A30" i="44"/>
  <c r="A31" i="44"/>
  <c r="A32" i="44"/>
  <c r="B26" i="9"/>
  <c r="B27" i="9"/>
  <c r="B28" i="9"/>
  <c r="B29" i="9"/>
  <c r="B30" i="9"/>
  <c r="B31" i="9"/>
  <c r="B32" i="9"/>
  <c r="B33" i="9"/>
  <c r="B34" i="9"/>
  <c r="A27" i="9"/>
  <c r="A28" i="9"/>
  <c r="A29" i="9"/>
  <c r="A30" i="9"/>
  <c r="A31" i="9"/>
  <c r="A32" i="9"/>
  <c r="A33" i="9"/>
  <c r="A34" i="9"/>
  <c r="B26" i="10"/>
  <c r="B27" i="10"/>
  <c r="B28" i="10"/>
  <c r="B29" i="10"/>
  <c r="B30" i="10"/>
  <c r="B32" i="10"/>
  <c r="A26" i="10"/>
  <c r="A27" i="10"/>
  <c r="A28" i="10"/>
  <c r="A29" i="10"/>
  <c r="A30" i="10"/>
  <c r="A31" i="10"/>
  <c r="A32" i="10"/>
  <c r="B26" i="11"/>
  <c r="B27" i="11"/>
  <c r="B28" i="11"/>
  <c r="B29" i="11"/>
  <c r="B30" i="11"/>
  <c r="B31" i="11"/>
  <c r="B32" i="11"/>
  <c r="B33" i="11"/>
  <c r="B34" i="11"/>
  <c r="B35" i="11"/>
  <c r="B36" i="11"/>
  <c r="A26" i="11"/>
  <c r="A27" i="11"/>
  <c r="A28" i="11"/>
  <c r="A29" i="11"/>
  <c r="A30" i="11"/>
  <c r="A31" i="11"/>
  <c r="A32" i="11"/>
  <c r="H34" i="41"/>
  <c r="H35" i="41"/>
  <c r="H36" i="41"/>
  <c r="H41" i="13"/>
  <c r="H34" i="40"/>
  <c r="H34" i="39"/>
  <c r="H35" i="39"/>
  <c r="H36" i="39"/>
  <c r="H35" i="40"/>
  <c r="H36" i="40"/>
  <c r="H34" i="38"/>
  <c r="H35" i="38"/>
  <c r="H36" i="38"/>
  <c r="H36" i="37"/>
  <c r="H34" i="35"/>
  <c r="C34" i="34"/>
  <c r="C35" i="34"/>
  <c r="C36" i="34"/>
  <c r="H34" i="33"/>
  <c r="H35" i="33"/>
  <c r="H36" i="33"/>
  <c r="H34" i="37"/>
  <c r="H35" i="37"/>
  <c r="H34" i="36"/>
  <c r="H35" i="35"/>
  <c r="H36" i="35"/>
  <c r="H34" i="34"/>
  <c r="H35" i="34"/>
  <c r="H36" i="34"/>
  <c r="H34" i="32"/>
  <c r="H35" i="32"/>
  <c r="H36" i="32"/>
  <c r="H34" i="31"/>
  <c r="H34" i="29"/>
  <c r="H35" i="29"/>
  <c r="H34" i="26"/>
  <c r="H35" i="26"/>
  <c r="H36" i="26"/>
  <c r="H34" i="25"/>
  <c r="H35" i="25"/>
  <c r="H36" i="25"/>
  <c r="H34" i="24"/>
  <c r="H36" i="24"/>
  <c r="H36" i="23"/>
  <c r="H36" i="21"/>
  <c r="H35" i="31"/>
  <c r="H36" i="31"/>
  <c r="H34" i="30"/>
  <c r="H35" i="30"/>
  <c r="H36" i="30"/>
  <c r="H36" i="29"/>
  <c r="H34" i="28"/>
  <c r="H35" i="28"/>
  <c r="H36" i="28"/>
  <c r="H35" i="24"/>
  <c r="H34" i="23"/>
  <c r="H35" i="23"/>
  <c r="H34" i="22"/>
  <c r="H35" i="22"/>
  <c r="H36" i="22"/>
  <c r="H35" i="8"/>
  <c r="H35" i="3"/>
  <c r="F35" i="1"/>
  <c r="F35" i="2" s="1"/>
  <c r="F35" i="3" s="1"/>
  <c r="F35" i="4" s="1"/>
  <c r="G35" i="1"/>
  <c r="G35" i="2" s="1"/>
  <c r="G35" i="3" s="1"/>
  <c r="G35" i="4" s="1"/>
  <c r="G35" i="5" s="1"/>
  <c r="G35" i="6" s="1"/>
  <c r="G35" i="7" s="1"/>
  <c r="G35" i="8" s="1"/>
  <c r="G35" i="14" s="1"/>
  <c r="G35" i="17" s="1"/>
  <c r="G35" i="21" s="1"/>
  <c r="G35" i="22" s="1"/>
  <c r="G35" i="23" s="1"/>
  <c r="G35" i="24" s="1"/>
  <c r="G35" i="25" s="1"/>
  <c r="G35" i="26" s="1"/>
  <c r="G35" i="28" s="1"/>
  <c r="G35" i="29" s="1"/>
  <c r="G35" i="30" s="1"/>
  <c r="G35" i="31" s="1"/>
  <c r="G35" i="32" s="1"/>
  <c r="G35" i="33" s="1"/>
  <c r="G35" i="34" s="1"/>
  <c r="G35" i="35" s="1"/>
  <c r="H35" i="1"/>
  <c r="H35" i="44"/>
  <c r="H35" i="11"/>
  <c r="H35" i="13"/>
  <c r="H35" i="17"/>
  <c r="H35" i="14"/>
  <c r="H35" i="7"/>
  <c r="H35" i="6"/>
  <c r="H35" i="5"/>
  <c r="H35" i="4"/>
  <c r="H35" i="9"/>
  <c r="H35" i="10"/>
  <c r="F34" i="10"/>
  <c r="F34" i="9" s="1"/>
  <c r="F34" i="44" s="1"/>
  <c r="H34" i="21"/>
  <c r="H34" i="17"/>
  <c r="H34" i="8"/>
  <c r="H36" i="6"/>
  <c r="H33" i="5"/>
  <c r="H34" i="4"/>
  <c r="H34" i="3"/>
  <c r="H34" i="44"/>
  <c r="H34" i="9"/>
  <c r="H34" i="10"/>
  <c r="H36" i="10"/>
  <c r="H36" i="11"/>
  <c r="H34" i="11"/>
  <c r="F36" i="1"/>
  <c r="F36" i="2" s="1"/>
  <c r="G36" i="1"/>
  <c r="G36" i="2" s="1"/>
  <c r="G36" i="3" s="1"/>
  <c r="G36" i="4" s="1"/>
  <c r="G36" i="5" s="1"/>
  <c r="G36" i="6" s="1"/>
  <c r="G36" i="7" s="1"/>
  <c r="G36" i="8" s="1"/>
  <c r="G36" i="14" s="1"/>
  <c r="G36" i="17" s="1"/>
  <c r="G36" i="21" s="1"/>
  <c r="G36" i="22" s="1"/>
  <c r="G36" i="23" s="1"/>
  <c r="G36" i="24" s="1"/>
  <c r="G36" i="25" s="1"/>
  <c r="G36" i="26" s="1"/>
  <c r="G36" i="28" s="1"/>
  <c r="G36" i="29" s="1"/>
  <c r="G36" i="30" s="1"/>
  <c r="G36" i="31" s="1"/>
  <c r="G36" i="32" s="1"/>
  <c r="G36" i="33" s="1"/>
  <c r="G36" i="34" s="1"/>
  <c r="G36" i="35" s="1"/>
  <c r="G36" i="36" s="1"/>
  <c r="G36" i="37" s="1"/>
  <c r="G36" i="38" s="1"/>
  <c r="G36" i="39" s="1"/>
  <c r="G36" i="40" s="1"/>
  <c r="G36" i="41" s="1"/>
  <c r="H36" i="1"/>
  <c r="F34" i="1"/>
  <c r="F34" i="2" s="1"/>
  <c r="G34" i="1"/>
  <c r="G34" i="2" s="1"/>
  <c r="G34" i="3" s="1"/>
  <c r="G34" i="4" s="1"/>
  <c r="G34" i="5" s="1"/>
  <c r="G34" i="6" s="1"/>
  <c r="G34" i="7" s="1"/>
  <c r="G34" i="8" s="1"/>
  <c r="G34" i="14" s="1"/>
  <c r="G34" i="17" s="1"/>
  <c r="G34" i="21" s="1"/>
  <c r="G34" i="22" s="1"/>
  <c r="G34" i="23" s="1"/>
  <c r="G34" i="24" s="1"/>
  <c r="G34" i="25" s="1"/>
  <c r="G34" i="26" s="1"/>
  <c r="G34" i="28" s="1"/>
  <c r="G34" i="29" s="1"/>
  <c r="G34" i="30" s="1"/>
  <c r="G34" i="31" s="1"/>
  <c r="G34" i="32" s="1"/>
  <c r="G34" i="33" s="1"/>
  <c r="G34" i="34" s="1"/>
  <c r="G34" i="35" s="1"/>
  <c r="G34" i="36" s="1"/>
  <c r="G34" i="37" s="1"/>
  <c r="G34" i="38" s="1"/>
  <c r="G34" i="39" s="1"/>
  <c r="G34" i="40" s="1"/>
  <c r="G34" i="41" s="1"/>
  <c r="H34" i="1"/>
  <c r="H33" i="13"/>
  <c r="G36" i="10"/>
  <c r="G36" i="9" s="1"/>
  <c r="G35" i="10"/>
  <c r="G35" i="9" s="1"/>
  <c r="G35" i="44" s="1"/>
  <c r="H35" i="21"/>
  <c r="H36" i="17"/>
  <c r="H34" i="14"/>
  <c r="H36" i="14"/>
  <c r="H36" i="8"/>
  <c r="H34" i="7"/>
  <c r="H36" i="7"/>
  <c r="H34" i="6"/>
  <c r="H34" i="5"/>
  <c r="H36" i="5"/>
  <c r="H36" i="4"/>
  <c r="H36" i="3"/>
  <c r="H36" i="44"/>
  <c r="H36" i="9"/>
  <c r="H32" i="41"/>
  <c r="C32" i="39"/>
  <c r="H32" i="39"/>
  <c r="H32" i="38"/>
  <c r="H32" i="37"/>
  <c r="H32" i="35"/>
  <c r="H32" i="40"/>
  <c r="H32" i="36"/>
  <c r="C32" i="34"/>
  <c r="H32" i="34"/>
  <c r="H32" i="33"/>
  <c r="H32" i="29"/>
  <c r="H32" i="32"/>
  <c r="H32" i="30"/>
  <c r="H32" i="28"/>
  <c r="H32" i="31"/>
  <c r="H31" i="44"/>
  <c r="H31" i="9"/>
  <c r="F8" i="10"/>
  <c r="F8" i="9" s="1"/>
  <c r="G22" i="10"/>
  <c r="G22" i="9" s="1"/>
  <c r="F24" i="10"/>
  <c r="F24" i="9" s="1"/>
  <c r="F24" i="44" s="1"/>
  <c r="F26" i="10"/>
  <c r="F26" i="9" s="1"/>
  <c r="F27" i="10"/>
  <c r="F27" i="9" s="1"/>
  <c r="F27" i="44" s="1"/>
  <c r="F31" i="1"/>
  <c r="F31" i="2" s="1"/>
  <c r="F31" i="3" s="1"/>
  <c r="H31" i="26"/>
  <c r="H31" i="25"/>
  <c r="H31" i="24"/>
  <c r="H32" i="23"/>
  <c r="H32" i="22"/>
  <c r="H31" i="21"/>
  <c r="H31" i="17"/>
  <c r="H31" i="14"/>
  <c r="H31" i="8"/>
  <c r="H31" i="7"/>
  <c r="H31" i="5"/>
  <c r="H31" i="4"/>
  <c r="H31" i="3"/>
  <c r="G31" i="10"/>
  <c r="G31" i="9" s="1"/>
  <c r="H31" i="10"/>
  <c r="G31" i="1"/>
  <c r="G31" i="2" s="1"/>
  <c r="G31" i="3" s="1"/>
  <c r="G31" i="4" s="1"/>
  <c r="G31" i="5" s="1"/>
  <c r="G31" i="6" s="1"/>
  <c r="G31" i="7" s="1"/>
  <c r="G31" i="8" s="1"/>
  <c r="G31" i="14" s="1"/>
  <c r="G31" i="17" s="1"/>
  <c r="G31" i="21" s="1"/>
  <c r="G31" i="22" s="1"/>
  <c r="G31" i="23" s="1"/>
  <c r="G31" i="24" s="1"/>
  <c r="G31" i="25" s="1"/>
  <c r="G31" i="26" s="1"/>
  <c r="G31" i="28" s="1"/>
  <c r="G31" i="29" s="1"/>
  <c r="G31" i="30" s="1"/>
  <c r="G31" i="31" s="1"/>
  <c r="G31" i="32" s="1"/>
  <c r="G31" i="33" s="1"/>
  <c r="G31" i="34" s="1"/>
  <c r="G31" i="35" s="1"/>
  <c r="G31" i="36" s="1"/>
  <c r="G31" i="37" s="1"/>
  <c r="G31" i="38" s="1"/>
  <c r="G31" i="39" s="1"/>
  <c r="G31" i="40" s="1"/>
  <c r="G31" i="41" s="1"/>
  <c r="H31" i="1"/>
  <c r="B27" i="1"/>
  <c r="H31" i="11"/>
  <c r="B25" i="11"/>
  <c r="F32" i="1"/>
  <c r="F32" i="2" s="1"/>
  <c r="G32" i="1"/>
  <c r="G32" i="2" s="1"/>
  <c r="G32" i="3" s="1"/>
  <c r="G32" i="4" s="1"/>
  <c r="G32" i="5" s="1"/>
  <c r="G32" i="6" s="1"/>
  <c r="G32" i="7" s="1"/>
  <c r="G32" i="8" s="1"/>
  <c r="G32" i="14" s="1"/>
  <c r="G32" i="17" s="1"/>
  <c r="G32" i="21" s="1"/>
  <c r="G32" i="22" s="1"/>
  <c r="G32" i="23" s="1"/>
  <c r="G32" i="24" s="1"/>
  <c r="G32" i="25" s="1"/>
  <c r="G32" i="26" s="1"/>
  <c r="G32" i="28" s="1"/>
  <c r="G32" i="29" s="1"/>
  <c r="G32" i="30" s="1"/>
  <c r="G32" i="31" s="1"/>
  <c r="G32" i="32" s="1"/>
  <c r="G32" i="33" s="1"/>
  <c r="G32" i="34" s="1"/>
  <c r="G32" i="35" s="1"/>
  <c r="G32" i="36" s="1"/>
  <c r="G32" i="37" s="1"/>
  <c r="G32" i="38" s="1"/>
  <c r="G32" i="39" s="1"/>
  <c r="G32" i="40" s="1"/>
  <c r="G32" i="41" s="1"/>
  <c r="H31" i="13"/>
  <c r="A14" i="7"/>
  <c r="H10" i="4"/>
  <c r="H11" i="4"/>
  <c r="H12" i="4"/>
  <c r="H13" i="4"/>
  <c r="H14" i="4"/>
  <c r="H15" i="4"/>
  <c r="H16" i="4"/>
  <c r="H17" i="4"/>
  <c r="C7" i="33"/>
  <c r="H34" i="13"/>
  <c r="H32" i="13"/>
  <c r="H30" i="13"/>
  <c r="H29" i="13"/>
  <c r="C17" i="39"/>
  <c r="A1" i="13"/>
  <c r="B16" i="31"/>
  <c r="H3" i="44"/>
  <c r="H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3" i="44"/>
  <c r="H24" i="44"/>
  <c r="H25" i="44"/>
  <c r="H26" i="44"/>
  <c r="H27" i="44"/>
  <c r="H28" i="44"/>
  <c r="H29" i="44"/>
  <c r="H30" i="44"/>
  <c r="H32" i="44"/>
  <c r="B25" i="44"/>
  <c r="I6" i="15"/>
  <c r="H33" i="44"/>
  <c r="A8" i="33"/>
  <c r="F32" i="9"/>
  <c r="F32" i="44" s="1"/>
  <c r="G32" i="9"/>
  <c r="G32" i="44" s="1"/>
  <c r="H32" i="9"/>
  <c r="H4" i="15"/>
  <c r="I4" i="15"/>
  <c r="B16" i="23"/>
  <c r="H33" i="9"/>
  <c r="G33" i="9"/>
  <c r="G33" i="44" s="1"/>
  <c r="F13" i="15"/>
  <c r="E6" i="15"/>
  <c r="E4" i="15"/>
  <c r="C16" i="15"/>
  <c r="B16" i="15"/>
  <c r="B10" i="15"/>
  <c r="B7" i="15"/>
  <c r="B5" i="15"/>
  <c r="F33" i="1"/>
  <c r="F33" i="2" s="1"/>
  <c r="G33" i="1"/>
  <c r="G33" i="2" s="1"/>
  <c r="G33" i="3" s="1"/>
  <c r="G33" i="4" s="1"/>
  <c r="G33" i="5" s="1"/>
  <c r="G33" i="6" s="1"/>
  <c r="G33" i="7" s="1"/>
  <c r="G33" i="8" s="1"/>
  <c r="G33" i="14" s="1"/>
  <c r="G33" i="17" s="1"/>
  <c r="G33" i="21" s="1"/>
  <c r="G33" i="22" s="1"/>
  <c r="G33" i="23" s="1"/>
  <c r="G33" i="24" s="1"/>
  <c r="G33" i="25" s="1"/>
  <c r="G33" i="26" s="1"/>
  <c r="G33" i="28" s="1"/>
  <c r="G33" i="29" s="1"/>
  <c r="G33" i="30" s="1"/>
  <c r="G33" i="31" s="1"/>
  <c r="G33" i="32" s="1"/>
  <c r="G33" i="33" s="1"/>
  <c r="G33" i="34" s="1"/>
  <c r="G33" i="35" s="1"/>
  <c r="G33" i="36" s="1"/>
  <c r="G33" i="37" s="1"/>
  <c r="G33" i="38" s="1"/>
  <c r="G33" i="39" s="1"/>
  <c r="G33" i="40" s="1"/>
  <c r="G33" i="41" s="1"/>
  <c r="H33" i="1"/>
  <c r="H31" i="41"/>
  <c r="H33" i="41"/>
  <c r="C31" i="39"/>
  <c r="H31" i="39"/>
  <c r="C33" i="39"/>
  <c r="H33" i="39"/>
  <c r="C31" i="34"/>
  <c r="C33" i="34"/>
  <c r="H32" i="26"/>
  <c r="H33" i="26"/>
  <c r="H32" i="25"/>
  <c r="H33" i="25"/>
  <c r="C13" i="15"/>
  <c r="H31" i="23"/>
  <c r="H31" i="22"/>
  <c r="H33" i="4"/>
  <c r="H33" i="10"/>
  <c r="H32" i="10"/>
  <c r="H32" i="11"/>
  <c r="H33" i="11"/>
  <c r="H32" i="1"/>
  <c r="C5" i="15"/>
  <c r="H33" i="33"/>
  <c r="H33" i="40"/>
  <c r="H33" i="37"/>
  <c r="H33" i="35"/>
  <c r="H33" i="32"/>
  <c r="H33" i="31"/>
  <c r="H33" i="24"/>
  <c r="H33" i="30"/>
  <c r="H33" i="29"/>
  <c r="H33" i="38"/>
  <c r="H33" i="36"/>
  <c r="H33" i="28"/>
  <c r="H33" i="17"/>
  <c r="H33" i="14"/>
  <c r="H33" i="7"/>
  <c r="H33" i="8"/>
  <c r="H32" i="6"/>
  <c r="H32" i="5"/>
  <c r="H32" i="4"/>
  <c r="H32" i="3"/>
  <c r="H33" i="3"/>
  <c r="I32" i="10"/>
  <c r="I33" i="10"/>
  <c r="F33" i="9"/>
  <c r="F33" i="44" s="1"/>
  <c r="H33" i="34"/>
  <c r="F8" i="15"/>
  <c r="H33" i="23"/>
  <c r="H31" i="34"/>
  <c r="H31" i="6"/>
  <c r="B3" i="23"/>
  <c r="H32" i="7"/>
  <c r="F2" i="15"/>
  <c r="H31" i="28"/>
  <c r="H32" i="24"/>
  <c r="H31" i="40"/>
  <c r="C9" i="15"/>
  <c r="H32" i="8"/>
  <c r="H31" i="33"/>
  <c r="H32" i="17"/>
  <c r="C11" i="15"/>
  <c r="F12" i="15"/>
  <c r="H31" i="38"/>
  <c r="H31" i="37"/>
  <c r="F6" i="15"/>
  <c r="H31" i="32"/>
  <c r="H32" i="14"/>
  <c r="F9" i="15"/>
  <c r="H31" i="35"/>
  <c r="H31" i="29"/>
  <c r="H31" i="31"/>
  <c r="H31" i="36"/>
  <c r="F4" i="15"/>
  <c r="H31" i="30"/>
  <c r="C8" i="10"/>
  <c r="C19" i="37"/>
  <c r="B22" i="25"/>
  <c r="B10" i="2"/>
  <c r="L2" i="15"/>
  <c r="I11" i="15" s="1"/>
  <c r="B17" i="10"/>
  <c r="C3" i="38"/>
  <c r="C4" i="38"/>
  <c r="C5" i="38"/>
  <c r="C6" i="38"/>
  <c r="C7" i="38"/>
  <c r="C8" i="38"/>
  <c r="C9" i="38"/>
  <c r="C10" i="38"/>
  <c r="C11" i="38"/>
  <c r="C12" i="38"/>
  <c r="C13" i="38"/>
  <c r="C14" i="38"/>
  <c r="C15" i="38"/>
  <c r="C16" i="38"/>
  <c r="C17" i="38"/>
  <c r="C18" i="38"/>
  <c r="C19" i="38"/>
  <c r="C20" i="38"/>
  <c r="C21" i="38"/>
  <c r="C22" i="38"/>
  <c r="C23" i="38"/>
  <c r="C24" i="38"/>
  <c r="H3" i="34"/>
  <c r="H4" i="34"/>
  <c r="H5" i="34"/>
  <c r="H6" i="34"/>
  <c r="H7" i="34"/>
  <c r="H8" i="34"/>
  <c r="H9" i="34"/>
  <c r="H10" i="34"/>
  <c r="H11" i="34"/>
  <c r="H12" i="34"/>
  <c r="H13" i="34"/>
  <c r="A1" i="44"/>
  <c r="A1" i="9"/>
  <c r="A1" i="10"/>
  <c r="A1" i="11"/>
  <c r="H7" i="25"/>
  <c r="H8" i="25"/>
  <c r="H9" i="25"/>
  <c r="H10" i="25"/>
  <c r="H11" i="25"/>
  <c r="H12" i="25"/>
  <c r="H13" i="25"/>
  <c r="H14" i="25"/>
  <c r="H15" i="25"/>
  <c r="H16" i="25"/>
  <c r="H17" i="25"/>
  <c r="B11" i="5"/>
  <c r="B11" i="10"/>
  <c r="A9" i="9"/>
  <c r="H10" i="35"/>
  <c r="H11" i="35"/>
  <c r="H12" i="35"/>
  <c r="H13" i="35"/>
  <c r="H14" i="35"/>
  <c r="H15" i="35"/>
  <c r="H3" i="35"/>
  <c r="H4" i="35"/>
  <c r="H5" i="35"/>
  <c r="H6" i="35"/>
  <c r="H7" i="35"/>
  <c r="H8" i="35"/>
  <c r="H9" i="35"/>
  <c r="H16" i="35"/>
  <c r="H17" i="35"/>
  <c r="H18" i="35"/>
  <c r="H19" i="35"/>
  <c r="H20" i="35"/>
  <c r="H21" i="35"/>
  <c r="H22" i="35"/>
  <c r="H23" i="35"/>
  <c r="H24" i="35"/>
  <c r="H25" i="35"/>
  <c r="H26" i="35"/>
  <c r="H27" i="35"/>
  <c r="H28" i="35"/>
  <c r="H29" i="35"/>
  <c r="H30" i="35"/>
  <c r="H22" i="1"/>
  <c r="C22" i="41"/>
  <c r="H10" i="38"/>
  <c r="H11" i="38"/>
  <c r="H12" i="38"/>
  <c r="H13" i="38"/>
  <c r="H14" i="38"/>
  <c r="H15" i="38"/>
  <c r="H16" i="38"/>
  <c r="H17" i="38"/>
  <c r="H18" i="38"/>
  <c r="H19" i="38"/>
  <c r="H20" i="38"/>
  <c r="G3" i="1"/>
  <c r="G3" i="2" s="1"/>
  <c r="G4" i="1"/>
  <c r="G4" i="2" s="1"/>
  <c r="G4" i="3" s="1"/>
  <c r="G4" i="4" s="1"/>
  <c r="G4" i="5" s="1"/>
  <c r="G4" i="6" s="1"/>
  <c r="G4" i="7" s="1"/>
  <c r="G4" i="8" s="1"/>
  <c r="G4" i="14" s="1"/>
  <c r="G4" i="17" s="1"/>
  <c r="G4" i="21" s="1"/>
  <c r="G4" i="22" s="1"/>
  <c r="G4" i="23" s="1"/>
  <c r="G4" i="24" s="1"/>
  <c r="G4" i="25" s="1"/>
  <c r="G4" i="26" s="1"/>
  <c r="G4" i="28" s="1"/>
  <c r="G4" i="29" s="1"/>
  <c r="G4" i="30" s="1"/>
  <c r="G4" i="31" s="1"/>
  <c r="G4" i="32" s="1"/>
  <c r="G4" i="33" s="1"/>
  <c r="G4" i="34" s="1"/>
  <c r="G4" i="35" s="1"/>
  <c r="G4" i="36" s="1"/>
  <c r="G4" i="37" s="1"/>
  <c r="G4" i="38" s="1"/>
  <c r="G4" i="39" s="1"/>
  <c r="G4" i="40" s="1"/>
  <c r="G4" i="41" s="1"/>
  <c r="G5" i="1"/>
  <c r="G5" i="2" s="1"/>
  <c r="G5" i="3" s="1"/>
  <c r="G5" i="4" s="1"/>
  <c r="G6" i="1"/>
  <c r="G6" i="2" s="1"/>
  <c r="G6" i="3" s="1"/>
  <c r="G6" i="4" s="1"/>
  <c r="G6" i="5" s="1"/>
  <c r="G6" i="6" s="1"/>
  <c r="G6" i="7" s="1"/>
  <c r="G6" i="8" s="1"/>
  <c r="G6" i="14" s="1"/>
  <c r="G6" i="17" s="1"/>
  <c r="G6" i="21" s="1"/>
  <c r="G6" i="22" s="1"/>
  <c r="G6" i="23" s="1"/>
  <c r="G6" i="24" s="1"/>
  <c r="G6" i="25" s="1"/>
  <c r="G6" i="26" s="1"/>
  <c r="G6" i="28" s="1"/>
  <c r="G6" i="29" s="1"/>
  <c r="G6" i="30" s="1"/>
  <c r="G6" i="31" s="1"/>
  <c r="G6" i="32" s="1"/>
  <c r="G6" i="33" s="1"/>
  <c r="G6" i="34" s="1"/>
  <c r="G6" i="35" s="1"/>
  <c r="G6" i="36" s="1"/>
  <c r="G6" i="37" s="1"/>
  <c r="G6" i="38" s="1"/>
  <c r="G6" i="39" s="1"/>
  <c r="G6" i="40" s="1"/>
  <c r="G6" i="41" s="1"/>
  <c r="G7" i="1"/>
  <c r="G7" i="2" s="1"/>
  <c r="G7" i="3" s="1"/>
  <c r="G7" i="4" s="1"/>
  <c r="G7" i="5" s="1"/>
  <c r="G7" i="6" s="1"/>
  <c r="G7" i="7" s="1"/>
  <c r="G7" i="8" s="1"/>
  <c r="G7" i="14" s="1"/>
  <c r="G7" i="17" s="1"/>
  <c r="G7" i="21" s="1"/>
  <c r="G7" i="22" s="1"/>
  <c r="G7" i="23" s="1"/>
  <c r="G7" i="24" s="1"/>
  <c r="G7" i="25" s="1"/>
  <c r="G7" i="26" s="1"/>
  <c r="G7" i="28" s="1"/>
  <c r="G7" i="29" s="1"/>
  <c r="G7" i="30" s="1"/>
  <c r="G7" i="31" s="1"/>
  <c r="G7" i="32" s="1"/>
  <c r="G7" i="33" s="1"/>
  <c r="G7" i="34" s="1"/>
  <c r="G7" i="35" s="1"/>
  <c r="G7" i="36" s="1"/>
  <c r="G7" i="37" s="1"/>
  <c r="G7" i="38" s="1"/>
  <c r="G7" i="39" s="1"/>
  <c r="G7" i="40" s="1"/>
  <c r="G7" i="41" s="1"/>
  <c r="G8" i="1"/>
  <c r="G8" i="2" s="1"/>
  <c r="G8" i="3" s="1"/>
  <c r="G8" i="4" s="1"/>
  <c r="G8" i="5" s="1"/>
  <c r="G8" i="6" s="1"/>
  <c r="G8" i="7" s="1"/>
  <c r="G8" i="8" s="1"/>
  <c r="G8" i="14" s="1"/>
  <c r="G8" i="17" s="1"/>
  <c r="G8" i="21" s="1"/>
  <c r="G8" i="22" s="1"/>
  <c r="G8" i="23" s="1"/>
  <c r="G8" i="24" s="1"/>
  <c r="G8" i="25" s="1"/>
  <c r="G8" i="26" s="1"/>
  <c r="G8" i="28" s="1"/>
  <c r="G8" i="29" s="1"/>
  <c r="G8" i="30" s="1"/>
  <c r="G8" i="31" s="1"/>
  <c r="G8" i="32" s="1"/>
  <c r="G8" i="33" s="1"/>
  <c r="G8" i="34" s="1"/>
  <c r="G8" i="35" s="1"/>
  <c r="G8" i="36" s="1"/>
  <c r="G8" i="37" s="1"/>
  <c r="G8" i="38" s="1"/>
  <c r="G8" i="39" s="1"/>
  <c r="G8" i="40" s="1"/>
  <c r="G8" i="41" s="1"/>
  <c r="G9" i="1"/>
  <c r="G9" i="2" s="1"/>
  <c r="G9" i="3" s="1"/>
  <c r="G9" i="4" s="1"/>
  <c r="G9" i="5" s="1"/>
  <c r="G9" i="6" s="1"/>
  <c r="G9" i="7" s="1"/>
  <c r="G9" i="8" s="1"/>
  <c r="G9" i="14" s="1"/>
  <c r="G9" i="17" s="1"/>
  <c r="G9" i="21" s="1"/>
  <c r="G9" i="22" s="1"/>
  <c r="G9" i="23" s="1"/>
  <c r="G9" i="24" s="1"/>
  <c r="G9" i="25" s="1"/>
  <c r="G9" i="26" s="1"/>
  <c r="G9" i="28" s="1"/>
  <c r="G9" i="29" s="1"/>
  <c r="G9" i="30" s="1"/>
  <c r="G9" i="31" s="1"/>
  <c r="G9" i="32" s="1"/>
  <c r="G9" i="33" s="1"/>
  <c r="G9" i="34" s="1"/>
  <c r="G9" i="35" s="1"/>
  <c r="G10" i="1"/>
  <c r="G10" i="2" s="1"/>
  <c r="G10" i="3" s="1"/>
  <c r="G10" i="4" s="1"/>
  <c r="G10" i="5" s="1"/>
  <c r="G10" i="6" s="1"/>
  <c r="G10" i="7" s="1"/>
  <c r="G10" i="8" s="1"/>
  <c r="G10" i="14" s="1"/>
  <c r="G10" i="17" s="1"/>
  <c r="G10" i="21" s="1"/>
  <c r="G10" i="22" s="1"/>
  <c r="G10" i="23" s="1"/>
  <c r="G10" i="24" s="1"/>
  <c r="G10" i="25" s="1"/>
  <c r="G10" i="26" s="1"/>
  <c r="G10" i="28" s="1"/>
  <c r="G10" i="29" s="1"/>
  <c r="G10" i="30" s="1"/>
  <c r="G10" i="31" s="1"/>
  <c r="G10" i="32" s="1"/>
  <c r="G10" i="33" s="1"/>
  <c r="G10" i="34" s="1"/>
  <c r="G10" i="35" s="1"/>
  <c r="G10" i="36" s="1"/>
  <c r="G10" i="37" s="1"/>
  <c r="G10" i="38" s="1"/>
  <c r="G10" i="39" s="1"/>
  <c r="G10" i="40" s="1"/>
  <c r="G10" i="41" s="1"/>
  <c r="G11" i="1"/>
  <c r="G11" i="2" s="1"/>
  <c r="G11" i="3" s="1"/>
  <c r="G11" i="4" s="1"/>
  <c r="G11" i="5" s="1"/>
  <c r="G11" i="6" s="1"/>
  <c r="G11" i="7" s="1"/>
  <c r="G11" i="8" s="1"/>
  <c r="G11" i="14" s="1"/>
  <c r="G11" i="17" s="1"/>
  <c r="G11" i="21" s="1"/>
  <c r="G11" i="22" s="1"/>
  <c r="G11" i="23" s="1"/>
  <c r="G11" i="24" s="1"/>
  <c r="G11" i="25" s="1"/>
  <c r="G11" i="26" s="1"/>
  <c r="G11" i="28" s="1"/>
  <c r="G11" i="29" s="1"/>
  <c r="G11" i="30" s="1"/>
  <c r="G11" i="31" s="1"/>
  <c r="G11" i="32" s="1"/>
  <c r="G11" i="33" s="1"/>
  <c r="G11" i="34" s="1"/>
  <c r="G11" i="35" s="1"/>
  <c r="G12" i="1"/>
  <c r="G12" i="2" s="1"/>
  <c r="G13" i="1"/>
  <c r="G13" i="2" s="1"/>
  <c r="G13" i="3" s="1"/>
  <c r="G13" i="4" s="1"/>
  <c r="G13" i="5" s="1"/>
  <c r="G13" i="6" s="1"/>
  <c r="G13" i="7" s="1"/>
  <c r="G13" i="8" s="1"/>
  <c r="G13" i="14" s="1"/>
  <c r="G13" i="17" s="1"/>
  <c r="G13" i="21" s="1"/>
  <c r="G13" i="22" s="1"/>
  <c r="G13" i="23" s="1"/>
  <c r="G13" i="24" s="1"/>
  <c r="G13" i="25" s="1"/>
  <c r="G13" i="26" s="1"/>
  <c r="G13" i="28" s="1"/>
  <c r="G13" i="29" s="1"/>
  <c r="G13" i="30" s="1"/>
  <c r="G13" i="31" s="1"/>
  <c r="G13" i="32" s="1"/>
  <c r="G13" i="33" s="1"/>
  <c r="G13" i="34" s="1"/>
  <c r="G13" i="35" s="1"/>
  <c r="G13" i="36" s="1"/>
  <c r="G13" i="37" s="1"/>
  <c r="G13" i="38" s="1"/>
  <c r="G13" i="39" s="1"/>
  <c r="G13" i="40" s="1"/>
  <c r="G13" i="41" s="1"/>
  <c r="G14" i="1"/>
  <c r="G14" i="2" s="1"/>
  <c r="G14" i="3" s="1"/>
  <c r="G14" i="4" s="1"/>
  <c r="G14" i="5" s="1"/>
  <c r="G14" i="6" s="1"/>
  <c r="G14" i="7" s="1"/>
  <c r="G14" i="8" s="1"/>
  <c r="G14" i="14" s="1"/>
  <c r="G14" i="17" s="1"/>
  <c r="G14" i="21" s="1"/>
  <c r="G14" i="22" s="1"/>
  <c r="G14" i="23" s="1"/>
  <c r="G14" i="24" s="1"/>
  <c r="G14" i="25" s="1"/>
  <c r="G14" i="26" s="1"/>
  <c r="G14" i="28" s="1"/>
  <c r="G14" i="29" s="1"/>
  <c r="G14" i="30" s="1"/>
  <c r="G14" i="31" s="1"/>
  <c r="G14" i="32" s="1"/>
  <c r="G14" i="33" s="1"/>
  <c r="G14" i="34" s="1"/>
  <c r="G14" i="35" s="1"/>
  <c r="G14" i="36" s="1"/>
  <c r="G14" i="37" s="1"/>
  <c r="G15" i="1"/>
  <c r="G15" i="2" s="1"/>
  <c r="G15" i="3" s="1"/>
  <c r="G15" i="4" s="1"/>
  <c r="G15" i="5" s="1"/>
  <c r="G15" i="6" s="1"/>
  <c r="G15" i="7" s="1"/>
  <c r="G15" i="8" s="1"/>
  <c r="G15" i="14" s="1"/>
  <c r="G15" i="17" s="1"/>
  <c r="G15" i="21" s="1"/>
  <c r="G15" i="22" s="1"/>
  <c r="G15" i="23" s="1"/>
  <c r="G15" i="24" s="1"/>
  <c r="G15" i="25" s="1"/>
  <c r="G15" i="26" s="1"/>
  <c r="G15" i="28" s="1"/>
  <c r="G15" i="29" s="1"/>
  <c r="G15" i="30" s="1"/>
  <c r="G15" i="31" s="1"/>
  <c r="G15" i="32" s="1"/>
  <c r="G15" i="33" s="1"/>
  <c r="G15" i="34" s="1"/>
  <c r="G15" i="35" s="1"/>
  <c r="G15" i="36" s="1"/>
  <c r="G15" i="37" s="1"/>
  <c r="G15" i="38" s="1"/>
  <c r="G15" i="39" s="1"/>
  <c r="G15" i="40" s="1"/>
  <c r="G15" i="41" s="1"/>
  <c r="G16" i="1"/>
  <c r="G16" i="2" s="1"/>
  <c r="G16" i="3" s="1"/>
  <c r="G16" i="4" s="1"/>
  <c r="G16" i="5" s="1"/>
  <c r="G16" i="6" s="1"/>
  <c r="G16" i="7" s="1"/>
  <c r="G16" i="8" s="1"/>
  <c r="G16" i="14" s="1"/>
  <c r="G16" i="17" s="1"/>
  <c r="G16" i="21" s="1"/>
  <c r="G16" i="22" s="1"/>
  <c r="G16" i="23" s="1"/>
  <c r="G16" i="24" s="1"/>
  <c r="G16" i="25" s="1"/>
  <c r="G16" i="26" s="1"/>
  <c r="G16" i="28" s="1"/>
  <c r="G16" i="29" s="1"/>
  <c r="G16" i="30" s="1"/>
  <c r="G16" i="31" s="1"/>
  <c r="G16" i="32" s="1"/>
  <c r="G16" i="33" s="1"/>
  <c r="G16" i="34" s="1"/>
  <c r="G16" i="35" s="1"/>
  <c r="G16" i="36" s="1"/>
  <c r="G16" i="37" s="1"/>
  <c r="G16" i="38" s="1"/>
  <c r="G16" i="39" s="1"/>
  <c r="G16" i="40" s="1"/>
  <c r="G16" i="41" s="1"/>
  <c r="G17" i="1"/>
  <c r="G17" i="2" s="1"/>
  <c r="G17" i="3" s="1"/>
  <c r="G17" i="4" s="1"/>
  <c r="G17" i="5" s="1"/>
  <c r="G17" i="6" s="1"/>
  <c r="G17" i="7" s="1"/>
  <c r="G17" i="8" s="1"/>
  <c r="G17" i="14" s="1"/>
  <c r="G17" i="17" s="1"/>
  <c r="G17" i="21" s="1"/>
  <c r="G17" i="22" s="1"/>
  <c r="G17" i="23" s="1"/>
  <c r="G17" i="24" s="1"/>
  <c r="G17" i="25" s="1"/>
  <c r="G17" i="26" s="1"/>
  <c r="G17" i="28" s="1"/>
  <c r="G17" i="29" s="1"/>
  <c r="G17" i="30" s="1"/>
  <c r="G17" i="31" s="1"/>
  <c r="G17" i="32" s="1"/>
  <c r="G17" i="33" s="1"/>
  <c r="G17" i="34" s="1"/>
  <c r="G18" i="1"/>
  <c r="G18" i="2" s="1"/>
  <c r="G18" i="3" s="1"/>
  <c r="G18" i="4" s="1"/>
  <c r="G18" i="5" s="1"/>
  <c r="G18" i="6" s="1"/>
  <c r="G18" i="7" s="1"/>
  <c r="G18" i="8" s="1"/>
  <c r="G18" i="14" s="1"/>
  <c r="G18" i="17" s="1"/>
  <c r="G18" i="21" s="1"/>
  <c r="G18" i="22" s="1"/>
  <c r="G18" i="23" s="1"/>
  <c r="G18" i="24" s="1"/>
  <c r="G18" i="25" s="1"/>
  <c r="G18" i="26" s="1"/>
  <c r="G18" i="28" s="1"/>
  <c r="G18" i="29" s="1"/>
  <c r="G18" i="30" s="1"/>
  <c r="G18" i="31" s="1"/>
  <c r="G18" i="32" s="1"/>
  <c r="G18" i="33" s="1"/>
  <c r="G18" i="34" s="1"/>
  <c r="G18" i="35" s="1"/>
  <c r="G18" i="36" s="1"/>
  <c r="G18" i="37" s="1"/>
  <c r="G18" i="38" s="1"/>
  <c r="G18" i="39" s="1"/>
  <c r="G18" i="40" s="1"/>
  <c r="G18" i="41" s="1"/>
  <c r="G19" i="1"/>
  <c r="G20" i="1"/>
  <c r="G20" i="2" s="1"/>
  <c r="G20" i="3" s="1"/>
  <c r="G20" i="4" s="1"/>
  <c r="G20" i="5" s="1"/>
  <c r="G20" i="6" s="1"/>
  <c r="G20" i="7" s="1"/>
  <c r="G20" i="8" s="1"/>
  <c r="G20" i="14" s="1"/>
  <c r="G20" i="17" s="1"/>
  <c r="G20" i="21" s="1"/>
  <c r="G20" i="22" s="1"/>
  <c r="G20" i="23" s="1"/>
  <c r="G20" i="24" s="1"/>
  <c r="G20" i="25" s="1"/>
  <c r="G20" i="26" s="1"/>
  <c r="G20" i="28" s="1"/>
  <c r="G20" i="29" s="1"/>
  <c r="G20" i="30" s="1"/>
  <c r="G20" i="31" s="1"/>
  <c r="G20" i="32" s="1"/>
  <c r="G20" i="33" s="1"/>
  <c r="G20" i="34" s="1"/>
  <c r="G20" i="35" s="1"/>
  <c r="G20" i="36" s="1"/>
  <c r="G20" i="37" s="1"/>
  <c r="G20" i="38" s="1"/>
  <c r="G20" i="39" s="1"/>
  <c r="G20" i="40" s="1"/>
  <c r="G20" i="41" s="1"/>
  <c r="G21" i="1"/>
  <c r="G21" i="2" s="1"/>
  <c r="G21" i="3" s="1"/>
  <c r="G21" i="4" s="1"/>
  <c r="G21" i="5" s="1"/>
  <c r="G21" i="6" s="1"/>
  <c r="G21" i="7" s="1"/>
  <c r="G21" i="8" s="1"/>
  <c r="G21" i="14" s="1"/>
  <c r="G21" i="17" s="1"/>
  <c r="G21" i="21" s="1"/>
  <c r="G21" i="22" s="1"/>
  <c r="G21" i="23" s="1"/>
  <c r="G21" i="24" s="1"/>
  <c r="G21" i="25" s="1"/>
  <c r="G21" i="26" s="1"/>
  <c r="G21" i="28" s="1"/>
  <c r="G21" i="29" s="1"/>
  <c r="G21" i="30" s="1"/>
  <c r="G21" i="31" s="1"/>
  <c r="G21" i="32" s="1"/>
  <c r="G21" i="33" s="1"/>
  <c r="G21" i="34" s="1"/>
  <c r="G21" i="35" s="1"/>
  <c r="G22" i="1"/>
  <c r="G22" i="2" s="1"/>
  <c r="G22" i="3" s="1"/>
  <c r="G22" i="4" s="1"/>
  <c r="G22" i="5" s="1"/>
  <c r="G22" i="6" s="1"/>
  <c r="G22" i="7" s="1"/>
  <c r="G22" i="8" s="1"/>
  <c r="G22" i="14" s="1"/>
  <c r="G22" i="17" s="1"/>
  <c r="G22" i="21" s="1"/>
  <c r="G22" i="22" s="1"/>
  <c r="G22" i="23" s="1"/>
  <c r="G22" i="24" s="1"/>
  <c r="G22" i="25" s="1"/>
  <c r="G22" i="26" s="1"/>
  <c r="G22" i="28" s="1"/>
  <c r="G22" i="29" s="1"/>
  <c r="G22" i="30" s="1"/>
  <c r="G22" i="31" s="1"/>
  <c r="G22" i="32" s="1"/>
  <c r="G22" i="33" s="1"/>
  <c r="G22" i="34" s="1"/>
  <c r="G22" i="35" s="1"/>
  <c r="G22" i="36" s="1"/>
  <c r="G22" i="37" s="1"/>
  <c r="G22" i="38" s="1"/>
  <c r="G22" i="39" s="1"/>
  <c r="G22" i="40" s="1"/>
  <c r="G22" i="41" s="1"/>
  <c r="G23" i="1"/>
  <c r="G23" i="2" s="1"/>
  <c r="G23" i="3" s="1"/>
  <c r="G23" i="4" s="1"/>
  <c r="G23" i="5" s="1"/>
  <c r="G23" i="6" s="1"/>
  <c r="G23" i="7" s="1"/>
  <c r="G23" i="8" s="1"/>
  <c r="G23" i="14" s="1"/>
  <c r="G23" i="17" s="1"/>
  <c r="G23" i="21" s="1"/>
  <c r="G23" i="22" s="1"/>
  <c r="G23" i="23" s="1"/>
  <c r="G23" i="24" s="1"/>
  <c r="G23" i="25" s="1"/>
  <c r="G23" i="26" s="1"/>
  <c r="G23" i="28" s="1"/>
  <c r="G23" i="29" s="1"/>
  <c r="G23" i="30" s="1"/>
  <c r="G23" i="31" s="1"/>
  <c r="G23" i="32" s="1"/>
  <c r="G23" i="33" s="1"/>
  <c r="G23" i="34" s="1"/>
  <c r="G23" i="35" s="1"/>
  <c r="G23" i="36" s="1"/>
  <c r="G23" i="37" s="1"/>
  <c r="G23" i="38" s="1"/>
  <c r="G23" i="39" s="1"/>
  <c r="G23" i="40" s="1"/>
  <c r="G23" i="41" s="1"/>
  <c r="G24" i="1"/>
  <c r="G24" i="2" s="1"/>
  <c r="G24" i="3" s="1"/>
  <c r="G24" i="4" s="1"/>
  <c r="G24" i="5" s="1"/>
  <c r="G24" i="6" s="1"/>
  <c r="G24" i="7" s="1"/>
  <c r="G24" i="8" s="1"/>
  <c r="G24" i="14" s="1"/>
  <c r="G24" i="17" s="1"/>
  <c r="G24" i="21" s="1"/>
  <c r="G24" i="22" s="1"/>
  <c r="G24" i="23" s="1"/>
  <c r="G24" i="24" s="1"/>
  <c r="G24" i="25" s="1"/>
  <c r="G24" i="26" s="1"/>
  <c r="G24" i="28" s="1"/>
  <c r="G24" i="29" s="1"/>
  <c r="G24" i="30" s="1"/>
  <c r="G24" i="31" s="1"/>
  <c r="G24" i="32" s="1"/>
  <c r="G24" i="33" s="1"/>
  <c r="G24" i="34" s="1"/>
  <c r="G24" i="35" s="1"/>
  <c r="G24" i="36" s="1"/>
  <c r="G24" i="37" s="1"/>
  <c r="G24" i="38" s="1"/>
  <c r="G24" i="39" s="1"/>
  <c r="G24" i="40" s="1"/>
  <c r="G24" i="41" s="1"/>
  <c r="G25" i="1"/>
  <c r="G25" i="2" s="1"/>
  <c r="G25" i="3" s="1"/>
  <c r="G25" i="4" s="1"/>
  <c r="G25" i="5" s="1"/>
  <c r="G25" i="6" s="1"/>
  <c r="G25" i="7" s="1"/>
  <c r="G25" i="8" s="1"/>
  <c r="G25" i="14" s="1"/>
  <c r="G25" i="17" s="1"/>
  <c r="G25" i="21" s="1"/>
  <c r="G25" i="22" s="1"/>
  <c r="G25" i="23" s="1"/>
  <c r="G25" i="24" s="1"/>
  <c r="G25" i="25" s="1"/>
  <c r="G25" i="26" s="1"/>
  <c r="G25" i="28" s="1"/>
  <c r="G25" i="29" s="1"/>
  <c r="G25" i="30" s="1"/>
  <c r="G25" i="31" s="1"/>
  <c r="G25" i="32" s="1"/>
  <c r="G25" i="33" s="1"/>
  <c r="G25" i="34" s="1"/>
  <c r="G25" i="35" s="1"/>
  <c r="G25" i="36" s="1"/>
  <c r="G25" i="37" s="1"/>
  <c r="G25" i="38" s="1"/>
  <c r="G25" i="39" s="1"/>
  <c r="G25" i="40" s="1"/>
  <c r="G25" i="41" s="1"/>
  <c r="G26" i="1"/>
  <c r="G27" i="1"/>
  <c r="G27" i="2" s="1"/>
  <c r="G27" i="3" s="1"/>
  <c r="G28" i="1"/>
  <c r="G28" i="2" s="1"/>
  <c r="G28" i="3" s="1"/>
  <c r="G28" i="4" s="1"/>
  <c r="G28" i="5" s="1"/>
  <c r="G28" i="6" s="1"/>
  <c r="G28" i="7" s="1"/>
  <c r="G28" i="8" s="1"/>
  <c r="G28" i="14" s="1"/>
  <c r="G28" i="17" s="1"/>
  <c r="G28" i="21" s="1"/>
  <c r="G28" i="22" s="1"/>
  <c r="G28" i="23" s="1"/>
  <c r="G28" i="24" s="1"/>
  <c r="G28" i="25" s="1"/>
  <c r="G28" i="26" s="1"/>
  <c r="G28" i="28" s="1"/>
  <c r="G28" i="29" s="1"/>
  <c r="G28" i="30" s="1"/>
  <c r="G28" i="31" s="1"/>
  <c r="G28" i="32" s="1"/>
  <c r="G28" i="33" s="1"/>
  <c r="G28" i="34" s="1"/>
  <c r="G28" i="35" s="1"/>
  <c r="G28" i="36" s="1"/>
  <c r="G28" i="37" s="1"/>
  <c r="G28" i="38" s="1"/>
  <c r="G28" i="39" s="1"/>
  <c r="G28" i="40" s="1"/>
  <c r="G28" i="41" s="1"/>
  <c r="G29" i="1"/>
  <c r="G29" i="2" s="1"/>
  <c r="G29" i="3" s="1"/>
  <c r="G29" i="4" s="1"/>
  <c r="G29" i="5" s="1"/>
  <c r="G29" i="6" s="1"/>
  <c r="G29" i="7" s="1"/>
  <c r="G29" i="8" s="1"/>
  <c r="G29" i="14" s="1"/>
  <c r="G29" i="17" s="1"/>
  <c r="G29" i="21" s="1"/>
  <c r="G29" i="22" s="1"/>
  <c r="G29" i="23" s="1"/>
  <c r="G29" i="24" s="1"/>
  <c r="G29" i="25" s="1"/>
  <c r="G29" i="26" s="1"/>
  <c r="G29" i="28" s="1"/>
  <c r="G29" i="29" s="1"/>
  <c r="G29" i="30" s="1"/>
  <c r="G29" i="31" s="1"/>
  <c r="G29" i="32" s="1"/>
  <c r="G29" i="33" s="1"/>
  <c r="G29" i="34" s="1"/>
  <c r="G29" i="35" s="1"/>
  <c r="G30" i="1"/>
  <c r="G30" i="2" s="1"/>
  <c r="G30" i="3" s="1"/>
  <c r="G30" i="4" s="1"/>
  <c r="G30" i="5" s="1"/>
  <c r="G30" i="6" s="1"/>
  <c r="G30" i="7" s="1"/>
  <c r="G30" i="8" s="1"/>
  <c r="G30" i="14" s="1"/>
  <c r="G30" i="17" s="1"/>
  <c r="G30" i="21" s="1"/>
  <c r="G30" i="22" s="1"/>
  <c r="G30" i="23" s="1"/>
  <c r="G30" i="24" s="1"/>
  <c r="G30" i="25" s="1"/>
  <c r="G30" i="26" s="1"/>
  <c r="G30" i="28" s="1"/>
  <c r="G30" i="29" s="1"/>
  <c r="G30" i="30" s="1"/>
  <c r="G30" i="31" s="1"/>
  <c r="G30" i="32" s="1"/>
  <c r="G30" i="33" s="1"/>
  <c r="G30" i="34" s="1"/>
  <c r="G30" i="35" s="1"/>
  <c r="G30" i="36" s="1"/>
  <c r="G30" i="37" s="1"/>
  <c r="G30" i="38" s="1"/>
  <c r="G30" i="39" s="1"/>
  <c r="G30" i="40" s="1"/>
  <c r="G30" i="41" s="1"/>
  <c r="F16" i="1"/>
  <c r="F17" i="1"/>
  <c r="F17" i="2" s="1"/>
  <c r="F18" i="1"/>
  <c r="F18" i="2" s="1"/>
  <c r="F19" i="1"/>
  <c r="F20" i="1"/>
  <c r="F21" i="1"/>
  <c r="F21" i="2" s="1"/>
  <c r="B8" i="15"/>
  <c r="H7" i="5"/>
  <c r="H21" i="3"/>
  <c r="H19" i="3"/>
  <c r="H22" i="3"/>
  <c r="H27" i="3"/>
  <c r="H28" i="7"/>
  <c r="B25" i="6"/>
  <c r="H30" i="41"/>
  <c r="H29" i="41"/>
  <c r="H28" i="41"/>
  <c r="H27" i="41"/>
  <c r="H26" i="41"/>
  <c r="C26" i="41"/>
  <c r="B26" i="41"/>
  <c r="A26" i="41"/>
  <c r="H25" i="41"/>
  <c r="C25" i="41"/>
  <c r="B25" i="41"/>
  <c r="A25" i="41"/>
  <c r="H24" i="41"/>
  <c r="C24" i="41"/>
  <c r="B24" i="41"/>
  <c r="A24" i="41"/>
  <c r="H23" i="41"/>
  <c r="C23" i="41"/>
  <c r="B23" i="41"/>
  <c r="A23" i="41"/>
  <c r="H22" i="41"/>
  <c r="B22" i="41"/>
  <c r="A22" i="41"/>
  <c r="H21" i="41"/>
  <c r="C21" i="41"/>
  <c r="B21" i="41"/>
  <c r="A21" i="41"/>
  <c r="H20" i="41"/>
  <c r="C20" i="41"/>
  <c r="B20" i="41"/>
  <c r="A20" i="41"/>
  <c r="H19" i="41"/>
  <c r="C19" i="41"/>
  <c r="B19" i="41"/>
  <c r="A19" i="41"/>
  <c r="H18" i="41"/>
  <c r="C18" i="41"/>
  <c r="B18" i="41"/>
  <c r="A18" i="41"/>
  <c r="H17" i="41"/>
  <c r="C17" i="41"/>
  <c r="B17" i="41"/>
  <c r="A17" i="41"/>
  <c r="H16" i="41"/>
  <c r="C16" i="41"/>
  <c r="B16" i="41"/>
  <c r="A16" i="41"/>
  <c r="H15" i="41"/>
  <c r="C15" i="41"/>
  <c r="B15" i="41"/>
  <c r="A15" i="41"/>
  <c r="H14" i="41"/>
  <c r="C14" i="41"/>
  <c r="B14" i="41"/>
  <c r="A14" i="41"/>
  <c r="H13" i="41"/>
  <c r="C13" i="41"/>
  <c r="B13" i="41"/>
  <c r="A13" i="41"/>
  <c r="H12" i="41"/>
  <c r="C12" i="41"/>
  <c r="B12" i="41"/>
  <c r="A12" i="41"/>
  <c r="H11" i="41"/>
  <c r="C11" i="41"/>
  <c r="B11" i="41"/>
  <c r="A11" i="41"/>
  <c r="H10" i="41"/>
  <c r="C10" i="41"/>
  <c r="B10" i="41"/>
  <c r="A10" i="41"/>
  <c r="H9" i="41"/>
  <c r="C9" i="41"/>
  <c r="B9" i="41"/>
  <c r="A9" i="41"/>
  <c r="H8" i="41"/>
  <c r="C8" i="41"/>
  <c r="B8" i="41"/>
  <c r="A8" i="41"/>
  <c r="H7" i="41"/>
  <c r="C7" i="41"/>
  <c r="B7" i="41"/>
  <c r="A7" i="41"/>
  <c r="H6" i="41"/>
  <c r="C6" i="41"/>
  <c r="B6" i="41"/>
  <c r="A6" i="41"/>
  <c r="H5" i="41"/>
  <c r="C5" i="41"/>
  <c r="B5" i="41"/>
  <c r="A5" i="41"/>
  <c r="H4" i="41"/>
  <c r="C4" i="41"/>
  <c r="B4" i="41"/>
  <c r="A4" i="41"/>
  <c r="H3" i="41"/>
  <c r="C3" i="41"/>
  <c r="B3" i="41"/>
  <c r="A3" i="41"/>
  <c r="A1" i="41"/>
  <c r="H30" i="40"/>
  <c r="H29" i="40"/>
  <c r="H28" i="40"/>
  <c r="H27" i="40"/>
  <c r="H26" i="40"/>
  <c r="H25" i="40"/>
  <c r="C25" i="40"/>
  <c r="B25" i="40"/>
  <c r="A25" i="40"/>
  <c r="H24" i="40"/>
  <c r="C24" i="40"/>
  <c r="B24" i="40"/>
  <c r="A24" i="40"/>
  <c r="H23" i="40"/>
  <c r="C23" i="40"/>
  <c r="B23" i="40"/>
  <c r="A23" i="40"/>
  <c r="H22" i="40"/>
  <c r="C22" i="40"/>
  <c r="B22" i="40"/>
  <c r="A22" i="40"/>
  <c r="H21" i="40"/>
  <c r="C21" i="40"/>
  <c r="B21" i="40"/>
  <c r="A21" i="40"/>
  <c r="H20" i="40"/>
  <c r="C20" i="40"/>
  <c r="B20" i="40"/>
  <c r="A20" i="40"/>
  <c r="H19" i="40"/>
  <c r="C19" i="40"/>
  <c r="B19" i="40"/>
  <c r="A19" i="40"/>
  <c r="H18" i="40"/>
  <c r="C18" i="40"/>
  <c r="B18" i="40"/>
  <c r="A18" i="40"/>
  <c r="H17" i="40"/>
  <c r="C17" i="40"/>
  <c r="B17" i="40"/>
  <c r="A17" i="40"/>
  <c r="H16" i="40"/>
  <c r="C16" i="40"/>
  <c r="B16" i="40"/>
  <c r="A16" i="40"/>
  <c r="H15" i="40"/>
  <c r="C15" i="40"/>
  <c r="B15" i="40"/>
  <c r="A15" i="40"/>
  <c r="H14" i="40"/>
  <c r="C14" i="40"/>
  <c r="B14" i="40"/>
  <c r="A14" i="40"/>
  <c r="H13" i="40"/>
  <c r="C13" i="40"/>
  <c r="B13" i="40"/>
  <c r="A13" i="40"/>
  <c r="H12" i="40"/>
  <c r="C12" i="40"/>
  <c r="B12" i="40"/>
  <c r="A12" i="40"/>
  <c r="H11" i="40"/>
  <c r="C11" i="40"/>
  <c r="B11" i="40"/>
  <c r="A11" i="40"/>
  <c r="H10" i="40"/>
  <c r="C10" i="40"/>
  <c r="B10" i="40"/>
  <c r="A10" i="40"/>
  <c r="H9" i="40"/>
  <c r="C9" i="40"/>
  <c r="B9" i="40"/>
  <c r="A9" i="40"/>
  <c r="H8" i="40"/>
  <c r="C8" i="40"/>
  <c r="B8" i="40"/>
  <c r="A8" i="40"/>
  <c r="H7" i="40"/>
  <c r="C7" i="40"/>
  <c r="B7" i="40"/>
  <c r="A7" i="40"/>
  <c r="H6" i="40"/>
  <c r="C6" i="40"/>
  <c r="B6" i="40"/>
  <c r="A6" i="40"/>
  <c r="H5" i="40"/>
  <c r="C5" i="40"/>
  <c r="B5" i="40"/>
  <c r="A5" i="40"/>
  <c r="H4" i="40"/>
  <c r="H3" i="40"/>
  <c r="C4" i="40"/>
  <c r="B4" i="40"/>
  <c r="A4" i="40"/>
  <c r="C3" i="40"/>
  <c r="B3" i="40"/>
  <c r="A3" i="40"/>
  <c r="A1" i="40"/>
  <c r="H30" i="39"/>
  <c r="C30" i="39"/>
  <c r="H29" i="39"/>
  <c r="C29" i="39"/>
  <c r="H28" i="39"/>
  <c r="C28" i="39"/>
  <c r="H27" i="39"/>
  <c r="C27" i="39"/>
  <c r="B27" i="39"/>
  <c r="A27" i="39"/>
  <c r="H26" i="39"/>
  <c r="C26" i="39"/>
  <c r="B26" i="39"/>
  <c r="A26" i="39"/>
  <c r="H25" i="39"/>
  <c r="C25" i="39"/>
  <c r="B25" i="39"/>
  <c r="A25" i="39"/>
  <c r="H24" i="39"/>
  <c r="C24" i="39"/>
  <c r="B24" i="39"/>
  <c r="A24" i="39"/>
  <c r="H23" i="39"/>
  <c r="C23" i="39"/>
  <c r="B23" i="39"/>
  <c r="A23" i="39"/>
  <c r="H22" i="39"/>
  <c r="B22" i="39"/>
  <c r="A22" i="39"/>
  <c r="H21" i="39"/>
  <c r="C21" i="39"/>
  <c r="B21" i="39"/>
  <c r="A21" i="39"/>
  <c r="H20" i="39"/>
  <c r="C20" i="39"/>
  <c r="B20" i="39"/>
  <c r="A20" i="39"/>
  <c r="H19" i="39"/>
  <c r="C19" i="39"/>
  <c r="B19" i="39"/>
  <c r="A19" i="39"/>
  <c r="H18" i="39"/>
  <c r="C18" i="39"/>
  <c r="B18" i="39"/>
  <c r="A18" i="39"/>
  <c r="H17" i="39"/>
  <c r="B17" i="39"/>
  <c r="A17" i="39"/>
  <c r="H16" i="39"/>
  <c r="B16" i="39"/>
  <c r="A16" i="39"/>
  <c r="H15" i="39"/>
  <c r="C15" i="39"/>
  <c r="B15" i="39"/>
  <c r="A15" i="39"/>
  <c r="H14" i="39"/>
  <c r="C14" i="39"/>
  <c r="B14" i="39"/>
  <c r="A14" i="39"/>
  <c r="H13" i="39"/>
  <c r="C13" i="39"/>
  <c r="B13" i="39"/>
  <c r="A13" i="39"/>
  <c r="H12" i="39"/>
  <c r="C12" i="39"/>
  <c r="B12" i="39"/>
  <c r="A12" i="39"/>
  <c r="H11" i="39"/>
  <c r="C11" i="39"/>
  <c r="B11" i="39"/>
  <c r="A11" i="39"/>
  <c r="H10" i="39"/>
  <c r="C10" i="39"/>
  <c r="B10" i="39"/>
  <c r="A10" i="39"/>
  <c r="H9" i="39"/>
  <c r="C9" i="39"/>
  <c r="B9" i="39"/>
  <c r="A9" i="39"/>
  <c r="H8" i="39"/>
  <c r="C8" i="39"/>
  <c r="B8" i="39"/>
  <c r="A8" i="39"/>
  <c r="H7" i="39"/>
  <c r="C7" i="39"/>
  <c r="B7" i="39"/>
  <c r="A7" i="39"/>
  <c r="H6" i="39"/>
  <c r="C6" i="39"/>
  <c r="B6" i="39"/>
  <c r="A6" i="39"/>
  <c r="H5" i="39"/>
  <c r="C5" i="39"/>
  <c r="B5" i="39"/>
  <c r="A5" i="39"/>
  <c r="H4" i="39"/>
  <c r="C4" i="39"/>
  <c r="B4" i="39"/>
  <c r="A4" i="39"/>
  <c r="H3" i="39"/>
  <c r="C3" i="39"/>
  <c r="B3" i="39"/>
  <c r="A3" i="39"/>
  <c r="A1" i="39"/>
  <c r="H30" i="38"/>
  <c r="H29" i="38"/>
  <c r="H28" i="38"/>
  <c r="H27" i="38"/>
  <c r="H26" i="38"/>
  <c r="H25" i="38"/>
  <c r="H24" i="38"/>
  <c r="B24" i="38"/>
  <c r="A24" i="38"/>
  <c r="H23" i="38"/>
  <c r="B23" i="38"/>
  <c r="A23" i="38"/>
  <c r="H22" i="38"/>
  <c r="B22" i="38"/>
  <c r="A22" i="38"/>
  <c r="H21" i="38"/>
  <c r="B21" i="38"/>
  <c r="A21" i="38"/>
  <c r="B20" i="38"/>
  <c r="A20" i="38"/>
  <c r="B19" i="38"/>
  <c r="A19" i="38"/>
  <c r="B18" i="38"/>
  <c r="A18" i="38"/>
  <c r="B17" i="38"/>
  <c r="A17" i="38"/>
  <c r="B16" i="38"/>
  <c r="A16" i="38"/>
  <c r="B15" i="38"/>
  <c r="A15" i="38"/>
  <c r="B14" i="38"/>
  <c r="A14" i="38"/>
  <c r="B13" i="38"/>
  <c r="A13" i="38"/>
  <c r="B12" i="38"/>
  <c r="A12" i="38"/>
  <c r="B11" i="38"/>
  <c r="A11" i="38"/>
  <c r="B10" i="38"/>
  <c r="A10" i="38"/>
  <c r="H9" i="38"/>
  <c r="B9" i="38"/>
  <c r="A9" i="38"/>
  <c r="H8" i="38"/>
  <c r="B8" i="38"/>
  <c r="A8" i="38"/>
  <c r="H7" i="38"/>
  <c r="B7" i="38"/>
  <c r="A7" i="38"/>
  <c r="H6" i="38"/>
  <c r="B6" i="38"/>
  <c r="A6" i="38"/>
  <c r="H5" i="38"/>
  <c r="B5" i="38"/>
  <c r="A5" i="38"/>
  <c r="H4" i="38"/>
  <c r="B4" i="38"/>
  <c r="A4" i="38"/>
  <c r="H3" i="38"/>
  <c r="B3" i="38"/>
  <c r="A3" i="38"/>
  <c r="A1" i="38"/>
  <c r="H30" i="37"/>
  <c r="H29" i="37"/>
  <c r="H28" i="37"/>
  <c r="H27" i="37"/>
  <c r="H26" i="37"/>
  <c r="H25" i="37"/>
  <c r="C25" i="37"/>
  <c r="B25" i="37"/>
  <c r="A25" i="37"/>
  <c r="H24" i="37"/>
  <c r="C24" i="37"/>
  <c r="B24" i="37"/>
  <c r="A24" i="37"/>
  <c r="H23" i="37"/>
  <c r="C23" i="37"/>
  <c r="B23" i="37"/>
  <c r="A23" i="37"/>
  <c r="H22" i="37"/>
  <c r="C22" i="37"/>
  <c r="B22" i="37"/>
  <c r="A22" i="37"/>
  <c r="H21" i="37"/>
  <c r="C21" i="37"/>
  <c r="B21" i="37"/>
  <c r="A21" i="37"/>
  <c r="H20" i="37"/>
  <c r="C20" i="37"/>
  <c r="B20" i="37"/>
  <c r="A20" i="37"/>
  <c r="H19" i="37"/>
  <c r="B19" i="37"/>
  <c r="A19" i="37"/>
  <c r="H18" i="37"/>
  <c r="C18" i="37"/>
  <c r="B18" i="37"/>
  <c r="A18" i="37"/>
  <c r="H17" i="37"/>
  <c r="C17" i="37"/>
  <c r="B17" i="37"/>
  <c r="A17" i="37"/>
  <c r="H16" i="37"/>
  <c r="C16" i="37"/>
  <c r="B16" i="37"/>
  <c r="A16" i="37"/>
  <c r="H15" i="37"/>
  <c r="C15" i="37"/>
  <c r="B15" i="37"/>
  <c r="A15" i="37"/>
  <c r="H14" i="37"/>
  <c r="C14" i="37"/>
  <c r="B14" i="37"/>
  <c r="A14" i="37"/>
  <c r="H13" i="37"/>
  <c r="C13" i="37"/>
  <c r="B13" i="37"/>
  <c r="A13" i="37"/>
  <c r="H12" i="37"/>
  <c r="C12" i="37"/>
  <c r="B12" i="37"/>
  <c r="A12" i="37"/>
  <c r="H11" i="37"/>
  <c r="C11" i="37"/>
  <c r="B11" i="37"/>
  <c r="A11" i="37"/>
  <c r="H10" i="37"/>
  <c r="H9" i="37"/>
  <c r="C9" i="37"/>
  <c r="B9" i="37"/>
  <c r="A9" i="37"/>
  <c r="H8" i="37"/>
  <c r="C8" i="37"/>
  <c r="B8" i="37"/>
  <c r="A8" i="37"/>
  <c r="H7" i="37"/>
  <c r="C7" i="37"/>
  <c r="B7" i="37"/>
  <c r="A7" i="37"/>
  <c r="H6" i="37"/>
  <c r="C6" i="37"/>
  <c r="B6" i="37"/>
  <c r="A6" i="37"/>
  <c r="H5" i="37"/>
  <c r="C5" i="37"/>
  <c r="B5" i="37"/>
  <c r="A5" i="37"/>
  <c r="H4" i="37"/>
  <c r="C4" i="37"/>
  <c r="B4" i="37"/>
  <c r="A4" i="37"/>
  <c r="H3" i="37"/>
  <c r="C3" i="37"/>
  <c r="B3" i="37"/>
  <c r="A3" i="37"/>
  <c r="A1" i="37"/>
  <c r="H30" i="36"/>
  <c r="H29" i="36"/>
  <c r="H28" i="36"/>
  <c r="H27" i="36"/>
  <c r="H26" i="36"/>
  <c r="H25" i="36"/>
  <c r="H24" i="36"/>
  <c r="C24" i="36"/>
  <c r="B24" i="36"/>
  <c r="H23" i="36"/>
  <c r="C23" i="36"/>
  <c r="B23" i="36"/>
  <c r="A23" i="36"/>
  <c r="H22" i="36"/>
  <c r="C22" i="36"/>
  <c r="B22" i="36"/>
  <c r="A22" i="36"/>
  <c r="H21" i="36"/>
  <c r="C21" i="36"/>
  <c r="B21" i="36"/>
  <c r="A21" i="36"/>
  <c r="H20" i="36"/>
  <c r="C20" i="36"/>
  <c r="B20" i="36"/>
  <c r="A20" i="36"/>
  <c r="H19" i="36"/>
  <c r="C19" i="36"/>
  <c r="B19" i="36"/>
  <c r="A19" i="36"/>
  <c r="H18" i="36"/>
  <c r="C18" i="36"/>
  <c r="B18" i="36"/>
  <c r="A18" i="36"/>
  <c r="H17" i="36"/>
  <c r="C17" i="36"/>
  <c r="B17" i="36"/>
  <c r="A17" i="36"/>
  <c r="H16" i="36"/>
  <c r="C16" i="36"/>
  <c r="B16" i="36"/>
  <c r="A16" i="36"/>
  <c r="H15" i="36"/>
  <c r="C15" i="36"/>
  <c r="B15" i="36"/>
  <c r="A15" i="36"/>
  <c r="H14" i="36"/>
  <c r="C14" i="36"/>
  <c r="B14" i="36"/>
  <c r="A14" i="36"/>
  <c r="H13" i="36"/>
  <c r="C13" i="36"/>
  <c r="B13" i="36"/>
  <c r="A13" i="36"/>
  <c r="H12" i="36"/>
  <c r="C12" i="36"/>
  <c r="B12" i="36"/>
  <c r="A12" i="36"/>
  <c r="H11" i="36"/>
  <c r="C11" i="36"/>
  <c r="B11" i="36"/>
  <c r="A11" i="36"/>
  <c r="H10" i="36"/>
  <c r="C10" i="36"/>
  <c r="B10" i="36"/>
  <c r="A10" i="36"/>
  <c r="H9" i="36"/>
  <c r="C9" i="36"/>
  <c r="B9" i="36"/>
  <c r="A9" i="36"/>
  <c r="H8" i="36"/>
  <c r="C8" i="36"/>
  <c r="B8" i="36"/>
  <c r="A8" i="36"/>
  <c r="H7" i="36"/>
  <c r="C7" i="36"/>
  <c r="B7" i="36"/>
  <c r="A7" i="36"/>
  <c r="H6" i="36"/>
  <c r="C6" i="36"/>
  <c r="B6" i="36"/>
  <c r="A6" i="36"/>
  <c r="H5" i="36"/>
  <c r="C5" i="36"/>
  <c r="B5" i="36"/>
  <c r="A5" i="36"/>
  <c r="H4" i="36"/>
  <c r="C4" i="36"/>
  <c r="B4" i="36"/>
  <c r="A4" i="36"/>
  <c r="H3" i="36"/>
  <c r="C3" i="36"/>
  <c r="B3" i="36"/>
  <c r="A3" i="36"/>
  <c r="A1" i="36"/>
  <c r="C24" i="35"/>
  <c r="B24" i="35"/>
  <c r="A24" i="35"/>
  <c r="C23" i="35"/>
  <c r="B23" i="35"/>
  <c r="A23" i="35"/>
  <c r="C22" i="35"/>
  <c r="B22" i="35"/>
  <c r="A22" i="35"/>
  <c r="C21" i="35"/>
  <c r="B21" i="35"/>
  <c r="A21" i="35"/>
  <c r="C20" i="35"/>
  <c r="B20" i="35"/>
  <c r="A20" i="35"/>
  <c r="C19" i="35"/>
  <c r="B19" i="35"/>
  <c r="A19" i="35"/>
  <c r="C18" i="35"/>
  <c r="B18" i="35"/>
  <c r="A18" i="35"/>
  <c r="C17" i="35"/>
  <c r="B17" i="35"/>
  <c r="A17" i="35"/>
  <c r="C16" i="35"/>
  <c r="B16" i="35"/>
  <c r="A16" i="35"/>
  <c r="C15" i="35"/>
  <c r="B15" i="35"/>
  <c r="A15" i="35"/>
  <c r="C14" i="35"/>
  <c r="B14" i="35"/>
  <c r="A14" i="35"/>
  <c r="C13" i="35"/>
  <c r="B13" i="35"/>
  <c r="A13" i="35"/>
  <c r="C12" i="35"/>
  <c r="B12" i="35"/>
  <c r="A12" i="35"/>
  <c r="C11" i="35"/>
  <c r="B11" i="35"/>
  <c r="A11" i="35"/>
  <c r="C10" i="35"/>
  <c r="B10" i="35"/>
  <c r="A10" i="35"/>
  <c r="C9" i="35"/>
  <c r="B9" i="35"/>
  <c r="A9" i="35"/>
  <c r="C8" i="35"/>
  <c r="B8" i="35"/>
  <c r="A8" i="35"/>
  <c r="C7" i="35"/>
  <c r="B7" i="35"/>
  <c r="A7" i="35"/>
  <c r="C6" i="35"/>
  <c r="B6" i="35"/>
  <c r="A6" i="35"/>
  <c r="C5" i="35"/>
  <c r="B5" i="35"/>
  <c r="A5" i="35"/>
  <c r="C4" i="35"/>
  <c r="B4" i="35"/>
  <c r="A4" i="35"/>
  <c r="C3" i="35"/>
  <c r="B3" i="35"/>
  <c r="A3" i="35"/>
  <c r="A1" i="35"/>
  <c r="H30" i="34"/>
  <c r="C30" i="34"/>
  <c r="H29" i="34"/>
  <c r="C29" i="34"/>
  <c r="H28" i="34"/>
  <c r="C28" i="34"/>
  <c r="H27" i="34"/>
  <c r="C27" i="34"/>
  <c r="H26" i="34"/>
  <c r="C26" i="34"/>
  <c r="H25" i="34"/>
  <c r="C25" i="34"/>
  <c r="B25" i="34"/>
  <c r="H24" i="34"/>
  <c r="C24" i="34"/>
  <c r="B24" i="34"/>
  <c r="A24" i="34"/>
  <c r="H23" i="34"/>
  <c r="C23" i="34"/>
  <c r="B23" i="34"/>
  <c r="A23" i="34"/>
  <c r="H22" i="34"/>
  <c r="C22" i="34"/>
  <c r="B22" i="34"/>
  <c r="A22" i="34"/>
  <c r="H21" i="34"/>
  <c r="C21" i="34"/>
  <c r="B21" i="34"/>
  <c r="A21" i="34"/>
  <c r="H20" i="34"/>
  <c r="C20" i="34"/>
  <c r="B20" i="34"/>
  <c r="A20" i="34"/>
  <c r="H19" i="34"/>
  <c r="C19" i="34"/>
  <c r="B19" i="34"/>
  <c r="A19" i="34"/>
  <c r="H18" i="34"/>
  <c r="C18" i="34"/>
  <c r="B18" i="34"/>
  <c r="A18" i="34"/>
  <c r="H17" i="34"/>
  <c r="C17" i="34"/>
  <c r="B17" i="34"/>
  <c r="A17" i="34"/>
  <c r="H16" i="34"/>
  <c r="C16" i="34"/>
  <c r="B16" i="34"/>
  <c r="A16" i="34"/>
  <c r="H15" i="34"/>
  <c r="C15" i="34"/>
  <c r="B15" i="34"/>
  <c r="A15" i="34"/>
  <c r="H14" i="34"/>
  <c r="C14" i="34"/>
  <c r="B14" i="34"/>
  <c r="A14" i="34"/>
  <c r="C13" i="34"/>
  <c r="B13" i="34"/>
  <c r="A13" i="34"/>
  <c r="C12" i="34"/>
  <c r="B12" i="34"/>
  <c r="A12" i="34"/>
  <c r="C11" i="34"/>
  <c r="B11" i="34"/>
  <c r="A11" i="34"/>
  <c r="C10" i="34"/>
  <c r="B10" i="34"/>
  <c r="A10" i="34"/>
  <c r="C9" i="34"/>
  <c r="B9" i="34"/>
  <c r="A9" i="34"/>
  <c r="C8" i="34"/>
  <c r="B8" i="34"/>
  <c r="A8" i="34"/>
  <c r="C7" i="34"/>
  <c r="B7" i="34"/>
  <c r="A7" i="34"/>
  <c r="C6" i="34"/>
  <c r="B6" i="34"/>
  <c r="A6" i="34"/>
  <c r="C5" i="34"/>
  <c r="B5" i="34"/>
  <c r="A5" i="34"/>
  <c r="C4" i="34"/>
  <c r="B4" i="34"/>
  <c r="A4" i="34"/>
  <c r="C3" i="34"/>
  <c r="B3" i="34"/>
  <c r="A3" i="34"/>
  <c r="A1" i="34"/>
  <c r="H30" i="33"/>
  <c r="H29" i="33"/>
  <c r="H28" i="33"/>
  <c r="H27" i="33"/>
  <c r="H26" i="33"/>
  <c r="H25" i="33"/>
  <c r="H24" i="33"/>
  <c r="C24" i="33"/>
  <c r="B24" i="33"/>
  <c r="A24" i="33"/>
  <c r="H23" i="33"/>
  <c r="C23" i="33"/>
  <c r="B23" i="33"/>
  <c r="A23" i="33"/>
  <c r="H22" i="33"/>
  <c r="C22" i="33"/>
  <c r="B22" i="33"/>
  <c r="A22" i="33"/>
  <c r="H21" i="33"/>
  <c r="C21" i="33"/>
  <c r="B21" i="33"/>
  <c r="A21" i="33"/>
  <c r="H20" i="33"/>
  <c r="C20" i="33"/>
  <c r="B20" i="33"/>
  <c r="A20" i="33"/>
  <c r="H19" i="33"/>
  <c r="C19" i="33"/>
  <c r="B19" i="33"/>
  <c r="A19" i="33"/>
  <c r="H18" i="33"/>
  <c r="C18" i="33"/>
  <c r="B18" i="33"/>
  <c r="A18" i="33"/>
  <c r="H17" i="33"/>
  <c r="C17" i="33"/>
  <c r="B17" i="33"/>
  <c r="A17" i="33"/>
  <c r="H16" i="33"/>
  <c r="C16" i="33"/>
  <c r="B16" i="33"/>
  <c r="A16" i="33"/>
  <c r="H15" i="33"/>
  <c r="C15" i="33"/>
  <c r="B15" i="33"/>
  <c r="A15" i="33"/>
  <c r="H14" i="33"/>
  <c r="C14" i="33"/>
  <c r="B14" i="33"/>
  <c r="A14" i="33"/>
  <c r="H13" i="33"/>
  <c r="C13" i="33"/>
  <c r="B13" i="33"/>
  <c r="A13" i="33"/>
  <c r="H12" i="33"/>
  <c r="C12" i="33"/>
  <c r="B12" i="33"/>
  <c r="A12" i="33"/>
  <c r="H11" i="33"/>
  <c r="C11" i="33"/>
  <c r="B11" i="33"/>
  <c r="A11" i="33"/>
  <c r="H10" i="33"/>
  <c r="C10" i="33"/>
  <c r="B10" i="33"/>
  <c r="A10" i="33"/>
  <c r="H9" i="33"/>
  <c r="C9" i="33"/>
  <c r="B9" i="33"/>
  <c r="A9" i="33"/>
  <c r="H8" i="33"/>
  <c r="C8" i="33"/>
  <c r="B8" i="33"/>
  <c r="H7" i="33"/>
  <c r="B7" i="33"/>
  <c r="A7" i="33"/>
  <c r="H6" i="33"/>
  <c r="C6" i="33"/>
  <c r="B6" i="33"/>
  <c r="A6" i="33"/>
  <c r="H5" i="33"/>
  <c r="C5" i="33"/>
  <c r="B5" i="33"/>
  <c r="A5" i="33"/>
  <c r="H4" i="33"/>
  <c r="C4" i="33"/>
  <c r="B4" i="33"/>
  <c r="A4" i="33"/>
  <c r="H3" i="33"/>
  <c r="C3" i="33"/>
  <c r="B3" i="33"/>
  <c r="A3" i="33"/>
  <c r="A1" i="33"/>
  <c r="H29" i="32"/>
  <c r="H28" i="32"/>
  <c r="H27" i="32"/>
  <c r="H26" i="32"/>
  <c r="H25" i="32"/>
  <c r="H24" i="32"/>
  <c r="C24" i="32"/>
  <c r="B24" i="32"/>
  <c r="A24" i="32"/>
  <c r="H23" i="32"/>
  <c r="C23" i="32"/>
  <c r="B23" i="32"/>
  <c r="A23" i="32"/>
  <c r="H22" i="32"/>
  <c r="C22" i="32"/>
  <c r="B22" i="32"/>
  <c r="A22" i="32"/>
  <c r="H21" i="32"/>
  <c r="C21" i="32"/>
  <c r="B21" i="32"/>
  <c r="A21" i="32"/>
  <c r="H20" i="32"/>
  <c r="C20" i="32"/>
  <c r="B20" i="32"/>
  <c r="A20" i="32"/>
  <c r="H19" i="32"/>
  <c r="C19" i="32"/>
  <c r="B19" i="32"/>
  <c r="A19" i="32"/>
  <c r="H18" i="32"/>
  <c r="C18" i="32"/>
  <c r="B18" i="32"/>
  <c r="A18" i="32"/>
  <c r="H17" i="32"/>
  <c r="C17" i="32"/>
  <c r="B17" i="32"/>
  <c r="A17" i="32"/>
  <c r="H16" i="32"/>
  <c r="C16" i="32"/>
  <c r="B16" i="32"/>
  <c r="A16" i="32"/>
  <c r="H15" i="32"/>
  <c r="C15" i="32"/>
  <c r="B15" i="32"/>
  <c r="A15" i="32"/>
  <c r="H14" i="32"/>
  <c r="C14" i="32"/>
  <c r="B14" i="32"/>
  <c r="A14" i="32"/>
  <c r="H13" i="32"/>
  <c r="C13" i="32"/>
  <c r="B13" i="32"/>
  <c r="A13" i="32"/>
  <c r="H12" i="32"/>
  <c r="C12" i="32"/>
  <c r="B12" i="32"/>
  <c r="A12" i="32"/>
  <c r="H11" i="32"/>
  <c r="C11" i="32"/>
  <c r="B11" i="32"/>
  <c r="A11" i="32"/>
  <c r="H10" i="32"/>
  <c r="C10" i="32"/>
  <c r="B10" i="32"/>
  <c r="A10" i="32"/>
  <c r="H9" i="32"/>
  <c r="C9" i="32"/>
  <c r="B9" i="32"/>
  <c r="A9" i="32"/>
  <c r="H8" i="32"/>
  <c r="C8" i="32"/>
  <c r="B8" i="32"/>
  <c r="A8" i="32"/>
  <c r="H7" i="32"/>
  <c r="C7" i="32"/>
  <c r="B7" i="32"/>
  <c r="A7" i="32"/>
  <c r="H6" i="32"/>
  <c r="C6" i="32"/>
  <c r="B6" i="32"/>
  <c r="A6" i="32"/>
  <c r="H5" i="32"/>
  <c r="C5" i="32"/>
  <c r="B5" i="32"/>
  <c r="A5" i="32"/>
  <c r="H4" i="32"/>
  <c r="C4" i="32"/>
  <c r="B4" i="32"/>
  <c r="A4" i="32"/>
  <c r="H3" i="32"/>
  <c r="C3" i="32"/>
  <c r="B3" i="32"/>
  <c r="A3" i="32"/>
  <c r="A1" i="32"/>
  <c r="H30" i="31"/>
  <c r="H29" i="31"/>
  <c r="H28" i="31"/>
  <c r="H27" i="31"/>
  <c r="H26" i="31"/>
  <c r="H25" i="31"/>
  <c r="H24" i="31"/>
  <c r="C24" i="31"/>
  <c r="B24" i="31"/>
  <c r="A24" i="31"/>
  <c r="H23" i="31"/>
  <c r="C23" i="31"/>
  <c r="B23" i="31"/>
  <c r="A23" i="31"/>
  <c r="H22" i="31"/>
  <c r="C22" i="31"/>
  <c r="B22" i="31"/>
  <c r="A22" i="31"/>
  <c r="H21" i="31"/>
  <c r="C21" i="31"/>
  <c r="B21" i="31"/>
  <c r="A21" i="31"/>
  <c r="H20" i="31"/>
  <c r="C20" i="31"/>
  <c r="B20" i="31"/>
  <c r="A20" i="31"/>
  <c r="H19" i="31"/>
  <c r="C19" i="31"/>
  <c r="B19" i="31"/>
  <c r="A19" i="31"/>
  <c r="H18" i="31"/>
  <c r="C18" i="31"/>
  <c r="B18" i="31"/>
  <c r="A18" i="31"/>
  <c r="H17" i="31"/>
  <c r="C17" i="31"/>
  <c r="B17" i="31"/>
  <c r="A17" i="31"/>
  <c r="H16" i="31"/>
  <c r="C16" i="31"/>
  <c r="A16" i="31"/>
  <c r="H15" i="31"/>
  <c r="C15" i="31"/>
  <c r="B15" i="31"/>
  <c r="A15" i="31"/>
  <c r="H14" i="31"/>
  <c r="C14" i="31"/>
  <c r="B14" i="31"/>
  <c r="A14" i="31"/>
  <c r="H13" i="31"/>
  <c r="C13" i="31"/>
  <c r="B13" i="31"/>
  <c r="A13" i="31"/>
  <c r="H12" i="31"/>
  <c r="C12" i="31"/>
  <c r="B12" i="31"/>
  <c r="A12" i="31"/>
  <c r="H11" i="31"/>
  <c r="C11" i="31"/>
  <c r="B11" i="31"/>
  <c r="A11" i="31"/>
  <c r="H10" i="31"/>
  <c r="C10" i="31"/>
  <c r="B10" i="31"/>
  <c r="A10" i="31"/>
  <c r="H9" i="31"/>
  <c r="C9" i="31"/>
  <c r="B9" i="31"/>
  <c r="A9" i="31"/>
  <c r="H8" i="31"/>
  <c r="C8" i="31"/>
  <c r="B8" i="31"/>
  <c r="A8" i="31"/>
  <c r="H7" i="31"/>
  <c r="C7" i="31"/>
  <c r="B7" i="31"/>
  <c r="A7" i="31"/>
  <c r="H6" i="31"/>
  <c r="C6" i="31"/>
  <c r="B6" i="31"/>
  <c r="A6" i="31"/>
  <c r="H5" i="31"/>
  <c r="C5" i="31"/>
  <c r="B5" i="31"/>
  <c r="A5" i="31"/>
  <c r="H4" i="31"/>
  <c r="C4" i="31"/>
  <c r="B4" i="31"/>
  <c r="A4" i="31"/>
  <c r="H3" i="31"/>
  <c r="C3" i="31"/>
  <c r="B3" i="31"/>
  <c r="A3" i="31"/>
  <c r="A1" i="31"/>
  <c r="H30" i="30"/>
  <c r="H29" i="30"/>
  <c r="H28" i="30"/>
  <c r="H27" i="30"/>
  <c r="H26" i="30"/>
  <c r="H25" i="30"/>
  <c r="H24" i="30"/>
  <c r="C24" i="30"/>
  <c r="B24" i="30"/>
  <c r="A24" i="30"/>
  <c r="H23" i="30"/>
  <c r="C23" i="30"/>
  <c r="B23" i="30"/>
  <c r="A23" i="30"/>
  <c r="H22" i="30"/>
  <c r="C22" i="30"/>
  <c r="B22" i="30"/>
  <c r="A22" i="30"/>
  <c r="H21" i="30"/>
  <c r="C21" i="30"/>
  <c r="B21" i="30"/>
  <c r="A21" i="30"/>
  <c r="H20" i="30"/>
  <c r="C20" i="30"/>
  <c r="B20" i="30"/>
  <c r="A20" i="30"/>
  <c r="H19" i="30"/>
  <c r="C19" i="30"/>
  <c r="B19" i="30"/>
  <c r="A19" i="30"/>
  <c r="H18" i="30"/>
  <c r="C18" i="30"/>
  <c r="B18" i="30"/>
  <c r="A18" i="30"/>
  <c r="H17" i="30"/>
  <c r="C17" i="30"/>
  <c r="B17" i="30"/>
  <c r="A17" i="30"/>
  <c r="H16" i="30"/>
  <c r="C16" i="30"/>
  <c r="B16" i="30"/>
  <c r="A16" i="30"/>
  <c r="H15" i="30"/>
  <c r="C15" i="30"/>
  <c r="B15" i="30"/>
  <c r="A15" i="30"/>
  <c r="H14" i="30"/>
  <c r="C14" i="30"/>
  <c r="B14" i="30"/>
  <c r="A14" i="30"/>
  <c r="H13" i="30"/>
  <c r="C13" i="30"/>
  <c r="B13" i="30"/>
  <c r="A13" i="30"/>
  <c r="H12" i="30"/>
  <c r="C12" i="30"/>
  <c r="B12" i="30"/>
  <c r="A12" i="30"/>
  <c r="H11" i="30"/>
  <c r="C11" i="30"/>
  <c r="B11" i="30"/>
  <c r="A11" i="30"/>
  <c r="H10" i="30"/>
  <c r="C10" i="30"/>
  <c r="B10" i="30"/>
  <c r="A10" i="30"/>
  <c r="H9" i="30"/>
  <c r="C9" i="30"/>
  <c r="B9" i="30"/>
  <c r="A9" i="30"/>
  <c r="H8" i="30"/>
  <c r="C8" i="30"/>
  <c r="B8" i="30"/>
  <c r="A8" i="30"/>
  <c r="H7" i="30"/>
  <c r="C7" i="30"/>
  <c r="B7" i="30"/>
  <c r="A7" i="30"/>
  <c r="H6" i="30"/>
  <c r="C6" i="30"/>
  <c r="B6" i="30"/>
  <c r="A6" i="30"/>
  <c r="H5" i="30"/>
  <c r="C5" i="30"/>
  <c r="B5" i="30"/>
  <c r="A5" i="30"/>
  <c r="H4" i="30"/>
  <c r="C4" i="30"/>
  <c r="B4" i="30"/>
  <c r="A4" i="30"/>
  <c r="H3" i="30"/>
  <c r="C3" i="30"/>
  <c r="B3" i="30"/>
  <c r="A3" i="30"/>
  <c r="A1" i="30"/>
  <c r="H30" i="29"/>
  <c r="H29" i="29"/>
  <c r="H28" i="29"/>
  <c r="H27" i="29"/>
  <c r="H26" i="29"/>
  <c r="H25" i="29"/>
  <c r="H24" i="29"/>
  <c r="C24" i="29"/>
  <c r="B24" i="29"/>
  <c r="A24" i="29"/>
  <c r="H23" i="29"/>
  <c r="C23" i="29"/>
  <c r="B23" i="29"/>
  <c r="A23" i="29"/>
  <c r="H22" i="29"/>
  <c r="C22" i="29"/>
  <c r="B22" i="29"/>
  <c r="A22" i="29"/>
  <c r="H21" i="29"/>
  <c r="C21" i="29"/>
  <c r="B21" i="29"/>
  <c r="A21" i="29"/>
  <c r="H20" i="29"/>
  <c r="C20" i="29"/>
  <c r="B20" i="29"/>
  <c r="A20" i="29"/>
  <c r="H19" i="29"/>
  <c r="C19" i="29"/>
  <c r="B19" i="29"/>
  <c r="A19" i="29"/>
  <c r="H18" i="29"/>
  <c r="C18" i="29"/>
  <c r="B18" i="29"/>
  <c r="A18" i="29"/>
  <c r="H17" i="29"/>
  <c r="C17" i="29"/>
  <c r="B17" i="29"/>
  <c r="A17" i="29"/>
  <c r="H16" i="29"/>
  <c r="C16" i="29"/>
  <c r="B16" i="29"/>
  <c r="A16" i="29"/>
  <c r="H15" i="29"/>
  <c r="C15" i="29"/>
  <c r="B15" i="29"/>
  <c r="A15" i="29"/>
  <c r="H14" i="29"/>
  <c r="C14" i="29"/>
  <c r="B14" i="29"/>
  <c r="A14" i="29"/>
  <c r="H13" i="29"/>
  <c r="C13" i="29"/>
  <c r="B13" i="29"/>
  <c r="A13" i="29"/>
  <c r="H12" i="29"/>
  <c r="C12" i="29"/>
  <c r="B12" i="29"/>
  <c r="A12" i="29"/>
  <c r="H11" i="29"/>
  <c r="C11" i="29"/>
  <c r="B11" i="29"/>
  <c r="A11" i="29"/>
  <c r="H10" i="29"/>
  <c r="C10" i="29"/>
  <c r="B10" i="29"/>
  <c r="A10" i="29"/>
  <c r="H9" i="29"/>
  <c r="C9" i="29"/>
  <c r="B9" i="29"/>
  <c r="A9" i="29"/>
  <c r="H8" i="29"/>
  <c r="C8" i="29"/>
  <c r="B8" i="29"/>
  <c r="A8" i="29"/>
  <c r="H7" i="29"/>
  <c r="C7" i="29"/>
  <c r="B7" i="29"/>
  <c r="A7" i="29"/>
  <c r="H6" i="29"/>
  <c r="C6" i="29"/>
  <c r="B6" i="29"/>
  <c r="A6" i="29"/>
  <c r="H5" i="29"/>
  <c r="C5" i="29"/>
  <c r="B5" i="29"/>
  <c r="A5" i="29"/>
  <c r="H4" i="29"/>
  <c r="C4" i="29"/>
  <c r="B4" i="29"/>
  <c r="A4" i="29"/>
  <c r="H3" i="29"/>
  <c r="C3" i="29"/>
  <c r="B3" i="29"/>
  <c r="A3" i="29"/>
  <c r="A1" i="29"/>
  <c r="E2" i="15"/>
  <c r="H30" i="28"/>
  <c r="H29" i="28"/>
  <c r="H28" i="28"/>
  <c r="H27" i="28"/>
  <c r="H26" i="28"/>
  <c r="H25" i="28"/>
  <c r="H24" i="28"/>
  <c r="C24" i="28"/>
  <c r="B24" i="28"/>
  <c r="A24" i="28"/>
  <c r="H23" i="28"/>
  <c r="C23" i="28"/>
  <c r="B23" i="28"/>
  <c r="A23" i="28"/>
  <c r="H22" i="28"/>
  <c r="C22" i="28"/>
  <c r="B22" i="28"/>
  <c r="A22" i="28"/>
  <c r="H21" i="28"/>
  <c r="C21" i="28"/>
  <c r="B21" i="28"/>
  <c r="A21" i="28"/>
  <c r="H20" i="28"/>
  <c r="C20" i="28"/>
  <c r="B20" i="28"/>
  <c r="A20" i="28"/>
  <c r="H19" i="28"/>
  <c r="C19" i="28"/>
  <c r="B19" i="28"/>
  <c r="A19" i="28"/>
  <c r="H18" i="28"/>
  <c r="C18" i="28"/>
  <c r="B18" i="28"/>
  <c r="A18" i="28"/>
  <c r="H17" i="28"/>
  <c r="C17" i="28"/>
  <c r="B17" i="28"/>
  <c r="A17" i="28"/>
  <c r="H16" i="28"/>
  <c r="C16" i="28"/>
  <c r="B16" i="28"/>
  <c r="A16" i="28"/>
  <c r="H15" i="28"/>
  <c r="C15" i="28"/>
  <c r="B15" i="28"/>
  <c r="A15" i="28"/>
  <c r="H14" i="28"/>
  <c r="C14" i="28"/>
  <c r="B14" i="28"/>
  <c r="A14" i="28"/>
  <c r="H13" i="28"/>
  <c r="C13" i="28"/>
  <c r="B13" i="28"/>
  <c r="A13" i="28"/>
  <c r="H12" i="28"/>
  <c r="C12" i="28"/>
  <c r="B12" i="28"/>
  <c r="A12" i="28"/>
  <c r="H11" i="28"/>
  <c r="C11" i="28"/>
  <c r="B11" i="28"/>
  <c r="A11" i="28"/>
  <c r="H10" i="28"/>
  <c r="C10" i="28"/>
  <c r="B10" i="28"/>
  <c r="A10" i="28"/>
  <c r="H9" i="28"/>
  <c r="C9" i="28"/>
  <c r="B9" i="28"/>
  <c r="A9" i="28"/>
  <c r="H8" i="28"/>
  <c r="C8" i="28"/>
  <c r="B8" i="28"/>
  <c r="A8" i="28"/>
  <c r="H7" i="28"/>
  <c r="C7" i="28"/>
  <c r="B7" i="28"/>
  <c r="A7" i="28"/>
  <c r="H6" i="28"/>
  <c r="C6" i="28"/>
  <c r="B6" i="28"/>
  <c r="A6" i="28"/>
  <c r="H5" i="28"/>
  <c r="C5" i="28"/>
  <c r="B5" i="28"/>
  <c r="A5" i="28"/>
  <c r="H4" i="28"/>
  <c r="C4" i="28"/>
  <c r="B4" i="28"/>
  <c r="A4" i="28"/>
  <c r="H3" i="28"/>
  <c r="C3" i="28"/>
  <c r="B3" i="28"/>
  <c r="A3" i="28"/>
  <c r="A1" i="28"/>
  <c r="H30" i="26"/>
  <c r="H29" i="26"/>
  <c r="H28" i="26"/>
  <c r="H27" i="26"/>
  <c r="H26" i="26"/>
  <c r="H25" i="26"/>
  <c r="H24" i="26"/>
  <c r="B24" i="26"/>
  <c r="A24" i="26"/>
  <c r="H23" i="26"/>
  <c r="B23" i="26"/>
  <c r="A23" i="26"/>
  <c r="H22" i="26"/>
  <c r="B22" i="26"/>
  <c r="A22" i="26"/>
  <c r="H21" i="26"/>
  <c r="B21" i="26"/>
  <c r="A21" i="26"/>
  <c r="H20" i="26"/>
  <c r="B20" i="26"/>
  <c r="A20" i="26"/>
  <c r="H19" i="26"/>
  <c r="B19" i="26"/>
  <c r="A19" i="26"/>
  <c r="H18" i="26"/>
  <c r="B18" i="26"/>
  <c r="A18" i="26"/>
  <c r="H17" i="26"/>
  <c r="B17" i="26"/>
  <c r="A17" i="26"/>
  <c r="H16" i="26"/>
  <c r="B16" i="26"/>
  <c r="A16" i="26"/>
  <c r="H15" i="26"/>
  <c r="C15" i="26"/>
  <c r="B15" i="26"/>
  <c r="A15" i="26"/>
  <c r="H14" i="26"/>
  <c r="C14" i="26"/>
  <c r="B14" i="26"/>
  <c r="A14" i="26"/>
  <c r="H13" i="26"/>
  <c r="C13" i="26"/>
  <c r="B13" i="26"/>
  <c r="A13" i="26"/>
  <c r="H12" i="26"/>
  <c r="C12" i="26"/>
  <c r="B12" i="26"/>
  <c r="A12" i="26"/>
  <c r="H11" i="26"/>
  <c r="C11" i="26"/>
  <c r="B11" i="26"/>
  <c r="A11" i="26"/>
  <c r="H10" i="26"/>
  <c r="C10" i="26"/>
  <c r="B10" i="26"/>
  <c r="A10" i="26"/>
  <c r="H9" i="26"/>
  <c r="C9" i="26"/>
  <c r="B9" i="26"/>
  <c r="A9" i="26"/>
  <c r="H8" i="26"/>
  <c r="C8" i="26"/>
  <c r="B8" i="26"/>
  <c r="A8" i="26"/>
  <c r="H7" i="26"/>
  <c r="C7" i="26"/>
  <c r="B7" i="26"/>
  <c r="A7" i="26"/>
  <c r="H6" i="26"/>
  <c r="C6" i="26"/>
  <c r="B6" i="26"/>
  <c r="A6" i="26"/>
  <c r="H5" i="26"/>
  <c r="C5" i="26"/>
  <c r="B5" i="26"/>
  <c r="A5" i="26"/>
  <c r="H4" i="26"/>
  <c r="C4" i="26"/>
  <c r="B4" i="26"/>
  <c r="A4" i="26"/>
  <c r="H3" i="26"/>
  <c r="C3" i="26"/>
  <c r="B3" i="26"/>
  <c r="A3" i="26"/>
  <c r="A1" i="26"/>
  <c r="H30" i="25"/>
  <c r="H29" i="25"/>
  <c r="H28" i="25"/>
  <c r="H27" i="25"/>
  <c r="H26" i="25"/>
  <c r="H25" i="25"/>
  <c r="H24" i="25"/>
  <c r="H23" i="25"/>
  <c r="C23" i="25"/>
  <c r="B23" i="25"/>
  <c r="A23" i="25"/>
  <c r="H22" i="25"/>
  <c r="C22" i="25"/>
  <c r="A22" i="25"/>
  <c r="H21" i="25"/>
  <c r="C21" i="25"/>
  <c r="B21" i="25"/>
  <c r="A21" i="25"/>
  <c r="H20" i="25"/>
  <c r="C20" i="25"/>
  <c r="B20" i="25"/>
  <c r="A20" i="25"/>
  <c r="H19" i="25"/>
  <c r="C19" i="25"/>
  <c r="B19" i="25"/>
  <c r="A19" i="25"/>
  <c r="H18" i="25"/>
  <c r="C18" i="25"/>
  <c r="B18" i="25"/>
  <c r="A18" i="25"/>
  <c r="C17" i="25"/>
  <c r="B17" i="25"/>
  <c r="A17" i="25"/>
  <c r="C16" i="25"/>
  <c r="B16" i="25"/>
  <c r="A16" i="25"/>
  <c r="C15" i="25"/>
  <c r="B15" i="25"/>
  <c r="A15" i="25"/>
  <c r="C14" i="25"/>
  <c r="B14" i="25"/>
  <c r="A14" i="25"/>
  <c r="C13" i="25"/>
  <c r="B13" i="25"/>
  <c r="A13" i="25"/>
  <c r="C12" i="25"/>
  <c r="B12" i="25"/>
  <c r="A12" i="25"/>
  <c r="C11" i="25"/>
  <c r="B11" i="25"/>
  <c r="A11" i="25"/>
  <c r="C10" i="25"/>
  <c r="B10" i="25"/>
  <c r="A10" i="25"/>
  <c r="C9" i="25"/>
  <c r="B9" i="25"/>
  <c r="A9" i="25"/>
  <c r="C8" i="25"/>
  <c r="B8" i="25"/>
  <c r="A8" i="25"/>
  <c r="C7" i="25"/>
  <c r="B7" i="25"/>
  <c r="A7" i="25"/>
  <c r="H6" i="25"/>
  <c r="C6" i="25"/>
  <c r="B6" i="25"/>
  <c r="A6" i="25"/>
  <c r="H5" i="25"/>
  <c r="C5" i="25"/>
  <c r="B5" i="25"/>
  <c r="A5" i="25"/>
  <c r="H4" i="25"/>
  <c r="C4" i="25"/>
  <c r="B4" i="25"/>
  <c r="A4" i="25"/>
  <c r="H3" i="25"/>
  <c r="C3" i="25"/>
  <c r="B3" i="25"/>
  <c r="A3" i="25"/>
  <c r="A1" i="25"/>
  <c r="H30" i="24"/>
  <c r="H29" i="24"/>
  <c r="H28" i="24"/>
  <c r="H27" i="24"/>
  <c r="H26" i="24"/>
  <c r="H25" i="24"/>
  <c r="H24" i="24"/>
  <c r="C24" i="24"/>
  <c r="B24" i="24"/>
  <c r="A24" i="24"/>
  <c r="H23" i="24"/>
  <c r="C23" i="24"/>
  <c r="B23" i="24"/>
  <c r="A23" i="24"/>
  <c r="H22" i="24"/>
  <c r="C22" i="24"/>
  <c r="B22" i="24"/>
  <c r="A22" i="24"/>
  <c r="H21" i="24"/>
  <c r="C21" i="24"/>
  <c r="B21" i="24"/>
  <c r="A21" i="24"/>
  <c r="H20" i="24"/>
  <c r="C20" i="24"/>
  <c r="B20" i="24"/>
  <c r="A20" i="24"/>
  <c r="H19" i="24"/>
  <c r="C19" i="24"/>
  <c r="B19" i="24"/>
  <c r="A19" i="24"/>
  <c r="H18" i="24"/>
  <c r="C18" i="24"/>
  <c r="B18" i="24"/>
  <c r="A18" i="24"/>
  <c r="H17" i="24"/>
  <c r="C17" i="24"/>
  <c r="B17" i="24"/>
  <c r="A17" i="24"/>
  <c r="H16" i="24"/>
  <c r="C16" i="24"/>
  <c r="B16" i="24"/>
  <c r="A16" i="24"/>
  <c r="H15" i="24"/>
  <c r="C15" i="24"/>
  <c r="B15" i="24"/>
  <c r="A15" i="24"/>
  <c r="H14" i="24"/>
  <c r="C14" i="24"/>
  <c r="B14" i="24"/>
  <c r="A14" i="24"/>
  <c r="H13" i="24"/>
  <c r="C13" i="24"/>
  <c r="B13" i="24"/>
  <c r="A13" i="24"/>
  <c r="H12" i="24"/>
  <c r="C12" i="24"/>
  <c r="B12" i="24"/>
  <c r="A12" i="24"/>
  <c r="H11" i="24"/>
  <c r="C11" i="24"/>
  <c r="B11" i="24"/>
  <c r="A11" i="24"/>
  <c r="H10" i="24"/>
  <c r="C10" i="24"/>
  <c r="B10" i="24"/>
  <c r="A10" i="24"/>
  <c r="H9" i="24"/>
  <c r="C9" i="24"/>
  <c r="B9" i="24"/>
  <c r="A9" i="24"/>
  <c r="H8" i="24"/>
  <c r="C8" i="24"/>
  <c r="B8" i="24"/>
  <c r="A8" i="24"/>
  <c r="H7" i="24"/>
  <c r="C7" i="24"/>
  <c r="B7" i="24"/>
  <c r="A7" i="24"/>
  <c r="H6" i="24"/>
  <c r="C6" i="24"/>
  <c r="B6" i="24"/>
  <c r="A6" i="24"/>
  <c r="H5" i="24"/>
  <c r="C5" i="24"/>
  <c r="B5" i="24"/>
  <c r="A5" i="24"/>
  <c r="H4" i="24"/>
  <c r="C4" i="24"/>
  <c r="B4" i="24"/>
  <c r="A4" i="24"/>
  <c r="H3" i="24"/>
  <c r="C3" i="24"/>
  <c r="B3" i="24"/>
  <c r="A3" i="24"/>
  <c r="A1" i="24"/>
  <c r="H30" i="23"/>
  <c r="H29" i="23"/>
  <c r="H28" i="23"/>
  <c r="H27" i="23"/>
  <c r="H26" i="23"/>
  <c r="H25" i="23"/>
  <c r="I24" i="23"/>
  <c r="H24" i="23"/>
  <c r="C24" i="23"/>
  <c r="B24" i="23"/>
  <c r="A24" i="23"/>
  <c r="I23" i="23"/>
  <c r="H23" i="23"/>
  <c r="C23" i="23"/>
  <c r="B23" i="23"/>
  <c r="A23" i="23"/>
  <c r="H22" i="23"/>
  <c r="C22" i="23"/>
  <c r="B22" i="23"/>
  <c r="A22" i="23"/>
  <c r="H21" i="23"/>
  <c r="C21" i="23"/>
  <c r="B21" i="23"/>
  <c r="A21" i="23"/>
  <c r="H20" i="23"/>
  <c r="C20" i="23"/>
  <c r="B20" i="23"/>
  <c r="A20" i="23"/>
  <c r="H19" i="23"/>
  <c r="C19" i="23"/>
  <c r="B19" i="23"/>
  <c r="A19" i="23"/>
  <c r="H18" i="23"/>
  <c r="C18" i="23"/>
  <c r="B18" i="23"/>
  <c r="A18" i="23"/>
  <c r="H17" i="23"/>
  <c r="C17" i="23"/>
  <c r="B17" i="23"/>
  <c r="A17" i="23"/>
  <c r="H16" i="23"/>
  <c r="C16" i="23"/>
  <c r="A16" i="23"/>
  <c r="H15" i="23"/>
  <c r="C15" i="23"/>
  <c r="B15" i="23"/>
  <c r="A15" i="23"/>
  <c r="H14" i="23"/>
  <c r="C14" i="23"/>
  <c r="B14" i="23"/>
  <c r="A14" i="23"/>
  <c r="H13" i="23"/>
  <c r="C13" i="23"/>
  <c r="B13" i="23"/>
  <c r="A13" i="23"/>
  <c r="H12" i="23"/>
  <c r="C12" i="23"/>
  <c r="B12" i="23"/>
  <c r="A12" i="23"/>
  <c r="H11" i="23"/>
  <c r="C11" i="23"/>
  <c r="B11" i="23"/>
  <c r="A11" i="23"/>
  <c r="H10" i="23"/>
  <c r="C10" i="23"/>
  <c r="B10" i="23"/>
  <c r="A10" i="23"/>
  <c r="H9" i="23"/>
  <c r="C9" i="23"/>
  <c r="B9" i="23"/>
  <c r="A9" i="23"/>
  <c r="H8" i="23"/>
  <c r="C8" i="23"/>
  <c r="B8" i="23"/>
  <c r="A8" i="23"/>
  <c r="H7" i="23"/>
  <c r="C7" i="23"/>
  <c r="B7" i="23"/>
  <c r="A7" i="23"/>
  <c r="H6" i="23"/>
  <c r="C6" i="23"/>
  <c r="B6" i="23"/>
  <c r="A6" i="23"/>
  <c r="H5" i="23"/>
  <c r="C5" i="23"/>
  <c r="B5" i="23"/>
  <c r="A5" i="23"/>
  <c r="H4" i="23"/>
  <c r="C4" i="23"/>
  <c r="B4" i="23"/>
  <c r="A4" i="23"/>
  <c r="H3" i="23"/>
  <c r="C3" i="23"/>
  <c r="A3" i="23"/>
  <c r="H30" i="22"/>
  <c r="H29" i="22"/>
  <c r="H28" i="22"/>
  <c r="H27" i="22"/>
  <c r="H26" i="22"/>
  <c r="H25" i="22"/>
  <c r="H24" i="22"/>
  <c r="H23" i="22"/>
  <c r="C23" i="22"/>
  <c r="B23" i="22"/>
  <c r="A23" i="22"/>
  <c r="H22" i="22"/>
  <c r="C22" i="22"/>
  <c r="B22" i="22"/>
  <c r="A22" i="22"/>
  <c r="H21" i="22"/>
  <c r="C21" i="22"/>
  <c r="B21" i="22"/>
  <c r="A21" i="22"/>
  <c r="H20" i="22"/>
  <c r="C20" i="22"/>
  <c r="B20" i="22"/>
  <c r="A20" i="22"/>
  <c r="H19" i="22"/>
  <c r="C19" i="22"/>
  <c r="B19" i="22"/>
  <c r="A19" i="22"/>
  <c r="H18" i="22"/>
  <c r="C18" i="22"/>
  <c r="B18" i="22"/>
  <c r="A18" i="22"/>
  <c r="H17" i="22"/>
  <c r="C17" i="22"/>
  <c r="B17" i="22"/>
  <c r="A17" i="22"/>
  <c r="H16" i="22"/>
  <c r="C16" i="22"/>
  <c r="B16" i="22"/>
  <c r="A16" i="22"/>
  <c r="H15" i="22"/>
  <c r="C15" i="22"/>
  <c r="B15" i="22"/>
  <c r="A15" i="22"/>
  <c r="H14" i="22"/>
  <c r="C14" i="22"/>
  <c r="B14" i="22"/>
  <c r="A14" i="22"/>
  <c r="H13" i="22"/>
  <c r="C13" i="22"/>
  <c r="B13" i="22"/>
  <c r="A13" i="22"/>
  <c r="H12" i="22"/>
  <c r="C12" i="22"/>
  <c r="B12" i="22"/>
  <c r="A12" i="22"/>
  <c r="H11" i="22"/>
  <c r="C11" i="22"/>
  <c r="B11" i="22"/>
  <c r="A11" i="22"/>
  <c r="H10" i="22"/>
  <c r="C10" i="22"/>
  <c r="B10" i="22"/>
  <c r="A10" i="22"/>
  <c r="H9" i="22"/>
  <c r="C9" i="22"/>
  <c r="B9" i="22"/>
  <c r="A9" i="22"/>
  <c r="H8" i="22"/>
  <c r="C8" i="22"/>
  <c r="B8" i="22"/>
  <c r="A8" i="22"/>
  <c r="H7" i="22"/>
  <c r="C7" i="22"/>
  <c r="B7" i="22"/>
  <c r="A7" i="22"/>
  <c r="H6" i="22"/>
  <c r="C6" i="22"/>
  <c r="B6" i="22"/>
  <c r="A6" i="22"/>
  <c r="H5" i="22"/>
  <c r="C5" i="22"/>
  <c r="B5" i="22"/>
  <c r="A5" i="22"/>
  <c r="H4" i="22"/>
  <c r="C4" i="22"/>
  <c r="B4" i="22"/>
  <c r="A4" i="22"/>
  <c r="H3" i="22"/>
  <c r="C3" i="22"/>
  <c r="B3" i="22"/>
  <c r="A3" i="22"/>
  <c r="A1" i="22"/>
  <c r="H30" i="21"/>
  <c r="H29" i="21"/>
  <c r="H28" i="21"/>
  <c r="H27" i="21"/>
  <c r="H26" i="21"/>
  <c r="H25" i="21"/>
  <c r="H24" i="21"/>
  <c r="C24" i="21"/>
  <c r="B24" i="21"/>
  <c r="A24" i="21"/>
  <c r="H23" i="21"/>
  <c r="C23" i="21"/>
  <c r="B23" i="21"/>
  <c r="A23" i="21"/>
  <c r="H22" i="21"/>
  <c r="C22" i="21"/>
  <c r="B22" i="21"/>
  <c r="A22" i="21"/>
  <c r="H21" i="21"/>
  <c r="C21" i="21"/>
  <c r="B21" i="21"/>
  <c r="A21" i="21"/>
  <c r="H20" i="21"/>
  <c r="C20" i="21"/>
  <c r="B20" i="21"/>
  <c r="A20" i="21"/>
  <c r="H19" i="21"/>
  <c r="C19" i="21"/>
  <c r="B19" i="21"/>
  <c r="A19" i="21"/>
  <c r="H18" i="21"/>
  <c r="C18" i="21"/>
  <c r="B18" i="21"/>
  <c r="A18" i="21"/>
  <c r="H17" i="21"/>
  <c r="C17" i="21"/>
  <c r="B17" i="21"/>
  <c r="A17" i="21"/>
  <c r="H16" i="21"/>
  <c r="C16" i="21"/>
  <c r="B16" i="21"/>
  <c r="A16" i="21"/>
  <c r="H15" i="21"/>
  <c r="C15" i="21"/>
  <c r="B15" i="21"/>
  <c r="A15" i="21"/>
  <c r="H14" i="21"/>
  <c r="C14" i="21"/>
  <c r="B14" i="21"/>
  <c r="A14" i="21"/>
  <c r="H13" i="21"/>
  <c r="C13" i="21"/>
  <c r="B13" i="21"/>
  <c r="A13" i="21"/>
  <c r="H12" i="21"/>
  <c r="C12" i="21"/>
  <c r="B12" i="21"/>
  <c r="A12" i="21"/>
  <c r="H11" i="21"/>
  <c r="C11" i="21"/>
  <c r="B11" i="21"/>
  <c r="A11" i="21"/>
  <c r="H10" i="21"/>
  <c r="C10" i="21"/>
  <c r="B10" i="21"/>
  <c r="A10" i="21"/>
  <c r="H9" i="21"/>
  <c r="C9" i="21"/>
  <c r="B9" i="21"/>
  <c r="A9" i="21"/>
  <c r="H8" i="21"/>
  <c r="C8" i="21"/>
  <c r="B8" i="21"/>
  <c r="A8" i="21"/>
  <c r="H7" i="21"/>
  <c r="C7" i="21"/>
  <c r="B7" i="21"/>
  <c r="A7" i="21"/>
  <c r="H6" i="21"/>
  <c r="C6" i="21"/>
  <c r="B6" i="21"/>
  <c r="A6" i="21"/>
  <c r="H5" i="21"/>
  <c r="C5" i="21"/>
  <c r="B5" i="21"/>
  <c r="A5" i="21"/>
  <c r="H4" i="21"/>
  <c r="C4" i="21"/>
  <c r="B4" i="21"/>
  <c r="A4" i="21"/>
  <c r="H3" i="21"/>
  <c r="C3" i="21"/>
  <c r="B3" i="21"/>
  <c r="A3" i="21"/>
  <c r="A1" i="21"/>
  <c r="H30" i="17"/>
  <c r="H29" i="17"/>
  <c r="H28" i="17"/>
  <c r="H27" i="17"/>
  <c r="H26" i="17"/>
  <c r="C26" i="17"/>
  <c r="B26" i="17"/>
  <c r="H25" i="17"/>
  <c r="C25" i="17"/>
  <c r="B25" i="17"/>
  <c r="A25" i="17"/>
  <c r="H24" i="17"/>
  <c r="C24" i="17"/>
  <c r="B24" i="17"/>
  <c r="A24" i="17"/>
  <c r="H23" i="17"/>
  <c r="C23" i="17"/>
  <c r="B23" i="17"/>
  <c r="A23" i="17"/>
  <c r="H22" i="17"/>
  <c r="C22" i="17"/>
  <c r="B22" i="17"/>
  <c r="A22" i="17"/>
  <c r="H21" i="17"/>
  <c r="C21" i="17"/>
  <c r="B21" i="17"/>
  <c r="A21" i="17"/>
  <c r="H20" i="17"/>
  <c r="C20" i="17"/>
  <c r="B20" i="17"/>
  <c r="A20" i="17"/>
  <c r="H19" i="17"/>
  <c r="C19" i="17"/>
  <c r="B19" i="17"/>
  <c r="A19" i="17"/>
  <c r="H18" i="17"/>
  <c r="C18" i="17"/>
  <c r="B18" i="17"/>
  <c r="A18" i="17"/>
  <c r="H17" i="17"/>
  <c r="C17" i="17"/>
  <c r="B17" i="17"/>
  <c r="A17" i="17"/>
  <c r="H16" i="17"/>
  <c r="C16" i="17"/>
  <c r="B16" i="17"/>
  <c r="A16" i="17"/>
  <c r="H15" i="17"/>
  <c r="C15" i="17"/>
  <c r="B15" i="17"/>
  <c r="A15" i="17"/>
  <c r="H14" i="17"/>
  <c r="C14" i="17"/>
  <c r="B14" i="17"/>
  <c r="A14" i="17"/>
  <c r="H13" i="17"/>
  <c r="C13" i="17"/>
  <c r="B13" i="17"/>
  <c r="A13" i="17"/>
  <c r="H12" i="17"/>
  <c r="C12" i="17"/>
  <c r="B12" i="17"/>
  <c r="A12" i="17"/>
  <c r="H11" i="17"/>
  <c r="C11" i="17"/>
  <c r="B11" i="17"/>
  <c r="A11" i="17"/>
  <c r="H10" i="17"/>
  <c r="C10" i="17"/>
  <c r="B10" i="17"/>
  <c r="A10" i="17"/>
  <c r="H9" i="17"/>
  <c r="C9" i="17"/>
  <c r="B9" i="17"/>
  <c r="A9" i="17"/>
  <c r="H8" i="17"/>
  <c r="C8" i="17"/>
  <c r="B8" i="17"/>
  <c r="A8" i="17"/>
  <c r="H7" i="17"/>
  <c r="C7" i="17"/>
  <c r="B7" i="17"/>
  <c r="A7" i="17"/>
  <c r="H6" i="17"/>
  <c r="C6" i="17"/>
  <c r="B6" i="17"/>
  <c r="A6" i="17"/>
  <c r="H5" i="17"/>
  <c r="C5" i="17"/>
  <c r="B5" i="17"/>
  <c r="A5" i="17"/>
  <c r="H4" i="17"/>
  <c r="H3" i="17"/>
  <c r="C4" i="17"/>
  <c r="B4" i="17"/>
  <c r="A4" i="17"/>
  <c r="C3" i="17"/>
  <c r="B3" i="17"/>
  <c r="A3" i="17"/>
  <c r="A1" i="17"/>
  <c r="H30" i="14"/>
  <c r="H29" i="14"/>
  <c r="H28" i="14"/>
  <c r="H27" i="14"/>
  <c r="H26" i="14"/>
  <c r="H25" i="14"/>
  <c r="C25" i="14"/>
  <c r="B25" i="14"/>
  <c r="A25" i="14"/>
  <c r="H24" i="14"/>
  <c r="C24" i="14"/>
  <c r="B24" i="14"/>
  <c r="A24" i="14"/>
  <c r="H23" i="14"/>
  <c r="C23" i="14"/>
  <c r="B23" i="14"/>
  <c r="A23" i="14"/>
  <c r="H22" i="14"/>
  <c r="C22" i="14"/>
  <c r="B22" i="14"/>
  <c r="A22" i="14"/>
  <c r="H21" i="14"/>
  <c r="C21" i="14"/>
  <c r="B21" i="14"/>
  <c r="A21" i="14"/>
  <c r="H20" i="14"/>
  <c r="C20" i="14"/>
  <c r="B20" i="14"/>
  <c r="A20" i="14"/>
  <c r="H19" i="14"/>
  <c r="C19" i="14"/>
  <c r="B19" i="14"/>
  <c r="A19" i="14"/>
  <c r="H18" i="14"/>
  <c r="C18" i="14"/>
  <c r="B18" i="14"/>
  <c r="A18" i="14"/>
  <c r="H17" i="14"/>
  <c r="C17" i="14"/>
  <c r="B17" i="14"/>
  <c r="A17" i="14"/>
  <c r="H16" i="14"/>
  <c r="C16" i="14"/>
  <c r="B16" i="14"/>
  <c r="A16" i="14"/>
  <c r="H15" i="14"/>
  <c r="C15" i="14"/>
  <c r="B15" i="14"/>
  <c r="A15" i="14"/>
  <c r="H14" i="14"/>
  <c r="C14" i="14"/>
  <c r="B14" i="14"/>
  <c r="A14" i="14"/>
  <c r="H13" i="14"/>
  <c r="C13" i="14"/>
  <c r="B13" i="14"/>
  <c r="A13" i="14"/>
  <c r="H12" i="14"/>
  <c r="C12" i="14"/>
  <c r="B12" i="14"/>
  <c r="A12" i="14"/>
  <c r="H11" i="14"/>
  <c r="C11" i="14"/>
  <c r="B11" i="14"/>
  <c r="A11" i="14"/>
  <c r="H10" i="14"/>
  <c r="C10" i="14"/>
  <c r="B10" i="14"/>
  <c r="A10" i="14"/>
  <c r="H9" i="14"/>
  <c r="C9" i="14"/>
  <c r="B9" i="14"/>
  <c r="A9" i="14"/>
  <c r="H8" i="14"/>
  <c r="C8" i="14"/>
  <c r="B8" i="14"/>
  <c r="A8" i="14"/>
  <c r="H7" i="14"/>
  <c r="C7" i="14"/>
  <c r="B7" i="14"/>
  <c r="A7" i="14"/>
  <c r="H6" i="14"/>
  <c r="C6" i="14"/>
  <c r="B6" i="14"/>
  <c r="A6" i="14"/>
  <c r="H5" i="14"/>
  <c r="C5" i="14"/>
  <c r="B5" i="14"/>
  <c r="A5" i="14"/>
  <c r="H4" i="14"/>
  <c r="C4" i="14"/>
  <c r="B4" i="14"/>
  <c r="A4" i="14"/>
  <c r="H3" i="14"/>
  <c r="C3" i="14"/>
  <c r="B3" i="14"/>
  <c r="A3" i="14"/>
  <c r="A1" i="14"/>
  <c r="H30" i="8"/>
  <c r="H29" i="8"/>
  <c r="H28" i="8"/>
  <c r="H27" i="8"/>
  <c r="H26" i="8"/>
  <c r="H25" i="8"/>
  <c r="C25" i="8"/>
  <c r="B25" i="8"/>
  <c r="A25" i="8"/>
  <c r="H24" i="8"/>
  <c r="C24" i="8"/>
  <c r="B24" i="8"/>
  <c r="A24" i="8"/>
  <c r="H23" i="8"/>
  <c r="C23" i="8"/>
  <c r="B23" i="8"/>
  <c r="A23" i="8"/>
  <c r="H22" i="8"/>
  <c r="C22" i="8"/>
  <c r="B22" i="8"/>
  <c r="A22" i="8"/>
  <c r="H21" i="8"/>
  <c r="C21" i="8"/>
  <c r="B21" i="8"/>
  <c r="A21" i="8"/>
  <c r="H20" i="8"/>
  <c r="C20" i="8"/>
  <c r="B20" i="8"/>
  <c r="A20" i="8"/>
  <c r="H19" i="8"/>
  <c r="C19" i="8"/>
  <c r="B19" i="8"/>
  <c r="A19" i="8"/>
  <c r="H18" i="8"/>
  <c r="C18" i="8"/>
  <c r="B18" i="8"/>
  <c r="A18" i="8"/>
  <c r="H17" i="8"/>
  <c r="C17" i="8"/>
  <c r="B17" i="8"/>
  <c r="A17" i="8"/>
  <c r="H16" i="8"/>
  <c r="C16" i="8"/>
  <c r="B16" i="8"/>
  <c r="A16" i="8"/>
  <c r="H15" i="8"/>
  <c r="C15" i="8"/>
  <c r="B15" i="8"/>
  <c r="A15" i="8"/>
  <c r="H14" i="8"/>
  <c r="C14" i="8"/>
  <c r="B14" i="8"/>
  <c r="A14" i="8"/>
  <c r="H13" i="8"/>
  <c r="C13" i="8"/>
  <c r="B13" i="8"/>
  <c r="A13" i="8"/>
  <c r="H12" i="8"/>
  <c r="C12" i="8"/>
  <c r="B12" i="8"/>
  <c r="A12" i="8"/>
  <c r="H11" i="8"/>
  <c r="C11" i="8"/>
  <c r="B11" i="8"/>
  <c r="A11" i="8"/>
  <c r="H10" i="8"/>
  <c r="C10" i="8"/>
  <c r="B10" i="8"/>
  <c r="A10" i="8"/>
  <c r="H9" i="8"/>
  <c r="C9" i="8"/>
  <c r="B9" i="8"/>
  <c r="A9" i="8"/>
  <c r="H8" i="8"/>
  <c r="C8" i="8"/>
  <c r="B8" i="8"/>
  <c r="A8" i="8"/>
  <c r="H7" i="8"/>
  <c r="C7" i="8"/>
  <c r="B7" i="8"/>
  <c r="A7" i="8"/>
  <c r="H6" i="8"/>
  <c r="C6" i="8"/>
  <c r="B6" i="8"/>
  <c r="A6" i="8"/>
  <c r="H5" i="8"/>
  <c r="C5" i="8"/>
  <c r="B5" i="8"/>
  <c r="A5" i="8"/>
  <c r="H4" i="8"/>
  <c r="C4" i="8"/>
  <c r="B4" i="8"/>
  <c r="A4" i="8"/>
  <c r="H3" i="8"/>
  <c r="C3" i="8"/>
  <c r="B3" i="8"/>
  <c r="A3" i="8"/>
  <c r="A1" i="8"/>
  <c r="H30" i="7"/>
  <c r="H27" i="7"/>
  <c r="H26" i="7"/>
  <c r="C26" i="7"/>
  <c r="B26" i="7"/>
  <c r="A26" i="7"/>
  <c r="H25" i="7"/>
  <c r="C25" i="7"/>
  <c r="B25" i="7"/>
  <c r="A25" i="7"/>
  <c r="H24" i="7"/>
  <c r="C24" i="7"/>
  <c r="B24" i="7"/>
  <c r="A24" i="7"/>
  <c r="H23" i="7"/>
  <c r="C23" i="7"/>
  <c r="B23" i="7"/>
  <c r="A23" i="7"/>
  <c r="H22" i="7"/>
  <c r="C22" i="7"/>
  <c r="B22" i="7"/>
  <c r="A22" i="7"/>
  <c r="H21" i="7"/>
  <c r="C21" i="7"/>
  <c r="B21" i="7"/>
  <c r="A21" i="7"/>
  <c r="H20" i="7"/>
  <c r="C20" i="7"/>
  <c r="B20" i="7"/>
  <c r="A20" i="7"/>
  <c r="H19" i="7"/>
  <c r="C19" i="7"/>
  <c r="B19" i="7"/>
  <c r="A19" i="7"/>
  <c r="H18" i="7"/>
  <c r="C18" i="7"/>
  <c r="B18" i="7"/>
  <c r="A18" i="7"/>
  <c r="H17" i="7"/>
  <c r="C17" i="7"/>
  <c r="B17" i="7"/>
  <c r="A17" i="7"/>
  <c r="H16" i="7"/>
  <c r="C16" i="7"/>
  <c r="B16" i="7"/>
  <c r="A16" i="7"/>
  <c r="H15" i="7"/>
  <c r="H3" i="7"/>
  <c r="H4" i="7"/>
  <c r="H5" i="7"/>
  <c r="H6" i="7"/>
  <c r="H7" i="7"/>
  <c r="H8" i="7"/>
  <c r="H9" i="7"/>
  <c r="H10" i="7"/>
  <c r="H11" i="7"/>
  <c r="H12" i="7"/>
  <c r="H13" i="7"/>
  <c r="H14" i="7"/>
  <c r="C15" i="7"/>
  <c r="B15" i="7"/>
  <c r="A15" i="7"/>
  <c r="B14" i="7"/>
  <c r="C13" i="7"/>
  <c r="B13" i="7"/>
  <c r="A13" i="7"/>
  <c r="C12" i="7"/>
  <c r="B12" i="7"/>
  <c r="A12" i="7"/>
  <c r="C11" i="7"/>
  <c r="B11" i="7"/>
  <c r="A11" i="7"/>
  <c r="C10" i="7"/>
  <c r="B10" i="7"/>
  <c r="A10" i="7"/>
  <c r="C9" i="7"/>
  <c r="B9" i="7"/>
  <c r="A9" i="7"/>
  <c r="C8" i="7"/>
  <c r="B8" i="7"/>
  <c r="A8" i="7"/>
  <c r="C7" i="7"/>
  <c r="B7" i="7"/>
  <c r="A7" i="7"/>
  <c r="C6" i="7"/>
  <c r="B6" i="7"/>
  <c r="A6" i="7"/>
  <c r="C5" i="7"/>
  <c r="B5" i="7"/>
  <c r="A5" i="7"/>
  <c r="C4" i="7"/>
  <c r="B4" i="7"/>
  <c r="A4" i="7"/>
  <c r="C3" i="7"/>
  <c r="B3" i="7"/>
  <c r="A3" i="7"/>
  <c r="A1" i="7"/>
  <c r="H30" i="6"/>
  <c r="H29" i="6"/>
  <c r="H28" i="6"/>
  <c r="H27" i="6"/>
  <c r="H26" i="6"/>
  <c r="C26" i="6"/>
  <c r="B26" i="6"/>
  <c r="A26" i="6"/>
  <c r="H25" i="6"/>
  <c r="C25" i="6"/>
  <c r="A25" i="6"/>
  <c r="H24" i="6"/>
  <c r="C24" i="6"/>
  <c r="B24" i="6"/>
  <c r="A24" i="6"/>
  <c r="H23" i="6"/>
  <c r="C23" i="6"/>
  <c r="B23" i="6"/>
  <c r="A23" i="6"/>
  <c r="H22" i="6"/>
  <c r="C22" i="6"/>
  <c r="B22" i="6"/>
  <c r="A22" i="6"/>
  <c r="H21" i="6"/>
  <c r="C21" i="6"/>
  <c r="B21" i="6"/>
  <c r="A21" i="6"/>
  <c r="H20" i="6"/>
  <c r="C20" i="6"/>
  <c r="B20" i="6"/>
  <c r="A20" i="6"/>
  <c r="H19" i="6"/>
  <c r="C19" i="6"/>
  <c r="B19" i="6"/>
  <c r="A19" i="6"/>
  <c r="H18" i="6"/>
  <c r="C18" i="6"/>
  <c r="B18" i="6"/>
  <c r="A18" i="6"/>
  <c r="H17" i="6"/>
  <c r="C17" i="6"/>
  <c r="B17" i="6"/>
  <c r="A17" i="6"/>
  <c r="H16" i="6"/>
  <c r="C16" i="6"/>
  <c r="B16" i="6"/>
  <c r="A16" i="6"/>
  <c r="H15" i="6"/>
  <c r="C15" i="6"/>
  <c r="B15" i="6"/>
  <c r="A15" i="6"/>
  <c r="H14" i="6"/>
  <c r="C14" i="6"/>
  <c r="B14" i="6"/>
  <c r="A14" i="6"/>
  <c r="H13" i="6"/>
  <c r="C13" i="6"/>
  <c r="B13" i="6"/>
  <c r="A13" i="6"/>
  <c r="H12" i="6"/>
  <c r="C12" i="6"/>
  <c r="B12" i="6"/>
  <c r="A12" i="6"/>
  <c r="H11" i="6"/>
  <c r="C11" i="6"/>
  <c r="B11" i="6"/>
  <c r="A11" i="6"/>
  <c r="H10" i="6"/>
  <c r="C10" i="6"/>
  <c r="B10" i="6"/>
  <c r="A10" i="6"/>
  <c r="H9" i="6"/>
  <c r="C9" i="6"/>
  <c r="B9" i="6"/>
  <c r="A9" i="6"/>
  <c r="H8" i="6"/>
  <c r="C8" i="6"/>
  <c r="B8" i="6"/>
  <c r="A8" i="6"/>
  <c r="H7" i="6"/>
  <c r="C7" i="6"/>
  <c r="B7" i="6"/>
  <c r="A7" i="6"/>
  <c r="H6" i="6"/>
  <c r="C6" i="6"/>
  <c r="B6" i="6"/>
  <c r="A6" i="6"/>
  <c r="H5" i="6"/>
  <c r="C5" i="6"/>
  <c r="B5" i="6"/>
  <c r="A5" i="6"/>
  <c r="H4" i="6"/>
  <c r="C4" i="6"/>
  <c r="B4" i="6"/>
  <c r="A4" i="6"/>
  <c r="H3" i="6"/>
  <c r="C3" i="6"/>
  <c r="B3" i="6"/>
  <c r="A3" i="6"/>
  <c r="A1" i="6"/>
  <c r="H30" i="5"/>
  <c r="H29" i="5"/>
  <c r="H28" i="5"/>
  <c r="H27" i="5"/>
  <c r="H26" i="5"/>
  <c r="C26" i="5"/>
  <c r="B26" i="5"/>
  <c r="A26" i="5"/>
  <c r="H25" i="5"/>
  <c r="C25" i="5"/>
  <c r="B25" i="5"/>
  <c r="A25" i="5"/>
  <c r="H24" i="5"/>
  <c r="C24" i="5"/>
  <c r="B24" i="5"/>
  <c r="A24" i="5"/>
  <c r="H23" i="5"/>
  <c r="C23" i="5"/>
  <c r="B23" i="5"/>
  <c r="A23" i="5"/>
  <c r="H22" i="5"/>
  <c r="C22" i="5"/>
  <c r="B22" i="5"/>
  <c r="A22" i="5"/>
  <c r="H21" i="5"/>
  <c r="C21" i="5"/>
  <c r="B21" i="5"/>
  <c r="A21" i="5"/>
  <c r="H20" i="5"/>
  <c r="C20" i="5"/>
  <c r="B20" i="5"/>
  <c r="A20" i="5"/>
  <c r="H19" i="5"/>
  <c r="C19" i="5"/>
  <c r="B19" i="5"/>
  <c r="A19" i="5"/>
  <c r="H18" i="5"/>
  <c r="C18" i="5"/>
  <c r="B18" i="5"/>
  <c r="A18" i="5"/>
  <c r="H17" i="5"/>
  <c r="C17" i="5"/>
  <c r="B17" i="5"/>
  <c r="A17" i="5"/>
  <c r="H16" i="5"/>
  <c r="C16" i="5"/>
  <c r="B16" i="5"/>
  <c r="A16" i="5"/>
  <c r="H15" i="5"/>
  <c r="C15" i="5"/>
  <c r="B15" i="5"/>
  <c r="A15" i="5"/>
  <c r="H14" i="5"/>
  <c r="C14" i="5"/>
  <c r="B14" i="5"/>
  <c r="A14" i="5"/>
  <c r="H13" i="5"/>
  <c r="C13" i="5"/>
  <c r="B13" i="5"/>
  <c r="A13" i="5"/>
  <c r="H12" i="5"/>
  <c r="C12" i="5"/>
  <c r="B12" i="5"/>
  <c r="A12" i="5"/>
  <c r="H11" i="5"/>
  <c r="H3" i="5"/>
  <c r="H4" i="5"/>
  <c r="H5" i="5"/>
  <c r="H6" i="5"/>
  <c r="H8" i="5"/>
  <c r="H9" i="5"/>
  <c r="H10" i="5"/>
  <c r="C11" i="5"/>
  <c r="A11" i="5"/>
  <c r="C10" i="5"/>
  <c r="B10" i="5"/>
  <c r="A10" i="5"/>
  <c r="C9" i="5"/>
  <c r="B9" i="5"/>
  <c r="A9" i="5"/>
  <c r="C8" i="5"/>
  <c r="B8" i="5"/>
  <c r="A8" i="5"/>
  <c r="C7" i="5"/>
  <c r="B7" i="5"/>
  <c r="A7" i="5"/>
  <c r="C6" i="5"/>
  <c r="B6" i="5"/>
  <c r="A6" i="5"/>
  <c r="C5" i="5"/>
  <c r="B5" i="5"/>
  <c r="A5" i="5"/>
  <c r="C4" i="5"/>
  <c r="B4" i="5"/>
  <c r="A4" i="5"/>
  <c r="C3" i="5"/>
  <c r="B3" i="5"/>
  <c r="A3" i="5"/>
  <c r="A1" i="5"/>
  <c r="H30" i="4"/>
  <c r="H29" i="4"/>
  <c r="H28" i="4"/>
  <c r="H27" i="4"/>
  <c r="H26" i="4"/>
  <c r="H25" i="4"/>
  <c r="C25" i="4"/>
  <c r="B25" i="4"/>
  <c r="A25" i="4"/>
  <c r="H24" i="4"/>
  <c r="C24" i="4"/>
  <c r="B24" i="4"/>
  <c r="A24" i="4"/>
  <c r="H23" i="4"/>
  <c r="C23" i="4"/>
  <c r="B23" i="4"/>
  <c r="A23" i="4"/>
  <c r="H22" i="4"/>
  <c r="C22" i="4"/>
  <c r="B22" i="4"/>
  <c r="A22" i="4"/>
  <c r="H21" i="4"/>
  <c r="C21" i="4"/>
  <c r="B21" i="4"/>
  <c r="A21" i="4"/>
  <c r="H20" i="4"/>
  <c r="C20" i="4"/>
  <c r="B20" i="4"/>
  <c r="A20" i="4"/>
  <c r="H19" i="4"/>
  <c r="C19" i="4"/>
  <c r="B19" i="4"/>
  <c r="A19" i="4"/>
  <c r="H18" i="4"/>
  <c r="C18" i="4"/>
  <c r="B18" i="4"/>
  <c r="A18" i="4"/>
  <c r="C17" i="4"/>
  <c r="B17" i="4"/>
  <c r="A17" i="4"/>
  <c r="C16" i="4"/>
  <c r="B16" i="4"/>
  <c r="A16" i="4"/>
  <c r="C15" i="4"/>
  <c r="B15" i="4"/>
  <c r="A15" i="4"/>
  <c r="C14" i="4"/>
  <c r="B14" i="4"/>
  <c r="A14" i="4"/>
  <c r="C13" i="4"/>
  <c r="B13" i="4"/>
  <c r="A13" i="4"/>
  <c r="C12" i="4"/>
  <c r="B12" i="4"/>
  <c r="A12" i="4"/>
  <c r="C11" i="4"/>
  <c r="B11" i="4"/>
  <c r="A11" i="4"/>
  <c r="C10" i="4"/>
  <c r="B10" i="4"/>
  <c r="A10" i="4"/>
  <c r="H9" i="4"/>
  <c r="C9" i="4"/>
  <c r="B9" i="4"/>
  <c r="A9" i="4"/>
  <c r="H8" i="4"/>
  <c r="C8" i="4"/>
  <c r="B8" i="4"/>
  <c r="A8" i="4"/>
  <c r="H7" i="4"/>
  <c r="C7" i="4"/>
  <c r="B7" i="4"/>
  <c r="A7" i="4"/>
  <c r="H6" i="4"/>
  <c r="C6" i="4"/>
  <c r="B6" i="4"/>
  <c r="A6" i="4"/>
  <c r="H5" i="4"/>
  <c r="C5" i="4"/>
  <c r="B5" i="4"/>
  <c r="A5" i="4"/>
  <c r="H4" i="4"/>
  <c r="C4" i="4"/>
  <c r="B4" i="4"/>
  <c r="A4" i="4"/>
  <c r="H3" i="4"/>
  <c r="C3" i="4"/>
  <c r="B3" i="4"/>
  <c r="A3" i="4"/>
  <c r="A1" i="4"/>
  <c r="H30" i="3"/>
  <c r="H29" i="3"/>
  <c r="H28" i="3"/>
  <c r="H26" i="3"/>
  <c r="C26" i="3"/>
  <c r="B26" i="3"/>
  <c r="A26" i="3"/>
  <c r="H25" i="3"/>
  <c r="C25" i="3"/>
  <c r="B25" i="3"/>
  <c r="A25" i="3"/>
  <c r="H24" i="3"/>
  <c r="C24" i="3"/>
  <c r="B24" i="3"/>
  <c r="A24" i="3"/>
  <c r="H23" i="3"/>
  <c r="C23" i="3"/>
  <c r="B23" i="3"/>
  <c r="A23" i="3"/>
  <c r="C22" i="3"/>
  <c r="B22" i="3"/>
  <c r="A22" i="3"/>
  <c r="C21" i="3"/>
  <c r="B21" i="3"/>
  <c r="A21" i="3"/>
  <c r="H20" i="3"/>
  <c r="C20" i="3"/>
  <c r="B20" i="3"/>
  <c r="A20" i="3"/>
  <c r="C19" i="3"/>
  <c r="B19" i="3"/>
  <c r="A19" i="3"/>
  <c r="H18" i="3"/>
  <c r="C18" i="3"/>
  <c r="B18" i="3"/>
  <c r="A18" i="3"/>
  <c r="H17" i="3"/>
  <c r="C17" i="3"/>
  <c r="B17" i="3"/>
  <c r="A17" i="3"/>
  <c r="H16" i="3"/>
  <c r="C16" i="3"/>
  <c r="B16" i="3"/>
  <c r="A16" i="3"/>
  <c r="H15" i="3"/>
  <c r="C15" i="3"/>
  <c r="B15" i="3"/>
  <c r="A15" i="3"/>
  <c r="H14" i="3"/>
  <c r="C14" i="3"/>
  <c r="B14" i="3"/>
  <c r="A14" i="3"/>
  <c r="H13" i="3"/>
  <c r="C13" i="3"/>
  <c r="B13" i="3"/>
  <c r="A13" i="3"/>
  <c r="H12" i="3"/>
  <c r="C12" i="3"/>
  <c r="B12" i="3"/>
  <c r="A12" i="3"/>
  <c r="H11" i="3"/>
  <c r="C11" i="3"/>
  <c r="B11" i="3"/>
  <c r="A11" i="3"/>
  <c r="H10" i="3"/>
  <c r="C10" i="3"/>
  <c r="B10" i="3"/>
  <c r="A10" i="3"/>
  <c r="H9" i="3"/>
  <c r="C9" i="3"/>
  <c r="B9" i="3"/>
  <c r="A9" i="3"/>
  <c r="H8" i="3"/>
  <c r="C8" i="3"/>
  <c r="B8" i="3"/>
  <c r="A8" i="3"/>
  <c r="H7" i="3"/>
  <c r="C7" i="3"/>
  <c r="B7" i="3"/>
  <c r="A7" i="3"/>
  <c r="H6" i="3"/>
  <c r="C6" i="3"/>
  <c r="B6" i="3"/>
  <c r="A6" i="3"/>
  <c r="H5" i="3"/>
  <c r="B5" i="3"/>
  <c r="A5" i="3"/>
  <c r="H4" i="3"/>
  <c r="C4" i="3"/>
  <c r="B4" i="3"/>
  <c r="A4" i="3"/>
  <c r="H3" i="3"/>
  <c r="C3" i="3"/>
  <c r="B3" i="3"/>
  <c r="A3" i="3"/>
  <c r="A1" i="3"/>
  <c r="C26" i="2"/>
  <c r="C25" i="2"/>
  <c r="B25" i="2"/>
  <c r="A25" i="2"/>
  <c r="C24" i="2"/>
  <c r="B24" i="2"/>
  <c r="A24" i="2"/>
  <c r="C23" i="2"/>
  <c r="B23" i="2"/>
  <c r="A23" i="2"/>
  <c r="C22" i="2"/>
  <c r="B22" i="2"/>
  <c r="A22" i="2"/>
  <c r="C21" i="2"/>
  <c r="B21" i="2"/>
  <c r="A21" i="2"/>
  <c r="C20" i="2"/>
  <c r="B20" i="2"/>
  <c r="A20" i="2"/>
  <c r="C19" i="2"/>
  <c r="B19" i="2"/>
  <c r="A19" i="2"/>
  <c r="C18" i="2"/>
  <c r="B18" i="2"/>
  <c r="A18" i="2"/>
  <c r="C17" i="2"/>
  <c r="B17" i="2"/>
  <c r="A17" i="2"/>
  <c r="C16" i="2"/>
  <c r="B16" i="2"/>
  <c r="A16" i="2"/>
  <c r="C15" i="2"/>
  <c r="B15" i="2"/>
  <c r="A15" i="2"/>
  <c r="F14" i="1"/>
  <c r="C14" i="2"/>
  <c r="B14" i="2"/>
  <c r="A14" i="2"/>
  <c r="C13" i="2"/>
  <c r="B13" i="2"/>
  <c r="A13" i="2"/>
  <c r="C12" i="2"/>
  <c r="B12" i="2"/>
  <c r="A12" i="2"/>
  <c r="C11" i="2"/>
  <c r="B11" i="2"/>
  <c r="A11" i="2"/>
  <c r="C10" i="2"/>
  <c r="A10" i="2"/>
  <c r="C9" i="2"/>
  <c r="B9" i="2"/>
  <c r="A9" i="2"/>
  <c r="C8" i="2"/>
  <c r="B8" i="2"/>
  <c r="A8" i="2"/>
  <c r="C7" i="2"/>
  <c r="A7" i="2"/>
  <c r="C6" i="2"/>
  <c r="B6" i="2"/>
  <c r="A6" i="2"/>
  <c r="C5" i="2"/>
  <c r="B5" i="2"/>
  <c r="A5" i="2"/>
  <c r="C4" i="2"/>
  <c r="B4" i="2"/>
  <c r="A4" i="2"/>
  <c r="C3" i="2"/>
  <c r="B3" i="2"/>
  <c r="A3" i="2"/>
  <c r="A1" i="2"/>
  <c r="H30" i="1"/>
  <c r="F30" i="1"/>
  <c r="F30" i="2" s="1"/>
  <c r="F30" i="3" s="1"/>
  <c r="H29" i="1"/>
  <c r="F29" i="1"/>
  <c r="I29" i="1" s="1"/>
  <c r="H28" i="1"/>
  <c r="F28" i="1"/>
  <c r="H27" i="1"/>
  <c r="F27" i="1"/>
  <c r="F27" i="2" s="1"/>
  <c r="F27" i="3" s="1"/>
  <c r="F27" i="4" s="1"/>
  <c r="C27" i="1"/>
  <c r="H26" i="1"/>
  <c r="F26" i="1"/>
  <c r="F26" i="2" s="1"/>
  <c r="F26" i="3" s="1"/>
  <c r="C26" i="1"/>
  <c r="B26" i="1"/>
  <c r="A26" i="1"/>
  <c r="H25" i="1"/>
  <c r="F25" i="1"/>
  <c r="C25" i="1"/>
  <c r="B25" i="1"/>
  <c r="A25" i="1"/>
  <c r="H24" i="1"/>
  <c r="F24" i="1"/>
  <c r="C24" i="1"/>
  <c r="B24" i="1"/>
  <c r="A24" i="1"/>
  <c r="H23" i="1"/>
  <c r="F23" i="1"/>
  <c r="F23" i="2" s="1"/>
  <c r="F23" i="3" s="1"/>
  <c r="F23" i="4" s="1"/>
  <c r="C23" i="1"/>
  <c r="B23" i="1"/>
  <c r="A23" i="1"/>
  <c r="F22" i="1"/>
  <c r="I22" i="1" s="1"/>
  <c r="C22" i="1"/>
  <c r="B22" i="1"/>
  <c r="A22" i="1"/>
  <c r="H21" i="1"/>
  <c r="C21" i="1"/>
  <c r="B21" i="1"/>
  <c r="A21" i="1"/>
  <c r="H20" i="1"/>
  <c r="C20" i="1"/>
  <c r="B20" i="1"/>
  <c r="A20" i="1"/>
  <c r="H19" i="1"/>
  <c r="C19" i="1"/>
  <c r="B19" i="1"/>
  <c r="A19" i="1"/>
  <c r="H18" i="1"/>
  <c r="C18" i="1"/>
  <c r="B18" i="1"/>
  <c r="A18" i="1"/>
  <c r="H17" i="1"/>
  <c r="C17" i="1"/>
  <c r="B17" i="1"/>
  <c r="A17" i="1"/>
  <c r="H16" i="1"/>
  <c r="C16" i="1"/>
  <c r="B16" i="1"/>
  <c r="A16" i="1"/>
  <c r="H15" i="1"/>
  <c r="F15" i="1"/>
  <c r="I15" i="1" s="1"/>
  <c r="C15" i="1"/>
  <c r="B15" i="1"/>
  <c r="A15" i="1"/>
  <c r="H14" i="1"/>
  <c r="C14" i="1"/>
  <c r="B14" i="1"/>
  <c r="A14" i="1"/>
  <c r="H13" i="1"/>
  <c r="F13" i="1"/>
  <c r="F13" i="2" s="1"/>
  <c r="F13" i="3" s="1"/>
  <c r="C13" i="1"/>
  <c r="B13" i="1"/>
  <c r="A13" i="1"/>
  <c r="H12" i="1"/>
  <c r="F12" i="1"/>
  <c r="F12" i="2" s="1"/>
  <c r="C12" i="1"/>
  <c r="B12" i="1"/>
  <c r="A12" i="1"/>
  <c r="H11" i="1"/>
  <c r="F11" i="1"/>
  <c r="F11" i="2" s="1"/>
  <c r="F11" i="3" s="1"/>
  <c r="C11" i="1"/>
  <c r="B11" i="1"/>
  <c r="A11" i="1"/>
  <c r="H10" i="1"/>
  <c r="F10" i="1"/>
  <c r="F10" i="2" s="1"/>
  <c r="C10" i="1"/>
  <c r="B10" i="1"/>
  <c r="A10" i="1"/>
  <c r="H9" i="1"/>
  <c r="F9" i="1"/>
  <c r="C9" i="1"/>
  <c r="B9" i="1"/>
  <c r="A9" i="1"/>
  <c r="H8" i="1"/>
  <c r="F8" i="1"/>
  <c r="C8" i="1"/>
  <c r="B8" i="1"/>
  <c r="A8" i="1"/>
  <c r="H7" i="1"/>
  <c r="F7" i="1"/>
  <c r="F7" i="2" s="1"/>
  <c r="F7" i="3" s="1"/>
  <c r="C7" i="1"/>
  <c r="B7" i="1"/>
  <c r="A7" i="1"/>
  <c r="H6" i="1"/>
  <c r="F6" i="1"/>
  <c r="C6" i="1"/>
  <c r="B6" i="1"/>
  <c r="A6" i="1"/>
  <c r="H5" i="1"/>
  <c r="F5" i="1"/>
  <c r="F5" i="2" s="1"/>
  <c r="C5" i="1"/>
  <c r="B5" i="1"/>
  <c r="A5" i="1"/>
  <c r="H4" i="1"/>
  <c r="F4" i="1"/>
  <c r="C4" i="1"/>
  <c r="B4" i="1"/>
  <c r="A4" i="1"/>
  <c r="H3" i="1"/>
  <c r="F3" i="1"/>
  <c r="C3" i="1"/>
  <c r="B3" i="1"/>
  <c r="A3" i="1"/>
  <c r="A1" i="1"/>
  <c r="A26" i="44"/>
  <c r="C25" i="44"/>
  <c r="A25" i="44"/>
  <c r="C24" i="44"/>
  <c r="B24" i="44"/>
  <c r="A24" i="44"/>
  <c r="C23" i="44"/>
  <c r="B23" i="44"/>
  <c r="A23" i="44"/>
  <c r="C22" i="44"/>
  <c r="B22" i="44"/>
  <c r="A22" i="44"/>
  <c r="C21" i="44"/>
  <c r="B21" i="44"/>
  <c r="A21" i="44"/>
  <c r="C20" i="44"/>
  <c r="B20" i="44"/>
  <c r="A20" i="44"/>
  <c r="C19" i="44"/>
  <c r="B19" i="44"/>
  <c r="A19" i="44"/>
  <c r="C18" i="44"/>
  <c r="B18" i="44"/>
  <c r="A18" i="44"/>
  <c r="C17" i="44"/>
  <c r="B17" i="44"/>
  <c r="A17" i="44"/>
  <c r="C16" i="44"/>
  <c r="B16" i="44"/>
  <c r="A16" i="44"/>
  <c r="C15" i="44"/>
  <c r="B15" i="44"/>
  <c r="A15" i="44"/>
  <c r="C14" i="44"/>
  <c r="B14" i="44"/>
  <c r="A14" i="44"/>
  <c r="C13" i="44"/>
  <c r="B13" i="44"/>
  <c r="A13" i="44"/>
  <c r="C12" i="44"/>
  <c r="B12" i="44"/>
  <c r="A12" i="44"/>
  <c r="C11" i="44"/>
  <c r="B11" i="44"/>
  <c r="A11" i="44"/>
  <c r="C10" i="44"/>
  <c r="B10" i="44"/>
  <c r="A10" i="44"/>
  <c r="C9" i="44"/>
  <c r="B9" i="44"/>
  <c r="A9" i="44"/>
  <c r="C8" i="44"/>
  <c r="B8" i="44"/>
  <c r="A8" i="44"/>
  <c r="C7" i="44"/>
  <c r="B7" i="44"/>
  <c r="A7" i="44"/>
  <c r="C6" i="44"/>
  <c r="B6" i="44"/>
  <c r="A6" i="44"/>
  <c r="C5" i="44"/>
  <c r="B5" i="44"/>
  <c r="A5" i="44"/>
  <c r="C4" i="44"/>
  <c r="B4" i="44"/>
  <c r="A4" i="44"/>
  <c r="C3" i="44"/>
  <c r="B3" i="44"/>
  <c r="A3" i="44"/>
  <c r="H30" i="9"/>
  <c r="H29" i="9"/>
  <c r="H28" i="9"/>
  <c r="H27" i="9"/>
  <c r="H26" i="9"/>
  <c r="A26" i="9"/>
  <c r="H25" i="9"/>
  <c r="C25" i="9"/>
  <c r="B25" i="9"/>
  <c r="A25" i="9"/>
  <c r="H24" i="9"/>
  <c r="C24" i="9"/>
  <c r="B24" i="9"/>
  <c r="A24" i="9"/>
  <c r="H23" i="9"/>
  <c r="C23" i="9"/>
  <c r="B23" i="9"/>
  <c r="A23" i="9"/>
  <c r="H22" i="9"/>
  <c r="C22" i="9"/>
  <c r="B22" i="9"/>
  <c r="A22" i="9"/>
  <c r="H21" i="9"/>
  <c r="C21" i="9"/>
  <c r="B21" i="9"/>
  <c r="A21" i="9"/>
  <c r="H20" i="9"/>
  <c r="C20" i="9"/>
  <c r="B20" i="9"/>
  <c r="A20" i="9"/>
  <c r="H19" i="9"/>
  <c r="C19" i="9"/>
  <c r="B19" i="9"/>
  <c r="A19" i="9"/>
  <c r="H18" i="9"/>
  <c r="C18" i="9"/>
  <c r="B18" i="9"/>
  <c r="A18" i="9"/>
  <c r="H17" i="9"/>
  <c r="C17" i="9"/>
  <c r="B17" i="9"/>
  <c r="A17" i="9"/>
  <c r="H16" i="9"/>
  <c r="C16" i="9"/>
  <c r="B16" i="9"/>
  <c r="A16" i="9"/>
  <c r="H15" i="9"/>
  <c r="C15" i="9"/>
  <c r="B15" i="9"/>
  <c r="A15" i="9"/>
  <c r="H14" i="9"/>
  <c r="C14" i="9"/>
  <c r="B14" i="9"/>
  <c r="A14" i="9"/>
  <c r="H13" i="9"/>
  <c r="C13" i="9"/>
  <c r="B13" i="9"/>
  <c r="A13" i="9"/>
  <c r="H12" i="9"/>
  <c r="C12" i="9"/>
  <c r="B12" i="9"/>
  <c r="A12" i="9"/>
  <c r="H11" i="9"/>
  <c r="C11" i="9"/>
  <c r="B11" i="9"/>
  <c r="A11" i="9"/>
  <c r="H10" i="9"/>
  <c r="C10" i="9"/>
  <c r="B10" i="9"/>
  <c r="A10" i="9"/>
  <c r="H9" i="9"/>
  <c r="C9" i="9"/>
  <c r="B9" i="9"/>
  <c r="H8" i="9"/>
  <c r="C8" i="9"/>
  <c r="B8" i="9"/>
  <c r="A8" i="9"/>
  <c r="H7" i="9"/>
  <c r="C7" i="9"/>
  <c r="B7" i="9"/>
  <c r="A7" i="9"/>
  <c r="H6" i="9"/>
  <c r="C6" i="9"/>
  <c r="B6" i="9"/>
  <c r="A6" i="9"/>
  <c r="H5" i="9"/>
  <c r="C5" i="9"/>
  <c r="B5" i="9"/>
  <c r="A5" i="9"/>
  <c r="H4" i="9"/>
  <c r="C4" i="9"/>
  <c r="B4" i="9"/>
  <c r="A4" i="9"/>
  <c r="H3" i="9"/>
  <c r="C3" i="9"/>
  <c r="B3" i="9"/>
  <c r="A3" i="9"/>
  <c r="H30" i="10"/>
  <c r="H29" i="10"/>
  <c r="H28" i="10"/>
  <c r="H27" i="10"/>
  <c r="H26" i="10"/>
  <c r="H25" i="10"/>
  <c r="B25" i="10"/>
  <c r="A25" i="10"/>
  <c r="H24" i="10"/>
  <c r="B24" i="10"/>
  <c r="A24" i="10"/>
  <c r="H23" i="10"/>
  <c r="B23" i="10"/>
  <c r="A23" i="10"/>
  <c r="H22" i="10"/>
  <c r="B22" i="10"/>
  <c r="A22" i="10"/>
  <c r="H21" i="10"/>
  <c r="B21" i="10"/>
  <c r="A21" i="10"/>
  <c r="H20" i="10"/>
  <c r="C20" i="10"/>
  <c r="B20" i="10"/>
  <c r="A20" i="10"/>
  <c r="H19" i="10"/>
  <c r="C19" i="10"/>
  <c r="B19" i="10"/>
  <c r="A19" i="10"/>
  <c r="H18" i="10"/>
  <c r="C18" i="10"/>
  <c r="B18" i="10"/>
  <c r="A18" i="10"/>
  <c r="H17" i="10"/>
  <c r="C17" i="10"/>
  <c r="A17" i="10"/>
  <c r="H16" i="10"/>
  <c r="C16" i="10"/>
  <c r="B16" i="10"/>
  <c r="A16" i="10"/>
  <c r="H15" i="10"/>
  <c r="C15" i="10"/>
  <c r="B15" i="10"/>
  <c r="A15" i="10"/>
  <c r="H14" i="10"/>
  <c r="C14" i="10"/>
  <c r="B14" i="10"/>
  <c r="A14" i="10"/>
  <c r="H13" i="10"/>
  <c r="C13" i="10"/>
  <c r="B13" i="10"/>
  <c r="A13" i="10"/>
  <c r="H12" i="10"/>
  <c r="C12" i="10"/>
  <c r="B12" i="10"/>
  <c r="A12" i="10"/>
  <c r="H11" i="10"/>
  <c r="C11" i="10"/>
  <c r="A11" i="10"/>
  <c r="H10" i="10"/>
  <c r="C10" i="10"/>
  <c r="B10" i="10"/>
  <c r="A10" i="10"/>
  <c r="H9" i="10"/>
  <c r="C9" i="10"/>
  <c r="B9" i="10"/>
  <c r="A9" i="10"/>
  <c r="H8" i="10"/>
  <c r="B8" i="10"/>
  <c r="A8" i="10"/>
  <c r="H7" i="10"/>
  <c r="C7" i="10"/>
  <c r="B7" i="10"/>
  <c r="A7" i="10"/>
  <c r="H6" i="10"/>
  <c r="C6" i="10"/>
  <c r="B6" i="10"/>
  <c r="A6" i="10"/>
  <c r="H5" i="10"/>
  <c r="C5" i="10"/>
  <c r="B5" i="10"/>
  <c r="A5" i="10"/>
  <c r="H4" i="10"/>
  <c r="C4" i="10"/>
  <c r="B4" i="10"/>
  <c r="A4" i="10"/>
  <c r="H3" i="10"/>
  <c r="C3" i="10"/>
  <c r="B3" i="10"/>
  <c r="A3" i="10"/>
  <c r="H30" i="11"/>
  <c r="H29" i="11"/>
  <c r="H28" i="11"/>
  <c r="H27" i="11"/>
  <c r="H26" i="11"/>
  <c r="H25" i="11"/>
  <c r="C25" i="11"/>
  <c r="A25" i="11"/>
  <c r="H24" i="11"/>
  <c r="C24" i="11"/>
  <c r="B24" i="11"/>
  <c r="A24" i="11"/>
  <c r="H23" i="11"/>
  <c r="C23" i="11"/>
  <c r="B23" i="11"/>
  <c r="A23" i="11"/>
  <c r="H22" i="11"/>
  <c r="C22" i="11"/>
  <c r="B22" i="11"/>
  <c r="A22" i="11"/>
  <c r="H21" i="11"/>
  <c r="C21" i="11"/>
  <c r="B21" i="11"/>
  <c r="A21" i="11"/>
  <c r="H20" i="11"/>
  <c r="C20" i="11"/>
  <c r="B20" i="11"/>
  <c r="A20" i="11"/>
  <c r="H19" i="11"/>
  <c r="C19" i="11"/>
  <c r="B19" i="11"/>
  <c r="A19" i="11"/>
  <c r="H18" i="11"/>
  <c r="C18" i="11"/>
  <c r="B18" i="11"/>
  <c r="A18" i="11"/>
  <c r="H17" i="11"/>
  <c r="C17" i="11"/>
  <c r="B17" i="11"/>
  <c r="A17" i="11"/>
  <c r="H16" i="11"/>
  <c r="C16" i="11"/>
  <c r="B16" i="11"/>
  <c r="A16" i="11"/>
  <c r="H15" i="11"/>
  <c r="C15" i="11"/>
  <c r="B15" i="11"/>
  <c r="A15" i="11"/>
  <c r="H14" i="11"/>
  <c r="C14" i="11"/>
  <c r="B14" i="11"/>
  <c r="A14" i="11"/>
  <c r="H13" i="11"/>
  <c r="C13" i="11"/>
  <c r="B13" i="11"/>
  <c r="A13" i="11"/>
  <c r="H12" i="11"/>
  <c r="C12" i="11"/>
  <c r="B12" i="11"/>
  <c r="A12" i="11"/>
  <c r="H11" i="11"/>
  <c r="C11" i="11"/>
  <c r="B11" i="11"/>
  <c r="A11" i="11"/>
  <c r="H10" i="11"/>
  <c r="C10" i="11"/>
  <c r="B10" i="11"/>
  <c r="A10" i="11"/>
  <c r="H9" i="11"/>
  <c r="C9" i="11"/>
  <c r="B9" i="11"/>
  <c r="A9" i="11"/>
  <c r="H8" i="11"/>
  <c r="C8" i="11"/>
  <c r="B8" i="11"/>
  <c r="A8" i="11"/>
  <c r="H7" i="11"/>
  <c r="C7" i="11"/>
  <c r="B7" i="11"/>
  <c r="A7" i="11"/>
  <c r="H6" i="11"/>
  <c r="C6" i="11"/>
  <c r="B6" i="11"/>
  <c r="A6" i="11"/>
  <c r="H5" i="11"/>
  <c r="C5" i="11"/>
  <c r="B5" i="11"/>
  <c r="A5" i="11"/>
  <c r="H4" i="11"/>
  <c r="C4" i="11"/>
  <c r="B4" i="11"/>
  <c r="A4" i="11"/>
  <c r="H3" i="11"/>
  <c r="C3" i="11"/>
  <c r="B3" i="11"/>
  <c r="A3" i="11"/>
  <c r="H28" i="13"/>
  <c r="H27" i="13"/>
  <c r="H26" i="13"/>
  <c r="H25" i="13"/>
  <c r="H24" i="13"/>
  <c r="H23" i="13"/>
  <c r="H22" i="13"/>
  <c r="H21" i="13"/>
  <c r="H20" i="13"/>
  <c r="H19" i="13"/>
  <c r="H18" i="13"/>
  <c r="H17" i="13"/>
  <c r="H16" i="13"/>
  <c r="H15" i="13"/>
  <c r="H14" i="13"/>
  <c r="H13" i="13"/>
  <c r="H12" i="13"/>
  <c r="H11" i="13"/>
  <c r="H10" i="13"/>
  <c r="H9" i="13"/>
  <c r="H8" i="13"/>
  <c r="H7" i="13"/>
  <c r="H6" i="13"/>
  <c r="H5" i="13"/>
  <c r="H4" i="13"/>
  <c r="H3" i="13"/>
  <c r="F10" i="10"/>
  <c r="C3" i="15"/>
  <c r="H33" i="22"/>
  <c r="H32" i="21"/>
  <c r="C7" i="15"/>
  <c r="B12" i="15"/>
  <c r="H33" i="21"/>
  <c r="H5" i="15"/>
  <c r="H33" i="6"/>
  <c r="F4" i="10"/>
  <c r="F4" i="9" s="1"/>
  <c r="F4" i="44" s="1"/>
  <c r="F20" i="10"/>
  <c r="F21" i="10"/>
  <c r="F21" i="9" s="1"/>
  <c r="F25" i="10"/>
  <c r="F5" i="10"/>
  <c r="F5" i="9" s="1"/>
  <c r="F5" i="44" s="1"/>
  <c r="F17" i="10"/>
  <c r="F17" i="9" s="1"/>
  <c r="F17" i="44" s="1"/>
  <c r="F9" i="10"/>
  <c r="F9" i="9" s="1"/>
  <c r="F9" i="44" s="1"/>
  <c r="G16" i="10"/>
  <c r="G16" i="9" s="1"/>
  <c r="G16" i="44" s="1"/>
  <c r="G28" i="10"/>
  <c r="G5" i="10"/>
  <c r="G5" i="9" s="1"/>
  <c r="F19" i="10"/>
  <c r="F19" i="9" s="1"/>
  <c r="F23" i="10"/>
  <c r="F23" i="9" s="1"/>
  <c r="G29" i="10"/>
  <c r="G29" i="9" s="1"/>
  <c r="G29" i="44" s="1"/>
  <c r="F22" i="10"/>
  <c r="F22" i="9" s="1"/>
  <c r="F22" i="44" s="1"/>
  <c r="G30" i="10"/>
  <c r="G30" i="9" s="1"/>
  <c r="G19" i="10"/>
  <c r="G26" i="10"/>
  <c r="G26" i="9" s="1"/>
  <c r="G26" i="44" s="1"/>
  <c r="G18" i="10"/>
  <c r="G18" i="9" s="1"/>
  <c r="G18" i="44" s="1"/>
  <c r="G15" i="10"/>
  <c r="G15" i="9" s="1"/>
  <c r="G15" i="44" s="1"/>
  <c r="G11" i="10"/>
  <c r="G11" i="9" s="1"/>
  <c r="G12" i="10"/>
  <c r="G12" i="9" s="1"/>
  <c r="G4" i="10"/>
  <c r="G4" i="9" s="1"/>
  <c r="G6" i="10"/>
  <c r="G6" i="9" s="1"/>
  <c r="G21" i="10"/>
  <c r="G21" i="9" s="1"/>
  <c r="G21" i="44" s="1"/>
  <c r="G25" i="10"/>
  <c r="G25" i="9" s="1"/>
  <c r="G25" i="44" s="1"/>
  <c r="F11" i="10"/>
  <c r="G24" i="10"/>
  <c r="G24" i="9" s="1"/>
  <c r="G24" i="44" s="1"/>
  <c r="F3" i="10"/>
  <c r="F28" i="10"/>
  <c r="F28" i="9" s="1"/>
  <c r="F28" i="44" s="1"/>
  <c r="G7" i="10"/>
  <c r="G7" i="9" s="1"/>
  <c r="G8" i="10"/>
  <c r="F16" i="10"/>
  <c r="F29" i="10"/>
  <c r="F29" i="9" s="1"/>
  <c r="G13" i="10"/>
  <c r="G13" i="9" s="1"/>
  <c r="G13" i="44" s="1"/>
  <c r="F12" i="10"/>
  <c r="F6" i="10"/>
  <c r="F6" i="9" s="1"/>
  <c r="F6" i="44" s="1"/>
  <c r="I31" i="1"/>
  <c r="F10" i="15"/>
  <c r="H35" i="36"/>
  <c r="H36" i="36"/>
  <c r="E10" i="15"/>
  <c r="H38" i="2"/>
  <c r="H35" i="2"/>
  <c r="H23" i="2"/>
  <c r="H28" i="2"/>
  <c r="H11" i="2"/>
  <c r="H31" i="2"/>
  <c r="H37" i="2"/>
  <c r="H21" i="2"/>
  <c r="H22" i="2"/>
  <c r="H30" i="2"/>
  <c r="H27" i="2"/>
  <c r="H34" i="2"/>
  <c r="H19" i="2"/>
  <c r="H16" i="2"/>
  <c r="H29" i="2"/>
  <c r="H12" i="2"/>
  <c r="H36" i="2"/>
  <c r="H17" i="2"/>
  <c r="H8" i="2"/>
  <c r="H24" i="2"/>
  <c r="H10" i="2"/>
  <c r="H20" i="2"/>
  <c r="H15" i="2"/>
  <c r="H4" i="2"/>
  <c r="H18" i="2"/>
  <c r="H32" i="2"/>
  <c r="H3" i="2"/>
  <c r="H9" i="2"/>
  <c r="H14" i="2"/>
  <c r="H26" i="2"/>
  <c r="H33" i="2"/>
  <c r="H7" i="2"/>
  <c r="H6" i="2"/>
  <c r="H25" i="2"/>
  <c r="H5" i="2"/>
  <c r="H13" i="2"/>
  <c r="F19" i="2"/>
  <c r="F3" i="2"/>
  <c r="F3" i="15"/>
  <c r="E3" i="15"/>
  <c r="H44" i="29"/>
  <c r="B14" i="15"/>
  <c r="C14" i="15"/>
  <c r="H9" i="15" l="1"/>
  <c r="I9" i="15"/>
  <c r="H49" i="44"/>
  <c r="H49" i="9"/>
  <c r="I32" i="9"/>
  <c r="I10" i="2"/>
  <c r="I46" i="1"/>
  <c r="I25" i="1"/>
  <c r="I16" i="1"/>
  <c r="H49" i="10"/>
  <c r="F25" i="2"/>
  <c r="F25" i="3" s="1"/>
  <c r="F25" i="4" s="1"/>
  <c r="F25" i="5" s="1"/>
  <c r="I19" i="1"/>
  <c r="I20" i="1"/>
  <c r="I43" i="1"/>
  <c r="I44" i="1"/>
  <c r="I27" i="1"/>
  <c r="I33" i="1"/>
  <c r="F3" i="9"/>
  <c r="I18" i="2"/>
  <c r="H49" i="2"/>
  <c r="G3" i="3"/>
  <c r="I35" i="1"/>
  <c r="I9" i="1"/>
  <c r="I13" i="1"/>
  <c r="I40" i="1"/>
  <c r="F16" i="2"/>
  <c r="F16" i="3" s="1"/>
  <c r="I16" i="3" s="1"/>
  <c r="I18" i="1"/>
  <c r="I23" i="1"/>
  <c r="I13" i="3"/>
  <c r="I45" i="1"/>
  <c r="I5" i="2"/>
  <c r="F5" i="3"/>
  <c r="I5" i="3" s="1"/>
  <c r="F44" i="2"/>
  <c r="F44" i="3" s="1"/>
  <c r="F29" i="2"/>
  <c r="F29" i="3" s="1"/>
  <c r="I5" i="1"/>
  <c r="G48" i="14"/>
  <c r="I48" i="8"/>
  <c r="F20" i="2"/>
  <c r="F20" i="3" s="1"/>
  <c r="F20" i="4" s="1"/>
  <c r="I20" i="4" s="1"/>
  <c r="I32" i="2"/>
  <c r="I10" i="1"/>
  <c r="I7" i="1"/>
  <c r="I4" i="1"/>
  <c r="F47" i="8"/>
  <c r="I47" i="7"/>
  <c r="F48" i="24"/>
  <c r="F48" i="25" s="1"/>
  <c r="F9" i="2"/>
  <c r="F9" i="3" s="1"/>
  <c r="G47" i="36"/>
  <c r="I32" i="1"/>
  <c r="I32" i="44"/>
  <c r="I12" i="10"/>
  <c r="I36" i="2"/>
  <c r="F36" i="3"/>
  <c r="F36" i="4" s="1"/>
  <c r="F15" i="2"/>
  <c r="F15" i="3" s="1"/>
  <c r="F15" i="4" s="1"/>
  <c r="I41" i="1"/>
  <c r="F22" i="2"/>
  <c r="F22" i="3" s="1"/>
  <c r="I17" i="1"/>
  <c r="I42" i="1"/>
  <c r="I7" i="3"/>
  <c r="I17" i="2"/>
  <c r="I30" i="1"/>
  <c r="I37" i="1"/>
  <c r="F45" i="2"/>
  <c r="I45" i="2" s="1"/>
  <c r="I34" i="2"/>
  <c r="I41" i="2"/>
  <c r="F18" i="3"/>
  <c r="I18" i="3" s="1"/>
  <c r="I33" i="2"/>
  <c r="I30" i="3"/>
  <c r="I23" i="11"/>
  <c r="I27" i="11"/>
  <c r="I19" i="10"/>
  <c r="I42" i="11"/>
  <c r="I33" i="11"/>
  <c r="G42" i="10"/>
  <c r="G42" i="9" s="1"/>
  <c r="G42" i="44" s="1"/>
  <c r="G23" i="10"/>
  <c r="G23" i="9" s="1"/>
  <c r="G23" i="44" s="1"/>
  <c r="I29" i="11"/>
  <c r="I4" i="11"/>
  <c r="I19" i="11"/>
  <c r="I28" i="11"/>
  <c r="I6" i="11"/>
  <c r="I39" i="11"/>
  <c r="I44" i="11"/>
  <c r="I21" i="11"/>
  <c r="I26" i="11"/>
  <c r="F44" i="10"/>
  <c r="F44" i="9" s="1"/>
  <c r="I32" i="11"/>
  <c r="I17" i="11"/>
  <c r="I15" i="11"/>
  <c r="I37" i="11"/>
  <c r="I43" i="11"/>
  <c r="I3" i="11"/>
  <c r="G19" i="9"/>
  <c r="G19" i="44" s="1"/>
  <c r="G27" i="10"/>
  <c r="G27" i="9" s="1"/>
  <c r="G27" i="44" s="1"/>
  <c r="I27" i="44" s="1"/>
  <c r="I16" i="10"/>
  <c r="F16" i="9"/>
  <c r="F16" i="44" s="1"/>
  <c r="I16" i="44" s="1"/>
  <c r="I11" i="10"/>
  <c r="I24" i="11"/>
  <c r="F12" i="9"/>
  <c r="F12" i="44" s="1"/>
  <c r="I11" i="11"/>
  <c r="I13" i="11"/>
  <c r="I12" i="11"/>
  <c r="I8" i="11"/>
  <c r="I22" i="11"/>
  <c r="G17" i="10"/>
  <c r="G17" i="9" s="1"/>
  <c r="G17" i="44" s="1"/>
  <c r="I17" i="44" s="1"/>
  <c r="I8" i="10"/>
  <c r="I25" i="11"/>
  <c r="I24" i="10"/>
  <c r="I5" i="10"/>
  <c r="I16" i="11"/>
  <c r="H10" i="15"/>
  <c r="I29" i="10"/>
  <c r="I26" i="10"/>
  <c r="I33" i="44"/>
  <c r="F35" i="5"/>
  <c r="F35" i="6" s="1"/>
  <c r="I35" i="6" s="1"/>
  <c r="I35" i="4"/>
  <c r="F41" i="5"/>
  <c r="F41" i="6" s="1"/>
  <c r="F7" i="4"/>
  <c r="I3" i="2"/>
  <c r="G41" i="3"/>
  <c r="F32" i="3"/>
  <c r="I40" i="2"/>
  <c r="I27" i="3"/>
  <c r="I43" i="2"/>
  <c r="I46" i="2"/>
  <c r="F13" i="4"/>
  <c r="F13" i="5" s="1"/>
  <c r="I35" i="2"/>
  <c r="I35" i="3"/>
  <c r="I7" i="2"/>
  <c r="F31" i="4"/>
  <c r="I31" i="4" s="1"/>
  <c r="I31" i="3"/>
  <c r="I42" i="2"/>
  <c r="F38" i="3"/>
  <c r="I38" i="3" s="1"/>
  <c r="I38" i="2"/>
  <c r="I12" i="2"/>
  <c r="F12" i="3"/>
  <c r="F12" i="4" s="1"/>
  <c r="I31" i="2"/>
  <c r="F4" i="2"/>
  <c r="I4" i="2" s="1"/>
  <c r="I12" i="1"/>
  <c r="I36" i="1"/>
  <c r="I11" i="1"/>
  <c r="F42" i="3"/>
  <c r="F42" i="4" s="1"/>
  <c r="F42" i="5" s="1"/>
  <c r="F42" i="6" s="1"/>
  <c r="F42" i="7" s="1"/>
  <c r="F42" i="8" s="1"/>
  <c r="F42" i="14" s="1"/>
  <c r="F42" i="17" s="1"/>
  <c r="F42" i="21" s="1"/>
  <c r="F42" i="22" s="1"/>
  <c r="F42" i="23" s="1"/>
  <c r="F42" i="24" s="1"/>
  <c r="F42" i="25" s="1"/>
  <c r="F42" i="26" s="1"/>
  <c r="F42" i="28" s="1"/>
  <c r="F42" i="29" s="1"/>
  <c r="F42" i="30" s="1"/>
  <c r="F42" i="31" s="1"/>
  <c r="F42" i="32" s="1"/>
  <c r="F42" i="33" s="1"/>
  <c r="F42" i="34" s="1"/>
  <c r="F42" i="35" s="1"/>
  <c r="F42" i="36" s="1"/>
  <c r="F33" i="3"/>
  <c r="G27" i="4"/>
  <c r="G27" i="5" s="1"/>
  <c r="G27" i="6" s="1"/>
  <c r="G27" i="7" s="1"/>
  <c r="G27" i="8" s="1"/>
  <c r="G27" i="14" s="1"/>
  <c r="G27" i="17" s="1"/>
  <c r="G27" i="21" s="1"/>
  <c r="G27" i="22" s="1"/>
  <c r="G27" i="23" s="1"/>
  <c r="G27" i="24" s="1"/>
  <c r="G27" i="25" s="1"/>
  <c r="G27" i="26" s="1"/>
  <c r="G27" i="28" s="1"/>
  <c r="G27" i="29" s="1"/>
  <c r="G27" i="30" s="1"/>
  <c r="G27" i="31" s="1"/>
  <c r="G27" i="32" s="1"/>
  <c r="G27" i="33" s="1"/>
  <c r="G27" i="34" s="1"/>
  <c r="G27" i="35" s="1"/>
  <c r="G27" i="36" s="1"/>
  <c r="G27" i="37" s="1"/>
  <c r="G27" i="38" s="1"/>
  <c r="G27" i="39" s="1"/>
  <c r="G27" i="40" s="1"/>
  <c r="G27" i="41" s="1"/>
  <c r="K27" i="13" s="1"/>
  <c r="I21" i="1"/>
  <c r="I23" i="3"/>
  <c r="F17" i="3"/>
  <c r="I17" i="3" s="1"/>
  <c r="G43" i="3"/>
  <c r="G43" i="4" s="1"/>
  <c r="G43" i="5" s="1"/>
  <c r="G43" i="6" s="1"/>
  <c r="G43" i="7" s="1"/>
  <c r="G43" i="8" s="1"/>
  <c r="G43" i="14" s="1"/>
  <c r="G43" i="17" s="1"/>
  <c r="G43" i="21" s="1"/>
  <c r="G43" i="22" s="1"/>
  <c r="G43" i="23" s="1"/>
  <c r="G43" i="24" s="1"/>
  <c r="G43" i="25" s="1"/>
  <c r="G43" i="26" s="1"/>
  <c r="G43" i="28" s="1"/>
  <c r="G43" i="29" s="1"/>
  <c r="G43" i="30" s="1"/>
  <c r="G43" i="31" s="1"/>
  <c r="G43" i="32" s="1"/>
  <c r="G43" i="33" s="1"/>
  <c r="G43" i="34" s="1"/>
  <c r="G43" i="35" s="1"/>
  <c r="G43" i="36" s="1"/>
  <c r="G43" i="37" s="1"/>
  <c r="G43" i="38" s="1"/>
  <c r="G43" i="39" s="1"/>
  <c r="G43" i="40" s="1"/>
  <c r="G43" i="41" s="1"/>
  <c r="K43" i="13" s="1"/>
  <c r="F30" i="4"/>
  <c r="I30" i="4" s="1"/>
  <c r="I38" i="1"/>
  <c r="F10" i="3"/>
  <c r="I10" i="3" s="1"/>
  <c r="I23" i="2"/>
  <c r="I34" i="1"/>
  <c r="F34" i="3"/>
  <c r="I40" i="3"/>
  <c r="G17" i="35"/>
  <c r="G17" i="36" s="1"/>
  <c r="G17" i="37" s="1"/>
  <c r="G17" i="38" s="1"/>
  <c r="G17" i="39" s="1"/>
  <c r="G17" i="40" s="1"/>
  <c r="G17" i="41" s="1"/>
  <c r="K17" i="13" s="1"/>
  <c r="G41" i="10"/>
  <c r="G41" i="9" s="1"/>
  <c r="I41" i="11"/>
  <c r="F26" i="4"/>
  <c r="I23" i="4"/>
  <c r="F23" i="5"/>
  <c r="I20" i="11"/>
  <c r="G20" i="10"/>
  <c r="G20" i="9" s="1"/>
  <c r="G20" i="44" s="1"/>
  <c r="I11" i="2"/>
  <c r="I11" i="3"/>
  <c r="F11" i="4"/>
  <c r="F30" i="10"/>
  <c r="I30" i="11"/>
  <c r="I7" i="11"/>
  <c r="F7" i="10"/>
  <c r="F6" i="2"/>
  <c r="I6" i="1"/>
  <c r="G5" i="44"/>
  <c r="I5" i="44" s="1"/>
  <c r="I5" i="9"/>
  <c r="F37" i="3"/>
  <c r="I37" i="2"/>
  <c r="I21" i="2"/>
  <c r="F21" i="3"/>
  <c r="I30" i="2"/>
  <c r="F27" i="5"/>
  <c r="H46" i="11"/>
  <c r="I3" i="1"/>
  <c r="I28" i="1"/>
  <c r="F28" i="2"/>
  <c r="F8" i="2"/>
  <c r="I8" i="1"/>
  <c r="I24" i="1"/>
  <c r="F24" i="2"/>
  <c r="I14" i="1"/>
  <c r="F14" i="2"/>
  <c r="F3" i="3"/>
  <c r="I27" i="2"/>
  <c r="I9" i="11"/>
  <c r="G9" i="10"/>
  <c r="F15" i="10"/>
  <c r="F13" i="10"/>
  <c r="G12" i="44"/>
  <c r="I13" i="2"/>
  <c r="G10" i="10"/>
  <c r="G10" i="9" s="1"/>
  <c r="G10" i="44" s="1"/>
  <c r="I10" i="11"/>
  <c r="F11" i="9"/>
  <c r="F11" i="44" s="1"/>
  <c r="F19" i="3"/>
  <c r="G5" i="5"/>
  <c r="F14" i="10"/>
  <c r="G19" i="2"/>
  <c r="G19" i="3" s="1"/>
  <c r="G19" i="4" s="1"/>
  <c r="G19" i="5" s="1"/>
  <c r="G19" i="6" s="1"/>
  <c r="G19" i="7" s="1"/>
  <c r="G19" i="8" s="1"/>
  <c r="G19" i="14" s="1"/>
  <c r="G19" i="17" s="1"/>
  <c r="G19" i="21" s="1"/>
  <c r="G19" i="22" s="1"/>
  <c r="G19" i="23" s="1"/>
  <c r="G19" i="24" s="1"/>
  <c r="G19" i="25" s="1"/>
  <c r="G19" i="26" s="1"/>
  <c r="G19" i="28" s="1"/>
  <c r="G19" i="29" s="1"/>
  <c r="G19" i="30" s="1"/>
  <c r="G19" i="31" s="1"/>
  <c r="G19" i="32" s="1"/>
  <c r="G19" i="33" s="1"/>
  <c r="G19" i="34" s="1"/>
  <c r="G19" i="35" s="1"/>
  <c r="G19" i="36" s="1"/>
  <c r="G19" i="37" s="1"/>
  <c r="G19" i="38" s="1"/>
  <c r="G19" i="39" s="1"/>
  <c r="G19" i="40" s="1"/>
  <c r="G19" i="41" s="1"/>
  <c r="K19" i="13" s="1"/>
  <c r="F39" i="30"/>
  <c r="F25" i="9"/>
  <c r="F25" i="44" s="1"/>
  <c r="I25" i="44" s="1"/>
  <c r="I25" i="10"/>
  <c r="G26" i="2"/>
  <c r="I26" i="1"/>
  <c r="G28" i="9"/>
  <c r="G28" i="44" s="1"/>
  <c r="I28" i="44" s="1"/>
  <c r="I28" i="10"/>
  <c r="F18" i="10"/>
  <c r="I18" i="11"/>
  <c r="G3" i="10"/>
  <c r="I5" i="11"/>
  <c r="F20" i="9"/>
  <c r="F20" i="44" s="1"/>
  <c r="F10" i="9"/>
  <c r="F10" i="44" s="1"/>
  <c r="G12" i="3"/>
  <c r="G12" i="4" s="1"/>
  <c r="G12" i="5" s="1"/>
  <c r="G12" i="6" s="1"/>
  <c r="G12" i="7" s="1"/>
  <c r="G12" i="8" s="1"/>
  <c r="G12" i="14" s="1"/>
  <c r="G12" i="17" s="1"/>
  <c r="G12" i="21" s="1"/>
  <c r="G12" i="22" s="1"/>
  <c r="G12" i="23" s="1"/>
  <c r="G12" i="24" s="1"/>
  <c r="G12" i="25" s="1"/>
  <c r="G12" i="26" s="1"/>
  <c r="G12" i="28" s="1"/>
  <c r="G12" i="29" s="1"/>
  <c r="G12" i="30" s="1"/>
  <c r="G12" i="31" s="1"/>
  <c r="G12" i="32" s="1"/>
  <c r="G12" i="33" s="1"/>
  <c r="G12" i="34" s="1"/>
  <c r="G12" i="35" s="1"/>
  <c r="G12" i="36" s="1"/>
  <c r="G12" i="37" s="1"/>
  <c r="G12" i="38" s="1"/>
  <c r="G12" i="39" s="1"/>
  <c r="G12" i="40" s="1"/>
  <c r="G12" i="41" s="1"/>
  <c r="K12" i="13" s="1"/>
  <c r="G14" i="10"/>
  <c r="G14" i="9" s="1"/>
  <c r="I34" i="11"/>
  <c r="G34" i="10"/>
  <c r="F36" i="10"/>
  <c r="F36" i="9" s="1"/>
  <c r="F36" i="44" s="1"/>
  <c r="I36" i="11"/>
  <c r="G39" i="9"/>
  <c r="I39" i="9" s="1"/>
  <c r="I39" i="10"/>
  <c r="G42" i="4"/>
  <c r="I46" i="3"/>
  <c r="F46" i="4"/>
  <c r="I38" i="11"/>
  <c r="F38" i="10"/>
  <c r="F38" i="9" s="1"/>
  <c r="F38" i="44" s="1"/>
  <c r="I10" i="15"/>
  <c r="F42" i="9"/>
  <c r="F42" i="44" s="1"/>
  <c r="F40" i="5"/>
  <c r="I40" i="4"/>
  <c r="G37" i="9"/>
  <c r="G37" i="44" s="1"/>
  <c r="I37" i="10"/>
  <c r="I39" i="1"/>
  <c r="G39" i="2"/>
  <c r="G45" i="4"/>
  <c r="G45" i="5" s="1"/>
  <c r="G45" i="6" s="1"/>
  <c r="G45" i="7" s="1"/>
  <c r="G45" i="8" s="1"/>
  <c r="G45" i="14" s="1"/>
  <c r="G45" i="17" s="1"/>
  <c r="G45" i="21" s="1"/>
  <c r="G45" i="22" s="1"/>
  <c r="G45" i="23" s="1"/>
  <c r="G45" i="24" s="1"/>
  <c r="G45" i="25" s="1"/>
  <c r="G45" i="26" s="1"/>
  <c r="G45" i="28" s="1"/>
  <c r="G45" i="29" s="1"/>
  <c r="G45" i="30" s="1"/>
  <c r="G45" i="31" s="1"/>
  <c r="G45" i="32" s="1"/>
  <c r="G45" i="33" s="1"/>
  <c r="G45" i="34" s="1"/>
  <c r="G45" i="35" s="1"/>
  <c r="G45" i="36" s="1"/>
  <c r="G45" i="37" s="1"/>
  <c r="G45" i="38" s="1"/>
  <c r="G45" i="39" s="1"/>
  <c r="G45" i="40" s="1"/>
  <c r="G45" i="41" s="1"/>
  <c r="K45" i="13" s="1"/>
  <c r="F43" i="4"/>
  <c r="I33" i="9"/>
  <c r="G11" i="44"/>
  <c r="G30" i="44"/>
  <c r="G22" i="44"/>
  <c r="I22" i="44" s="1"/>
  <c r="I22" i="9"/>
  <c r="G7" i="44"/>
  <c r="I6" i="9"/>
  <c r="G6" i="44"/>
  <c r="I6" i="44" s="1"/>
  <c r="G38" i="44"/>
  <c r="G31" i="44"/>
  <c r="I4" i="9"/>
  <c r="G4" i="44"/>
  <c r="I4" i="44" s="1"/>
  <c r="G36" i="44"/>
  <c r="I21" i="10"/>
  <c r="I22" i="10"/>
  <c r="I43" i="10"/>
  <c r="I4" i="10"/>
  <c r="I24" i="9"/>
  <c r="G8" i="9"/>
  <c r="G8" i="44" s="1"/>
  <c r="I6" i="10"/>
  <c r="I24" i="44"/>
  <c r="F8" i="44"/>
  <c r="F23" i="44"/>
  <c r="F43" i="44"/>
  <c r="I43" i="44" s="1"/>
  <c r="I43" i="9"/>
  <c r="I29" i="9"/>
  <c r="F29" i="44"/>
  <c r="I29" i="44" s="1"/>
  <c r="F26" i="44"/>
  <c r="I26" i="44" s="1"/>
  <c r="I26" i="9"/>
  <c r="F19" i="44"/>
  <c r="F21" i="44"/>
  <c r="I21" i="44" s="1"/>
  <c r="I21" i="9"/>
  <c r="F37" i="44"/>
  <c r="G29" i="36"/>
  <c r="G29" i="37" s="1"/>
  <c r="G29" i="38" s="1"/>
  <c r="G29" i="39" s="1"/>
  <c r="G29" i="40" s="1"/>
  <c r="G29" i="41" s="1"/>
  <c r="K29" i="13" s="1"/>
  <c r="G14" i="38"/>
  <c r="G14" i="39" s="1"/>
  <c r="G14" i="40" s="1"/>
  <c r="G14" i="41" s="1"/>
  <c r="K14" i="13" s="1"/>
  <c r="G9" i="36"/>
  <c r="G9" i="37" s="1"/>
  <c r="G9" i="38" s="1"/>
  <c r="G9" i="39" s="1"/>
  <c r="G9" i="40" s="1"/>
  <c r="G9" i="41" s="1"/>
  <c r="K46" i="13"/>
  <c r="G21" i="36"/>
  <c r="G21" i="37" s="1"/>
  <c r="G21" i="38" s="1"/>
  <c r="G21" i="39" s="1"/>
  <c r="G21" i="40" s="1"/>
  <c r="G21" i="41" s="1"/>
  <c r="G35" i="36"/>
  <c r="G35" i="37" s="1"/>
  <c r="G35" i="38" s="1"/>
  <c r="G35" i="39" s="1"/>
  <c r="G35" i="40" s="1"/>
  <c r="G35" i="41" s="1"/>
  <c r="G11" i="36"/>
  <c r="G11" i="37" s="1"/>
  <c r="G11" i="38" s="1"/>
  <c r="G11" i="39" s="1"/>
  <c r="G11" i="40" s="1"/>
  <c r="G11" i="41" s="1"/>
  <c r="K11" i="13" s="1"/>
  <c r="K44" i="13"/>
  <c r="K30" i="13"/>
  <c r="K24" i="13"/>
  <c r="K4" i="13"/>
  <c r="K13" i="13"/>
  <c r="K8" i="13"/>
  <c r="K37" i="13"/>
  <c r="K32" i="13"/>
  <c r="K23" i="13"/>
  <c r="K16" i="13"/>
  <c r="K15" i="13"/>
  <c r="K7" i="13"/>
  <c r="K6" i="13"/>
  <c r="G40" i="37"/>
  <c r="K36" i="13"/>
  <c r="K38" i="13"/>
  <c r="K22" i="13"/>
  <c r="K33" i="13"/>
  <c r="K28" i="13"/>
  <c r="K34" i="13"/>
  <c r="K25" i="13"/>
  <c r="K20" i="13"/>
  <c r="K18" i="13"/>
  <c r="K10" i="13"/>
  <c r="K31" i="13"/>
  <c r="I25" i="3" l="1"/>
  <c r="I9" i="2"/>
  <c r="I25" i="2"/>
  <c r="H47" i="11"/>
  <c r="H48" i="11" s="1"/>
  <c r="H49" i="11" s="1"/>
  <c r="I22" i="2"/>
  <c r="I23" i="44"/>
  <c r="I3" i="10"/>
  <c r="I23" i="9"/>
  <c r="F3" i="44"/>
  <c r="F5" i="4"/>
  <c r="F5" i="5" s="1"/>
  <c r="I44" i="2"/>
  <c r="G3" i="4"/>
  <c r="I42" i="10"/>
  <c r="I29" i="2"/>
  <c r="F16" i="4"/>
  <c r="F16" i="5" s="1"/>
  <c r="I16" i="2"/>
  <c r="I20" i="2"/>
  <c r="I16" i="9"/>
  <c r="I23" i="10"/>
  <c r="F48" i="26"/>
  <c r="I43" i="3"/>
  <c r="G48" i="17"/>
  <c r="I48" i="14"/>
  <c r="I20" i="3"/>
  <c r="F47" i="14"/>
  <c r="I47" i="8"/>
  <c r="G47" i="37"/>
  <c r="G47" i="38" s="1"/>
  <c r="G47" i="39" s="1"/>
  <c r="G47" i="40" s="1"/>
  <c r="G47" i="41" s="1"/>
  <c r="I42" i="3"/>
  <c r="I35" i="5"/>
  <c r="F45" i="3"/>
  <c r="F18" i="4"/>
  <c r="I18" i="4" s="1"/>
  <c r="I42" i="44"/>
  <c r="I17" i="9"/>
  <c r="I15" i="3"/>
  <c r="I36" i="3"/>
  <c r="F31" i="5"/>
  <c r="F31" i="6" s="1"/>
  <c r="I13" i="4"/>
  <c r="F4" i="3"/>
  <c r="F4" i="4" s="1"/>
  <c r="I15" i="2"/>
  <c r="F30" i="5"/>
  <c r="F30" i="6" s="1"/>
  <c r="F10" i="4"/>
  <c r="I10" i="4" s="1"/>
  <c r="F17" i="4"/>
  <c r="F17" i="5" s="1"/>
  <c r="I19" i="44"/>
  <c r="I19" i="9"/>
  <c r="I38" i="10"/>
  <c r="I17" i="10"/>
  <c r="I36" i="10"/>
  <c r="I20" i="44"/>
  <c r="I10" i="44"/>
  <c r="F44" i="44"/>
  <c r="I44" i="44" s="1"/>
  <c r="I44" i="9"/>
  <c r="I27" i="9"/>
  <c r="I44" i="10"/>
  <c r="I27" i="10"/>
  <c r="I28" i="9"/>
  <c r="I12" i="9"/>
  <c r="F46" i="10"/>
  <c r="F46" i="9" s="1"/>
  <c r="F46" i="44" s="1"/>
  <c r="I12" i="44"/>
  <c r="I37" i="9"/>
  <c r="I20" i="10"/>
  <c r="I37" i="44"/>
  <c r="G39" i="44"/>
  <c r="I39" i="44" s="1"/>
  <c r="I11" i="44"/>
  <c r="I25" i="9"/>
  <c r="I38" i="44"/>
  <c r="I41" i="10"/>
  <c r="I38" i="9"/>
  <c r="I11" i="9"/>
  <c r="I36" i="9"/>
  <c r="I8" i="9"/>
  <c r="I27" i="4"/>
  <c r="I25" i="4"/>
  <c r="F35" i="7"/>
  <c r="F35" i="8" s="1"/>
  <c r="F20" i="5"/>
  <c r="I20" i="5" s="1"/>
  <c r="G41" i="4"/>
  <c r="I41" i="3"/>
  <c r="F38" i="4"/>
  <c r="F38" i="5" s="1"/>
  <c r="I7" i="4"/>
  <c r="F7" i="5"/>
  <c r="I32" i="3"/>
  <c r="F32" i="4"/>
  <c r="F34" i="4"/>
  <c r="I34" i="3"/>
  <c r="I19" i="2"/>
  <c r="F33" i="4"/>
  <c r="I33" i="3"/>
  <c r="K9" i="13"/>
  <c r="I8" i="44"/>
  <c r="I12" i="4"/>
  <c r="F12" i="5"/>
  <c r="F30" i="9"/>
  <c r="I30" i="10"/>
  <c r="I10" i="9"/>
  <c r="I42" i="9"/>
  <c r="I35" i="11"/>
  <c r="F35" i="10"/>
  <c r="G34" i="9"/>
  <c r="I34" i="10"/>
  <c r="I10" i="10"/>
  <c r="I14" i="11"/>
  <c r="F15" i="9"/>
  <c r="I15" i="10"/>
  <c r="F8" i="3"/>
  <c r="I8" i="2"/>
  <c r="F15" i="5"/>
  <c r="I15" i="4"/>
  <c r="F29" i="4"/>
  <c r="I29" i="3"/>
  <c r="F26" i="5"/>
  <c r="G39" i="3"/>
  <c r="I39" i="2"/>
  <c r="G26" i="3"/>
  <c r="I26" i="2"/>
  <c r="F14" i="9"/>
  <c r="F14" i="44" s="1"/>
  <c r="I14" i="10"/>
  <c r="G9" i="9"/>
  <c r="I9" i="10"/>
  <c r="I12" i="3"/>
  <c r="I11" i="4"/>
  <c r="F11" i="5"/>
  <c r="I45" i="11"/>
  <c r="F45" i="10"/>
  <c r="G5" i="6"/>
  <c r="F18" i="9"/>
  <c r="I18" i="10"/>
  <c r="F41" i="7"/>
  <c r="I23" i="5"/>
  <c r="F23" i="6"/>
  <c r="G42" i="5"/>
  <c r="I42" i="4"/>
  <c r="F27" i="6"/>
  <c r="I27" i="5"/>
  <c r="F40" i="10"/>
  <c r="I40" i="11"/>
  <c r="F9" i="4"/>
  <c r="I9" i="3"/>
  <c r="I14" i="2"/>
  <c r="F14" i="3"/>
  <c r="F44" i="4"/>
  <c r="I44" i="3"/>
  <c r="I36" i="4"/>
  <c r="F36" i="5"/>
  <c r="I24" i="2"/>
  <c r="F24" i="3"/>
  <c r="I28" i="2"/>
  <c r="F28" i="3"/>
  <c r="F25" i="6"/>
  <c r="I25" i="5"/>
  <c r="G41" i="44"/>
  <c r="I41" i="44" s="1"/>
  <c r="I41" i="9"/>
  <c r="I20" i="9"/>
  <c r="I36" i="44"/>
  <c r="F43" i="5"/>
  <c r="I43" i="4"/>
  <c r="I40" i="5"/>
  <c r="F40" i="6"/>
  <c r="F31" i="10"/>
  <c r="I31" i="11"/>
  <c r="G46" i="10"/>
  <c r="G46" i="9" s="1"/>
  <c r="F39" i="31"/>
  <c r="I19" i="3"/>
  <c r="F19" i="4"/>
  <c r="I3" i="3"/>
  <c r="F3" i="4"/>
  <c r="F37" i="4"/>
  <c r="I37" i="3"/>
  <c r="I6" i="2"/>
  <c r="F6" i="3"/>
  <c r="I13" i="5"/>
  <c r="F13" i="6"/>
  <c r="G14" i="44"/>
  <c r="F46" i="5"/>
  <c r="I46" i="4"/>
  <c r="G3" i="9"/>
  <c r="F13" i="9"/>
  <c r="I13" i="10"/>
  <c r="F21" i="4"/>
  <c r="I21" i="3"/>
  <c r="F7" i="9"/>
  <c r="I7" i="10"/>
  <c r="I22" i="3"/>
  <c r="F22" i="4"/>
  <c r="K35" i="13"/>
  <c r="K21" i="13"/>
  <c r="F42" i="37"/>
  <c r="G40" i="38"/>
  <c r="I5" i="4" l="1"/>
  <c r="F49" i="10"/>
  <c r="G49" i="10"/>
  <c r="I30" i="5"/>
  <c r="G49" i="9"/>
  <c r="F18" i="5"/>
  <c r="F18" i="6" s="1"/>
  <c r="I16" i="4"/>
  <c r="I49" i="2"/>
  <c r="G3" i="5"/>
  <c r="I4" i="3"/>
  <c r="F47" i="17"/>
  <c r="I47" i="14"/>
  <c r="G48" i="21"/>
  <c r="I48" i="17"/>
  <c r="I17" i="4"/>
  <c r="F48" i="28"/>
  <c r="I35" i="7"/>
  <c r="I31" i="5"/>
  <c r="F45" i="4"/>
  <c r="I45" i="3"/>
  <c r="F10" i="5"/>
  <c r="I10" i="5" s="1"/>
  <c r="I14" i="9"/>
  <c r="I38" i="4"/>
  <c r="F20" i="6"/>
  <c r="I20" i="6" s="1"/>
  <c r="I32" i="4"/>
  <c r="F32" i="5"/>
  <c r="F7" i="6"/>
  <c r="I7" i="5"/>
  <c r="G41" i="5"/>
  <c r="I41" i="4"/>
  <c r="F34" i="5"/>
  <c r="I34" i="4"/>
  <c r="F33" i="5"/>
  <c r="I33" i="4"/>
  <c r="F31" i="9"/>
  <c r="I31" i="10"/>
  <c r="F35" i="9"/>
  <c r="I35" i="10"/>
  <c r="I3" i="4"/>
  <c r="F3" i="5"/>
  <c r="I46" i="11"/>
  <c r="I12" i="5"/>
  <c r="F12" i="6"/>
  <c r="I8" i="3"/>
  <c r="F8" i="4"/>
  <c r="F7" i="44"/>
  <c r="I7" i="9"/>
  <c r="F38" i="6"/>
  <c r="I38" i="5"/>
  <c r="I24" i="3"/>
  <c r="F24" i="4"/>
  <c r="F44" i="5"/>
  <c r="I44" i="4"/>
  <c r="F27" i="7"/>
  <c r="I27" i="6"/>
  <c r="F45" i="9"/>
  <c r="I45" i="10"/>
  <c r="I14" i="44"/>
  <c r="G34" i="44"/>
  <c r="I34" i="44" s="1"/>
  <c r="I34" i="9"/>
  <c r="I16" i="5"/>
  <c r="F16" i="6"/>
  <c r="I6" i="3"/>
  <c r="F6" i="4"/>
  <c r="F25" i="7"/>
  <c r="I25" i="6"/>
  <c r="F35" i="14"/>
  <c r="I35" i="8"/>
  <c r="F29" i="5"/>
  <c r="I29" i="4"/>
  <c r="I15" i="9"/>
  <c r="F15" i="44"/>
  <c r="I15" i="44" s="1"/>
  <c r="I46" i="10"/>
  <c r="F14" i="4"/>
  <c r="I14" i="3"/>
  <c r="G42" i="6"/>
  <c r="I42" i="5"/>
  <c r="F5" i="6"/>
  <c r="I5" i="5"/>
  <c r="F31" i="7"/>
  <c r="I31" i="6"/>
  <c r="F46" i="6"/>
  <c r="I46" i="5"/>
  <c r="I28" i="3"/>
  <c r="F28" i="4"/>
  <c r="I9" i="4"/>
  <c r="F9" i="5"/>
  <c r="G26" i="4"/>
  <c r="I26" i="3"/>
  <c r="F18" i="44"/>
  <c r="I18" i="44" s="1"/>
  <c r="I18" i="9"/>
  <c r="F26" i="6"/>
  <c r="F21" i="5"/>
  <c r="I21" i="4"/>
  <c r="F40" i="7"/>
  <c r="I40" i="6"/>
  <c r="F11" i="6"/>
  <c r="I11" i="5"/>
  <c r="I13" i="6"/>
  <c r="F13" i="7"/>
  <c r="F39" i="32"/>
  <c r="F43" i="6"/>
  <c r="I43" i="5"/>
  <c r="I36" i="5"/>
  <c r="F36" i="6"/>
  <c r="F23" i="7"/>
  <c r="I23" i="6"/>
  <c r="F15" i="6"/>
  <c r="I15" i="5"/>
  <c r="G3" i="44"/>
  <c r="I3" i="9"/>
  <c r="I22" i="4"/>
  <c r="F22" i="5"/>
  <c r="I19" i="4"/>
  <c r="F19" i="5"/>
  <c r="I4" i="4"/>
  <c r="F4" i="5"/>
  <c r="F13" i="44"/>
  <c r="I13" i="44" s="1"/>
  <c r="I13" i="9"/>
  <c r="F37" i="5"/>
  <c r="I37" i="4"/>
  <c r="I46" i="9"/>
  <c r="G46" i="44"/>
  <c r="I46" i="44" s="1"/>
  <c r="I30" i="6"/>
  <c r="F30" i="7"/>
  <c r="F40" i="9"/>
  <c r="I40" i="10"/>
  <c r="F41" i="8"/>
  <c r="G5" i="7"/>
  <c r="G9" i="44"/>
  <c r="I9" i="44" s="1"/>
  <c r="I9" i="9"/>
  <c r="I39" i="3"/>
  <c r="G39" i="4"/>
  <c r="F17" i="6"/>
  <c r="I17" i="5"/>
  <c r="F30" i="44"/>
  <c r="I30" i="44" s="1"/>
  <c r="I30" i="9"/>
  <c r="F42" i="38"/>
  <c r="G40" i="39"/>
  <c r="I18" i="5" l="1"/>
  <c r="F49" i="9"/>
  <c r="I49" i="10"/>
  <c r="G49" i="44"/>
  <c r="G3" i="6"/>
  <c r="F10" i="6"/>
  <c r="I10" i="6" s="1"/>
  <c r="I47" i="11"/>
  <c r="F48" i="29"/>
  <c r="F48" i="30" s="1"/>
  <c r="G48" i="22"/>
  <c r="I48" i="21"/>
  <c r="F47" i="21"/>
  <c r="I47" i="17"/>
  <c r="F45" i="5"/>
  <c r="I45" i="4"/>
  <c r="F20" i="7"/>
  <c r="F20" i="8" s="1"/>
  <c r="G41" i="6"/>
  <c r="I41" i="5"/>
  <c r="F7" i="7"/>
  <c r="I7" i="6"/>
  <c r="F32" i="6"/>
  <c r="I32" i="5"/>
  <c r="I34" i="5"/>
  <c r="F34" i="6"/>
  <c r="I33" i="5"/>
  <c r="F33" i="6"/>
  <c r="I30" i="7"/>
  <c r="F30" i="8"/>
  <c r="I9" i="5"/>
  <c r="F9" i="6"/>
  <c r="I35" i="14"/>
  <c r="F35" i="17"/>
  <c r="F39" i="33"/>
  <c r="G5" i="8"/>
  <c r="I3" i="44"/>
  <c r="I43" i="6"/>
  <c r="F43" i="7"/>
  <c r="F40" i="8"/>
  <c r="I40" i="7"/>
  <c r="F5" i="7"/>
  <c r="I5" i="6"/>
  <c r="I18" i="6"/>
  <c r="F18" i="7"/>
  <c r="I38" i="6"/>
  <c r="F38" i="7"/>
  <c r="I19" i="5"/>
  <c r="F19" i="6"/>
  <c r="F13" i="8"/>
  <c r="I13" i="7"/>
  <c r="F26" i="7"/>
  <c r="G26" i="5"/>
  <c r="I26" i="4"/>
  <c r="I25" i="7"/>
  <c r="F25" i="8"/>
  <c r="I7" i="44"/>
  <c r="I15" i="6"/>
  <c r="F15" i="7"/>
  <c r="I21" i="5"/>
  <c r="F21" i="6"/>
  <c r="I27" i="7"/>
  <c r="F27" i="8"/>
  <c r="I17" i="6"/>
  <c r="F17" i="7"/>
  <c r="F41" i="14"/>
  <c r="F37" i="6"/>
  <c r="I37" i="5"/>
  <c r="I23" i="7"/>
  <c r="F23" i="8"/>
  <c r="F46" i="7"/>
  <c r="I46" i="6"/>
  <c r="I42" i="6"/>
  <c r="G42" i="7"/>
  <c r="I6" i="4"/>
  <c r="F6" i="5"/>
  <c r="F44" i="6"/>
  <c r="I44" i="5"/>
  <c r="I8" i="4"/>
  <c r="F8" i="5"/>
  <c r="F31" i="44"/>
  <c r="I31" i="44" s="1"/>
  <c r="I31" i="9"/>
  <c r="I4" i="5"/>
  <c r="F4" i="6"/>
  <c r="F28" i="5"/>
  <c r="I28" i="4"/>
  <c r="I35" i="9"/>
  <c r="F35" i="44"/>
  <c r="I35" i="44" s="1"/>
  <c r="I39" i="4"/>
  <c r="G39" i="5"/>
  <c r="I22" i="5"/>
  <c r="F22" i="6"/>
  <c r="F36" i="7"/>
  <c r="I36" i="6"/>
  <c r="F29" i="6"/>
  <c r="I29" i="5"/>
  <c r="F24" i="5"/>
  <c r="I24" i="4"/>
  <c r="I3" i="5"/>
  <c r="F3" i="6"/>
  <c r="F40" i="44"/>
  <c r="I40" i="44" s="1"/>
  <c r="I40" i="9"/>
  <c r="F11" i="7"/>
  <c r="I11" i="6"/>
  <c r="I31" i="7"/>
  <c r="F31" i="8"/>
  <c r="F14" i="5"/>
  <c r="I14" i="4"/>
  <c r="I16" i="6"/>
  <c r="F16" i="7"/>
  <c r="F45" i="44"/>
  <c r="I45" i="44" s="1"/>
  <c r="I45" i="9"/>
  <c r="I12" i="6"/>
  <c r="F12" i="7"/>
  <c r="F42" i="39"/>
  <c r="G40" i="40"/>
  <c r="F10" i="7" l="1"/>
  <c r="I10" i="7" s="1"/>
  <c r="I49" i="9"/>
  <c r="I49" i="44"/>
  <c r="F49" i="44"/>
  <c r="G3" i="7"/>
  <c r="I48" i="11"/>
  <c r="I49" i="11" s="1"/>
  <c r="F47" i="22"/>
  <c r="I47" i="21"/>
  <c r="G48" i="23"/>
  <c r="I48" i="22"/>
  <c r="F48" i="31"/>
  <c r="F45" i="6"/>
  <c r="I45" i="5"/>
  <c r="I20" i="7"/>
  <c r="I32" i="6"/>
  <c r="F32" i="7"/>
  <c r="F7" i="8"/>
  <c r="I7" i="7"/>
  <c r="G41" i="7"/>
  <c r="I41" i="6"/>
  <c r="F33" i="7"/>
  <c r="I33" i="6"/>
  <c r="I34" i="6"/>
  <c r="F34" i="7"/>
  <c r="G39" i="6"/>
  <c r="I39" i="5"/>
  <c r="F43" i="8"/>
  <c r="I43" i="7"/>
  <c r="I12" i="7"/>
  <c r="F12" i="8"/>
  <c r="I31" i="8"/>
  <c r="F31" i="14"/>
  <c r="F3" i="7"/>
  <c r="I3" i="6"/>
  <c r="F29" i="7"/>
  <c r="I29" i="6"/>
  <c r="I28" i="5"/>
  <c r="F28" i="6"/>
  <c r="F44" i="7"/>
  <c r="I44" i="6"/>
  <c r="I25" i="8"/>
  <c r="F25" i="14"/>
  <c r="F13" i="14"/>
  <c r="I13" i="8"/>
  <c r="I35" i="17"/>
  <c r="F35" i="21"/>
  <c r="F4" i="7"/>
  <c r="I4" i="6"/>
  <c r="F6" i="6"/>
  <c r="I6" i="5"/>
  <c r="F21" i="7"/>
  <c r="I21" i="6"/>
  <c r="F19" i="7"/>
  <c r="I19" i="6"/>
  <c r="F9" i="7"/>
  <c r="I9" i="6"/>
  <c r="I20" i="8"/>
  <c r="F20" i="14"/>
  <c r="I40" i="8"/>
  <c r="F40" i="14"/>
  <c r="F27" i="14"/>
  <c r="I27" i="8"/>
  <c r="F18" i="8"/>
  <c r="I18" i="7"/>
  <c r="I37" i="6"/>
  <c r="F37" i="7"/>
  <c r="I11" i="7"/>
  <c r="F11" i="8"/>
  <c r="G42" i="8"/>
  <c r="I42" i="7"/>
  <c r="F41" i="17"/>
  <c r="I15" i="7"/>
  <c r="F15" i="8"/>
  <c r="F38" i="8"/>
  <c r="I38" i="7"/>
  <c r="I16" i="7"/>
  <c r="F16" i="8"/>
  <c r="I36" i="7"/>
  <c r="F36" i="8"/>
  <c r="G26" i="6"/>
  <c r="I26" i="5"/>
  <c r="F5" i="8"/>
  <c r="I5" i="7"/>
  <c r="G5" i="14"/>
  <c r="I30" i="8"/>
  <c r="F30" i="14"/>
  <c r="I24" i="5"/>
  <c r="F24" i="6"/>
  <c r="I46" i="7"/>
  <c r="F46" i="8"/>
  <c r="I14" i="5"/>
  <c r="F14" i="6"/>
  <c r="F23" i="14"/>
  <c r="I23" i="8"/>
  <c r="I22" i="6"/>
  <c r="F22" i="7"/>
  <c r="I8" i="5"/>
  <c r="F8" i="6"/>
  <c r="I17" i="7"/>
  <c r="F17" i="8"/>
  <c r="F26" i="8"/>
  <c r="F39" i="34"/>
  <c r="F39" i="35" s="1"/>
  <c r="F42" i="40"/>
  <c r="G40" i="41"/>
  <c r="F10" i="8" l="1"/>
  <c r="I10" i="8" s="1"/>
  <c r="G3" i="8"/>
  <c r="F48" i="32"/>
  <c r="G48" i="24"/>
  <c r="I48" i="23"/>
  <c r="F47" i="23"/>
  <c r="I47" i="22"/>
  <c r="I45" i="6"/>
  <c r="F45" i="7"/>
  <c r="G41" i="8"/>
  <c r="I41" i="7"/>
  <c r="I7" i="8"/>
  <c r="F7" i="14"/>
  <c r="I32" i="7"/>
  <c r="F32" i="8"/>
  <c r="F34" i="8"/>
  <c r="I34" i="7"/>
  <c r="I33" i="7"/>
  <c r="F33" i="8"/>
  <c r="F38" i="14"/>
  <c r="I38" i="8"/>
  <c r="I44" i="7"/>
  <c r="F44" i="8"/>
  <c r="F31" i="17"/>
  <c r="I31" i="14"/>
  <c r="I23" i="14"/>
  <c r="F23" i="17"/>
  <c r="F36" i="14"/>
  <c r="I36" i="8"/>
  <c r="I15" i="8"/>
  <c r="F15" i="14"/>
  <c r="I11" i="8"/>
  <c r="F11" i="14"/>
  <c r="I18" i="8"/>
  <c r="F18" i="14"/>
  <c r="I9" i="7"/>
  <c r="F9" i="8"/>
  <c r="F6" i="7"/>
  <c r="I6" i="6"/>
  <c r="F28" i="7"/>
  <c r="I28" i="6"/>
  <c r="I17" i="8"/>
  <c r="F17" i="14"/>
  <c r="F8" i="7"/>
  <c r="I8" i="6"/>
  <c r="F12" i="14"/>
  <c r="I12" i="8"/>
  <c r="G5" i="17"/>
  <c r="I27" i="14"/>
  <c r="F27" i="17"/>
  <c r="I4" i="7"/>
  <c r="F4" i="8"/>
  <c r="I30" i="14"/>
  <c r="F30" i="17"/>
  <c r="I14" i="6"/>
  <c r="F14" i="7"/>
  <c r="F22" i="8"/>
  <c r="I22" i="7"/>
  <c r="F46" i="14"/>
  <c r="I46" i="8"/>
  <c r="F41" i="21"/>
  <c r="I40" i="14"/>
  <c r="F40" i="17"/>
  <c r="F13" i="17"/>
  <c r="I13" i="14"/>
  <c r="I29" i="7"/>
  <c r="F29" i="8"/>
  <c r="F39" i="36"/>
  <c r="F5" i="14"/>
  <c r="I5" i="8"/>
  <c r="I16" i="8"/>
  <c r="F16" i="14"/>
  <c r="F19" i="8"/>
  <c r="I19" i="7"/>
  <c r="I25" i="14"/>
  <c r="F25" i="17"/>
  <c r="I43" i="8"/>
  <c r="F43" i="14"/>
  <c r="I24" i="6"/>
  <c r="F24" i="7"/>
  <c r="I42" i="8"/>
  <c r="G42" i="14"/>
  <c r="F37" i="8"/>
  <c r="I37" i="7"/>
  <c r="F20" i="17"/>
  <c r="I20" i="14"/>
  <c r="G26" i="7"/>
  <c r="I26" i="6"/>
  <c r="F26" i="14"/>
  <c r="I21" i="7"/>
  <c r="F21" i="8"/>
  <c r="F35" i="22"/>
  <c r="I35" i="21"/>
  <c r="I3" i="7"/>
  <c r="F3" i="8"/>
  <c r="I39" i="6"/>
  <c r="G39" i="7"/>
  <c r="F42" i="41"/>
  <c r="F10" i="14" l="1"/>
  <c r="I10" i="14" s="1"/>
  <c r="G3" i="14"/>
  <c r="F47" i="24"/>
  <c r="I47" i="23"/>
  <c r="I48" i="24"/>
  <c r="G48" i="25"/>
  <c r="F48" i="33"/>
  <c r="F48" i="34" s="1"/>
  <c r="F45" i="8"/>
  <c r="I45" i="7"/>
  <c r="F32" i="14"/>
  <c r="I32" i="8"/>
  <c r="G41" i="14"/>
  <c r="I41" i="8"/>
  <c r="I7" i="14"/>
  <c r="F7" i="17"/>
  <c r="F34" i="14"/>
  <c r="I34" i="8"/>
  <c r="I33" i="8"/>
  <c r="F33" i="14"/>
  <c r="I37" i="8"/>
  <c r="F37" i="14"/>
  <c r="I30" i="17"/>
  <c r="F30" i="21"/>
  <c r="F11" i="17"/>
  <c r="I11" i="14"/>
  <c r="G42" i="17"/>
  <c r="I42" i="14"/>
  <c r="F5" i="17"/>
  <c r="I5" i="14"/>
  <c r="I46" i="14"/>
  <c r="F46" i="17"/>
  <c r="G5" i="21"/>
  <c r="I28" i="7"/>
  <c r="F28" i="8"/>
  <c r="F31" i="21"/>
  <c r="I31" i="17"/>
  <c r="I25" i="17"/>
  <c r="F25" i="21"/>
  <c r="F44" i="14"/>
  <c r="I44" i="8"/>
  <c r="I21" i="8"/>
  <c r="F21" i="14"/>
  <c r="G26" i="8"/>
  <c r="I26" i="7"/>
  <c r="F24" i="8"/>
  <c r="I24" i="7"/>
  <c r="F39" i="37"/>
  <c r="F22" i="14"/>
  <c r="I22" i="8"/>
  <c r="F12" i="17"/>
  <c r="I12" i="14"/>
  <c r="I6" i="7"/>
  <c r="F6" i="8"/>
  <c r="F40" i="21"/>
  <c r="I40" i="17"/>
  <c r="F4" i="14"/>
  <c r="I4" i="8"/>
  <c r="G39" i="8"/>
  <c r="I39" i="7"/>
  <c r="F29" i="14"/>
  <c r="I29" i="8"/>
  <c r="F27" i="21"/>
  <c r="I27" i="17"/>
  <c r="F9" i="14"/>
  <c r="I9" i="8"/>
  <c r="I35" i="22"/>
  <c r="F35" i="23"/>
  <c r="I15" i="14"/>
  <c r="F15" i="17"/>
  <c r="F19" i="14"/>
  <c r="I19" i="8"/>
  <c r="I8" i="7"/>
  <c r="F8" i="8"/>
  <c r="I36" i="14"/>
  <c r="F36" i="17"/>
  <c r="F3" i="14"/>
  <c r="I3" i="8"/>
  <c r="I20" i="17"/>
  <c r="F20" i="21"/>
  <c r="I16" i="14"/>
  <c r="F16" i="17"/>
  <c r="F41" i="22"/>
  <c r="I14" i="7"/>
  <c r="F14" i="8"/>
  <c r="F17" i="17"/>
  <c r="I17" i="14"/>
  <c r="I18" i="14"/>
  <c r="F18" i="17"/>
  <c r="F23" i="21"/>
  <c r="I23" i="17"/>
  <c r="F26" i="17"/>
  <c r="F43" i="17"/>
  <c r="I43" i="14"/>
  <c r="F13" i="21"/>
  <c r="I13" i="17"/>
  <c r="I38" i="14"/>
  <c r="F38" i="17"/>
  <c r="J42" i="13"/>
  <c r="F10" i="17" l="1"/>
  <c r="F10" i="21" s="1"/>
  <c r="G3" i="17"/>
  <c r="F48" i="35"/>
  <c r="G48" i="26"/>
  <c r="I48" i="25"/>
  <c r="F47" i="25"/>
  <c r="I47" i="24"/>
  <c r="I45" i="8"/>
  <c r="F45" i="14"/>
  <c r="F7" i="21"/>
  <c r="I7" i="17"/>
  <c r="G41" i="17"/>
  <c r="I41" i="14"/>
  <c r="I32" i="14"/>
  <c r="F32" i="17"/>
  <c r="I34" i="14"/>
  <c r="F34" i="17"/>
  <c r="F33" i="17"/>
  <c r="I33" i="14"/>
  <c r="F6" i="14"/>
  <c r="I6" i="8"/>
  <c r="F44" i="17"/>
  <c r="I44" i="14"/>
  <c r="I28" i="8"/>
  <c r="F28" i="14"/>
  <c r="F18" i="21"/>
  <c r="I18" i="17"/>
  <c r="I16" i="17"/>
  <c r="F16" i="21"/>
  <c r="F3" i="17"/>
  <c r="I3" i="14"/>
  <c r="F9" i="17"/>
  <c r="I9" i="14"/>
  <c r="I29" i="14"/>
  <c r="F29" i="17"/>
  <c r="I24" i="8"/>
  <c r="F24" i="14"/>
  <c r="I25" i="21"/>
  <c r="F25" i="22"/>
  <c r="G42" i="21"/>
  <c r="I42" i="17"/>
  <c r="F41" i="23"/>
  <c r="I13" i="21"/>
  <c r="F13" i="22"/>
  <c r="I15" i="17"/>
  <c r="F15" i="21"/>
  <c r="I27" i="21"/>
  <c r="F27" i="22"/>
  <c r="I39" i="8"/>
  <c r="G39" i="14"/>
  <c r="I12" i="17"/>
  <c r="F12" i="21"/>
  <c r="G5" i="22"/>
  <c r="I11" i="17"/>
  <c r="F11" i="21"/>
  <c r="I43" i="17"/>
  <c r="F43" i="21"/>
  <c r="I17" i="17"/>
  <c r="F17" i="21"/>
  <c r="F8" i="14"/>
  <c r="I8" i="8"/>
  <c r="I35" i="23"/>
  <c r="F35" i="24"/>
  <c r="G26" i="14"/>
  <c r="I26" i="8"/>
  <c r="F46" i="21"/>
  <c r="I46" i="17"/>
  <c r="F30" i="22"/>
  <c r="I30" i="21"/>
  <c r="F36" i="21"/>
  <c r="I36" i="17"/>
  <c r="I38" i="17"/>
  <c r="F38" i="21"/>
  <c r="F26" i="21"/>
  <c r="I14" i="8"/>
  <c r="F14" i="14"/>
  <c r="I4" i="14"/>
  <c r="F4" i="17"/>
  <c r="F22" i="17"/>
  <c r="I22" i="14"/>
  <c r="F21" i="17"/>
  <c r="I21" i="14"/>
  <c r="F23" i="22"/>
  <c r="I23" i="21"/>
  <c r="I20" i="21"/>
  <c r="F20" i="22"/>
  <c r="F37" i="17"/>
  <c r="I37" i="14"/>
  <c r="I19" i="14"/>
  <c r="F19" i="17"/>
  <c r="F40" i="22"/>
  <c r="I40" i="21"/>
  <c r="F39" i="38"/>
  <c r="F31" i="22"/>
  <c r="I31" i="21"/>
  <c r="I5" i="17"/>
  <c r="F5" i="21"/>
  <c r="K40" i="13"/>
  <c r="I10" i="17" l="1"/>
  <c r="G3" i="21"/>
  <c r="F47" i="26"/>
  <c r="I47" i="25"/>
  <c r="G48" i="28"/>
  <c r="I48" i="26"/>
  <c r="F48" i="36"/>
  <c r="F45" i="17"/>
  <c r="I45" i="14"/>
  <c r="F32" i="21"/>
  <c r="I32" i="17"/>
  <c r="G41" i="21"/>
  <c r="I41" i="17"/>
  <c r="I7" i="21"/>
  <c r="F7" i="22"/>
  <c r="F33" i="21"/>
  <c r="I33" i="17"/>
  <c r="I34" i="17"/>
  <c r="F34" i="21"/>
  <c r="F4" i="21"/>
  <c r="I4" i="17"/>
  <c r="I15" i="21"/>
  <c r="F15" i="22"/>
  <c r="F25" i="23"/>
  <c r="I25" i="22"/>
  <c r="I28" i="14"/>
  <c r="F28" i="17"/>
  <c r="I37" i="17"/>
  <c r="F37" i="21"/>
  <c r="I36" i="21"/>
  <c r="F36" i="22"/>
  <c r="G26" i="17"/>
  <c r="I26" i="14"/>
  <c r="F10" i="22"/>
  <c r="I10" i="21"/>
  <c r="F39" i="39"/>
  <c r="I40" i="22"/>
  <c r="F40" i="23"/>
  <c r="F13" i="23"/>
  <c r="I13" i="22"/>
  <c r="F5" i="22"/>
  <c r="I5" i="21"/>
  <c r="I19" i="17"/>
  <c r="F19" i="21"/>
  <c r="F23" i="23"/>
  <c r="F23" i="24" s="1"/>
  <c r="I23" i="22"/>
  <c r="I16" i="21"/>
  <c r="F16" i="22"/>
  <c r="F44" i="21"/>
  <c r="I44" i="17"/>
  <c r="F43" i="22"/>
  <c r="I43" i="21"/>
  <c r="F30" i="23"/>
  <c r="I30" i="22"/>
  <c r="I35" i="24"/>
  <c r="F35" i="25"/>
  <c r="F11" i="22"/>
  <c r="I11" i="21"/>
  <c r="G39" i="17"/>
  <c r="I39" i="14"/>
  <c r="I29" i="17"/>
  <c r="F29" i="21"/>
  <c r="F3" i="21"/>
  <c r="I3" i="17"/>
  <c r="I21" i="17"/>
  <c r="F21" i="21"/>
  <c r="F26" i="22"/>
  <c r="F41" i="24"/>
  <c r="I6" i="14"/>
  <c r="F6" i="17"/>
  <c r="I14" i="14"/>
  <c r="F14" i="17"/>
  <c r="I24" i="14"/>
  <c r="F24" i="17"/>
  <c r="I31" i="22"/>
  <c r="F31" i="23"/>
  <c r="I38" i="21"/>
  <c r="F38" i="22"/>
  <c r="I46" i="21"/>
  <c r="F46" i="22"/>
  <c r="I27" i="22"/>
  <c r="F27" i="23"/>
  <c r="I18" i="21"/>
  <c r="F18" i="22"/>
  <c r="F20" i="23"/>
  <c r="I20" i="22"/>
  <c r="F17" i="22"/>
  <c r="I17" i="21"/>
  <c r="I12" i="21"/>
  <c r="F12" i="22"/>
  <c r="F22" i="21"/>
  <c r="I22" i="17"/>
  <c r="I8" i="14"/>
  <c r="F8" i="17"/>
  <c r="G5" i="23"/>
  <c r="G42" i="22"/>
  <c r="I42" i="21"/>
  <c r="I9" i="17"/>
  <c r="F9" i="21"/>
  <c r="G3" i="22" l="1"/>
  <c r="F48" i="37"/>
  <c r="G48" i="29"/>
  <c r="I48" i="28"/>
  <c r="F47" i="28"/>
  <c r="I47" i="26"/>
  <c r="F45" i="21"/>
  <c r="I45" i="17"/>
  <c r="F7" i="23"/>
  <c r="I7" i="22"/>
  <c r="G41" i="22"/>
  <c r="I41" i="21"/>
  <c r="F32" i="22"/>
  <c r="I32" i="21"/>
  <c r="F33" i="22"/>
  <c r="I33" i="21"/>
  <c r="F34" i="22"/>
  <c r="I34" i="21"/>
  <c r="I6" i="17"/>
  <c r="F6" i="21"/>
  <c r="I12" i="22"/>
  <c r="F12" i="23"/>
  <c r="I18" i="22"/>
  <c r="F18" i="23"/>
  <c r="I31" i="23"/>
  <c r="F31" i="24"/>
  <c r="F13" i="24"/>
  <c r="I13" i="23"/>
  <c r="F43" i="23"/>
  <c r="I43" i="22"/>
  <c r="G26" i="21"/>
  <c r="I26" i="17"/>
  <c r="I27" i="23"/>
  <c r="F27" i="24"/>
  <c r="I24" i="17"/>
  <c r="F24" i="21"/>
  <c r="I35" i="25"/>
  <c r="F35" i="26"/>
  <c r="I19" i="21"/>
  <c r="F19" i="22"/>
  <c r="F36" i="23"/>
  <c r="I36" i="22"/>
  <c r="I25" i="23"/>
  <c r="F25" i="24"/>
  <c r="I8" i="17"/>
  <c r="F8" i="21"/>
  <c r="F41" i="25"/>
  <c r="I22" i="21"/>
  <c r="F22" i="22"/>
  <c r="I17" i="22"/>
  <c r="F17" i="23"/>
  <c r="I3" i="21"/>
  <c r="F3" i="22"/>
  <c r="I44" i="21"/>
  <c r="F44" i="22"/>
  <c r="F39" i="40"/>
  <c r="I15" i="22"/>
  <c r="F15" i="23"/>
  <c r="F40" i="24"/>
  <c r="I40" i="23"/>
  <c r="F9" i="22"/>
  <c r="I9" i="21"/>
  <c r="F46" i="23"/>
  <c r="I46" i="22"/>
  <c r="I14" i="17"/>
  <c r="F14" i="21"/>
  <c r="F26" i="23"/>
  <c r="F29" i="22"/>
  <c r="I29" i="21"/>
  <c r="I16" i="22"/>
  <c r="F16" i="23"/>
  <c r="F37" i="22"/>
  <c r="I37" i="21"/>
  <c r="I11" i="22"/>
  <c r="F11" i="23"/>
  <c r="G42" i="23"/>
  <c r="I42" i="22"/>
  <c r="F20" i="24"/>
  <c r="I20" i="23"/>
  <c r="I21" i="21"/>
  <c r="F21" i="22"/>
  <c r="F30" i="24"/>
  <c r="I30" i="23"/>
  <c r="F5" i="23"/>
  <c r="I5" i="22"/>
  <c r="G5" i="24"/>
  <c r="G39" i="21"/>
  <c r="I39" i="17"/>
  <c r="F23" i="25"/>
  <c r="I23" i="24"/>
  <c r="F38" i="23"/>
  <c r="I38" i="22"/>
  <c r="I10" i="22"/>
  <c r="F10" i="23"/>
  <c r="I28" i="17"/>
  <c r="F28" i="21"/>
  <c r="I4" i="21"/>
  <c r="F4" i="22"/>
  <c r="G3" i="23" l="1"/>
  <c r="F47" i="29"/>
  <c r="I47" i="28"/>
  <c r="I48" i="29"/>
  <c r="G48" i="30"/>
  <c r="F48" i="38"/>
  <c r="F45" i="22"/>
  <c r="I45" i="21"/>
  <c r="I32" i="22"/>
  <c r="F32" i="23"/>
  <c r="G41" i="23"/>
  <c r="I41" i="22"/>
  <c r="F7" i="24"/>
  <c r="I7" i="23"/>
  <c r="I34" i="22"/>
  <c r="F34" i="23"/>
  <c r="F33" i="23"/>
  <c r="I33" i="22"/>
  <c r="I21" i="22"/>
  <c r="F21" i="23"/>
  <c r="I39" i="21"/>
  <c r="G39" i="22"/>
  <c r="I14" i="21"/>
  <c r="F14" i="22"/>
  <c r="F41" i="26"/>
  <c r="I24" i="21"/>
  <c r="F24" i="22"/>
  <c r="I18" i="23"/>
  <c r="F18" i="24"/>
  <c r="F44" i="23"/>
  <c r="I44" i="22"/>
  <c r="F31" i="25"/>
  <c r="I31" i="24"/>
  <c r="F26" i="24"/>
  <c r="F25" i="25"/>
  <c r="I25" i="24"/>
  <c r="I20" i="24"/>
  <c r="F20" i="25"/>
  <c r="F37" i="23"/>
  <c r="I37" i="22"/>
  <c r="F40" i="25"/>
  <c r="I40" i="24"/>
  <c r="F3" i="23"/>
  <c r="I3" i="22"/>
  <c r="F8" i="22"/>
  <c r="I8" i="21"/>
  <c r="I43" i="23"/>
  <c r="F43" i="24"/>
  <c r="I4" i="22"/>
  <c r="F4" i="23"/>
  <c r="I16" i="23"/>
  <c r="F16" i="24"/>
  <c r="I15" i="23"/>
  <c r="F15" i="24"/>
  <c r="F36" i="24"/>
  <c r="I36" i="23"/>
  <c r="I27" i="24"/>
  <c r="F27" i="25"/>
  <c r="I12" i="23"/>
  <c r="F12" i="24"/>
  <c r="F10" i="24"/>
  <c r="I10" i="23"/>
  <c r="I9" i="22"/>
  <c r="F9" i="23"/>
  <c r="G5" i="25"/>
  <c r="I5" i="23"/>
  <c r="F5" i="24"/>
  <c r="I42" i="23"/>
  <c r="G42" i="24"/>
  <c r="I46" i="23"/>
  <c r="F46" i="24"/>
  <c r="I17" i="23"/>
  <c r="F17" i="24"/>
  <c r="I19" i="22"/>
  <c r="F19" i="23"/>
  <c r="I13" i="24"/>
  <c r="F13" i="25"/>
  <c r="G26" i="22"/>
  <c r="I26" i="21"/>
  <c r="F38" i="24"/>
  <c r="I38" i="23"/>
  <c r="I28" i="21"/>
  <c r="F28" i="22"/>
  <c r="I11" i="23"/>
  <c r="F11" i="24"/>
  <c r="F6" i="22"/>
  <c r="I6" i="21"/>
  <c r="I23" i="25"/>
  <c r="F23" i="26"/>
  <c r="F30" i="25"/>
  <c r="I30" i="24"/>
  <c r="I29" i="22"/>
  <c r="F29" i="23"/>
  <c r="F39" i="41"/>
  <c r="F22" i="23"/>
  <c r="I22" i="22"/>
  <c r="I35" i="26"/>
  <c r="F35" i="28"/>
  <c r="G3" i="24" l="1"/>
  <c r="F48" i="39"/>
  <c r="G48" i="31"/>
  <c r="I48" i="30"/>
  <c r="F47" i="30"/>
  <c r="I47" i="29"/>
  <c r="F45" i="23"/>
  <c r="I45" i="22"/>
  <c r="I7" i="24"/>
  <c r="F7" i="25"/>
  <c r="G41" i="24"/>
  <c r="I41" i="23"/>
  <c r="F32" i="24"/>
  <c r="I32" i="23"/>
  <c r="I33" i="23"/>
  <c r="F33" i="24"/>
  <c r="I34" i="23"/>
  <c r="F34" i="24"/>
  <c r="I31" i="25"/>
  <c r="F31" i="26"/>
  <c r="F38" i="25"/>
  <c r="I38" i="24"/>
  <c r="I17" i="24"/>
  <c r="F17" i="25"/>
  <c r="I27" i="25"/>
  <c r="F27" i="26"/>
  <c r="I8" i="22"/>
  <c r="F8" i="23"/>
  <c r="I20" i="25"/>
  <c r="F20" i="26"/>
  <c r="F46" i="25"/>
  <c r="I46" i="24"/>
  <c r="I9" i="23"/>
  <c r="F9" i="24"/>
  <c r="I18" i="24"/>
  <c r="F18" i="25"/>
  <c r="I23" i="26"/>
  <c r="F23" i="28"/>
  <c r="G5" i="26"/>
  <c r="I14" i="22"/>
  <c r="F14" i="23"/>
  <c r="I11" i="24"/>
  <c r="F11" i="25"/>
  <c r="G26" i="23"/>
  <c r="I26" i="22"/>
  <c r="I36" i="24"/>
  <c r="F36" i="25"/>
  <c r="F4" i="24"/>
  <c r="I4" i="23"/>
  <c r="I3" i="23"/>
  <c r="F3" i="24"/>
  <c r="I25" i="25"/>
  <c r="F25" i="26"/>
  <c r="I39" i="22"/>
  <c r="G39" i="23"/>
  <c r="I30" i="25"/>
  <c r="F30" i="26"/>
  <c r="F44" i="24"/>
  <c r="I44" i="23"/>
  <c r="J39" i="13"/>
  <c r="I13" i="25"/>
  <c r="F13" i="26"/>
  <c r="I42" i="24"/>
  <c r="G42" i="25"/>
  <c r="F26" i="25"/>
  <c r="I24" i="22"/>
  <c r="F24" i="23"/>
  <c r="F24" i="24" s="1"/>
  <c r="I16" i="24"/>
  <c r="F16" i="25"/>
  <c r="I29" i="23"/>
  <c r="F29" i="24"/>
  <c r="I28" i="22"/>
  <c r="F28" i="23"/>
  <c r="I10" i="24"/>
  <c r="F10" i="25"/>
  <c r="I15" i="24"/>
  <c r="F15" i="25"/>
  <c r="I43" i="24"/>
  <c r="F43" i="25"/>
  <c r="I40" i="25"/>
  <c r="F40" i="26"/>
  <c r="I21" i="23"/>
  <c r="F21" i="24"/>
  <c r="F37" i="24"/>
  <c r="I37" i="23"/>
  <c r="I22" i="23"/>
  <c r="F22" i="24"/>
  <c r="I35" i="28"/>
  <c r="F35" i="29"/>
  <c r="I6" i="22"/>
  <c r="F6" i="23"/>
  <c r="I19" i="23"/>
  <c r="F19" i="24"/>
  <c r="F5" i="25"/>
  <c r="I5" i="24"/>
  <c r="I12" i="24"/>
  <c r="F12" i="25"/>
  <c r="F41" i="28"/>
  <c r="G3" i="25" l="1"/>
  <c r="F47" i="31"/>
  <c r="I47" i="30"/>
  <c r="G48" i="32"/>
  <c r="I48" i="31"/>
  <c r="F48" i="40"/>
  <c r="F48" i="41" s="1"/>
  <c r="I45" i="23"/>
  <c r="F45" i="24"/>
  <c r="I32" i="24"/>
  <c r="F32" i="25"/>
  <c r="G41" i="25"/>
  <c r="I41" i="24"/>
  <c r="F7" i="26"/>
  <c r="I7" i="25"/>
  <c r="F34" i="25"/>
  <c r="I34" i="24"/>
  <c r="F33" i="25"/>
  <c r="I33" i="24"/>
  <c r="F40" i="28"/>
  <c r="I40" i="26"/>
  <c r="I18" i="25"/>
  <c r="F18" i="26"/>
  <c r="I21" i="24"/>
  <c r="F21" i="25"/>
  <c r="F10" i="26"/>
  <c r="I10" i="25"/>
  <c r="G42" i="26"/>
  <c r="I42" i="25"/>
  <c r="I23" i="28"/>
  <c r="F23" i="29"/>
  <c r="I27" i="26"/>
  <c r="F27" i="28"/>
  <c r="F28" i="24"/>
  <c r="I28" i="23"/>
  <c r="F17" i="26"/>
  <c r="I17" i="25"/>
  <c r="F41" i="29"/>
  <c r="F44" i="25"/>
  <c r="I44" i="24"/>
  <c r="I3" i="24"/>
  <c r="F3" i="25"/>
  <c r="G26" i="24"/>
  <c r="I26" i="23"/>
  <c r="I46" i="25"/>
  <c r="F46" i="26"/>
  <c r="I5" i="25"/>
  <c r="F5" i="26"/>
  <c r="I29" i="24"/>
  <c r="F29" i="25"/>
  <c r="I24" i="24"/>
  <c r="F24" i="25"/>
  <c r="G39" i="24"/>
  <c r="I39" i="23"/>
  <c r="I4" i="24"/>
  <c r="F4" i="25"/>
  <c r="F14" i="24"/>
  <c r="I14" i="23"/>
  <c r="I20" i="26"/>
  <c r="F20" i="28"/>
  <c r="I13" i="26"/>
  <c r="F13" i="28"/>
  <c r="F30" i="28"/>
  <c r="I30" i="26"/>
  <c r="I22" i="24"/>
  <c r="F22" i="25"/>
  <c r="I43" i="25"/>
  <c r="F43" i="26"/>
  <c r="I6" i="23"/>
  <c r="F6" i="24"/>
  <c r="I36" i="25"/>
  <c r="F36" i="26"/>
  <c r="F38" i="26"/>
  <c r="I38" i="25"/>
  <c r="I15" i="25"/>
  <c r="F15" i="26"/>
  <c r="F26" i="26"/>
  <c r="I25" i="26"/>
  <c r="F25" i="28"/>
  <c r="F9" i="25"/>
  <c r="I9" i="24"/>
  <c r="I8" i="23"/>
  <c r="F8" i="24"/>
  <c r="I31" i="26"/>
  <c r="F31" i="28"/>
  <c r="I16" i="25"/>
  <c r="F16" i="26"/>
  <c r="I11" i="25"/>
  <c r="F11" i="26"/>
  <c r="I19" i="24"/>
  <c r="F19" i="25"/>
  <c r="I12" i="25"/>
  <c r="F12" i="26"/>
  <c r="I35" i="29"/>
  <c r="F35" i="30"/>
  <c r="F37" i="25"/>
  <c r="I37" i="24"/>
  <c r="G5" i="28"/>
  <c r="G3" i="26" l="1"/>
  <c r="J48" i="13"/>
  <c r="G48" i="33"/>
  <c r="I48" i="32"/>
  <c r="F47" i="32"/>
  <c r="I47" i="31"/>
  <c r="I45" i="24"/>
  <c r="F45" i="25"/>
  <c r="I7" i="26"/>
  <c r="F7" i="28"/>
  <c r="G41" i="26"/>
  <c r="I41" i="25"/>
  <c r="I32" i="25"/>
  <c r="F32" i="26"/>
  <c r="I33" i="25"/>
  <c r="F33" i="26"/>
  <c r="I34" i="25"/>
  <c r="F34" i="26"/>
  <c r="I25" i="28"/>
  <c r="F25" i="29"/>
  <c r="I23" i="29"/>
  <c r="F23" i="30"/>
  <c r="I19" i="25"/>
  <c r="F19" i="26"/>
  <c r="I11" i="26"/>
  <c r="F11" i="28"/>
  <c r="I27" i="28"/>
  <c r="F27" i="29"/>
  <c r="I16" i="26"/>
  <c r="F16" i="28"/>
  <c r="F41" i="30"/>
  <c r="F37" i="26"/>
  <c r="I37" i="25"/>
  <c r="I9" i="25"/>
  <c r="F9" i="26"/>
  <c r="I15" i="26"/>
  <c r="F15" i="28"/>
  <c r="F43" i="28"/>
  <c r="I43" i="26"/>
  <c r="I20" i="28"/>
  <c r="F20" i="29"/>
  <c r="F10" i="28"/>
  <c r="I10" i="26"/>
  <c r="I22" i="25"/>
  <c r="F22" i="26"/>
  <c r="I3" i="25"/>
  <c r="F3" i="26"/>
  <c r="I31" i="28"/>
  <c r="F31" i="29"/>
  <c r="I38" i="26"/>
  <c r="F38" i="28"/>
  <c r="I5" i="26"/>
  <c r="F5" i="28"/>
  <c r="I18" i="26"/>
  <c r="F18" i="28"/>
  <c r="G26" i="25"/>
  <c r="I26" i="24"/>
  <c r="I12" i="26"/>
  <c r="F12" i="28"/>
  <c r="F26" i="28"/>
  <c r="I36" i="26"/>
  <c r="F36" i="28"/>
  <c r="F24" i="26"/>
  <c r="I24" i="25"/>
  <c r="F17" i="28"/>
  <c r="I17" i="26"/>
  <c r="I42" i="26"/>
  <c r="G42" i="28"/>
  <c r="I8" i="24"/>
  <c r="F8" i="25"/>
  <c r="I30" i="28"/>
  <c r="F30" i="29"/>
  <c r="I14" i="24"/>
  <c r="F14" i="25"/>
  <c r="F46" i="28"/>
  <c r="I46" i="26"/>
  <c r="F35" i="31"/>
  <c r="I35" i="30"/>
  <c r="G39" i="25"/>
  <c r="I39" i="24"/>
  <c r="I21" i="25"/>
  <c r="F21" i="26"/>
  <c r="G5" i="29"/>
  <c r="I6" i="24"/>
  <c r="F6" i="25"/>
  <c r="F13" i="29"/>
  <c r="I13" i="28"/>
  <c r="F4" i="26"/>
  <c r="I4" i="25"/>
  <c r="I29" i="25"/>
  <c r="F29" i="26"/>
  <c r="I44" i="25"/>
  <c r="F44" i="26"/>
  <c r="I28" i="24"/>
  <c r="F28" i="25"/>
  <c r="F40" i="29"/>
  <c r="I40" i="28"/>
  <c r="G3" i="28" l="1"/>
  <c r="I47" i="32"/>
  <c r="F47" i="33"/>
  <c r="I48" i="33"/>
  <c r="G48" i="34"/>
  <c r="I45" i="25"/>
  <c r="F45" i="26"/>
  <c r="I32" i="26"/>
  <c r="F32" i="28"/>
  <c r="G41" i="28"/>
  <c r="I41" i="26"/>
  <c r="F7" i="29"/>
  <c r="I7" i="28"/>
  <c r="F34" i="28"/>
  <c r="I34" i="26"/>
  <c r="F33" i="28"/>
  <c r="I33" i="26"/>
  <c r="F26" i="29"/>
  <c r="F40" i="30"/>
  <c r="I40" i="29"/>
  <c r="I9" i="26"/>
  <c r="F9" i="28"/>
  <c r="F19" i="28"/>
  <c r="I19" i="26"/>
  <c r="F28" i="26"/>
  <c r="I28" i="25"/>
  <c r="I14" i="25"/>
  <c r="F14" i="26"/>
  <c r="I12" i="28"/>
  <c r="F12" i="29"/>
  <c r="I5" i="28"/>
  <c r="F5" i="29"/>
  <c r="I10" i="28"/>
  <c r="F10" i="29"/>
  <c r="I13" i="29"/>
  <c r="F13" i="30"/>
  <c r="G39" i="26"/>
  <c r="I39" i="25"/>
  <c r="I17" i="28"/>
  <c r="F17" i="29"/>
  <c r="I3" i="26"/>
  <c r="F3" i="28"/>
  <c r="I20" i="29"/>
  <c r="F20" i="30"/>
  <c r="I21" i="26"/>
  <c r="F21" i="28"/>
  <c r="F27" i="30"/>
  <c r="I27" i="29"/>
  <c r="F44" i="28"/>
  <c r="I44" i="26"/>
  <c r="I6" i="25"/>
  <c r="F6" i="26"/>
  <c r="I30" i="29"/>
  <c r="F30" i="30"/>
  <c r="F37" i="28"/>
  <c r="I37" i="26"/>
  <c r="I46" i="28"/>
  <c r="F46" i="29"/>
  <c r="F35" i="32"/>
  <c r="I35" i="31"/>
  <c r="I24" i="26"/>
  <c r="F24" i="28"/>
  <c r="I11" i="28"/>
  <c r="F11" i="29"/>
  <c r="I8" i="25"/>
  <c r="F8" i="26"/>
  <c r="I36" i="28"/>
  <c r="F36" i="29"/>
  <c r="G26" i="26"/>
  <c r="I26" i="25"/>
  <c r="F38" i="29"/>
  <c r="I38" i="28"/>
  <c r="I43" i="28"/>
  <c r="F43" i="29"/>
  <c r="F41" i="31"/>
  <c r="G42" i="29"/>
  <c r="I42" i="28"/>
  <c r="I31" i="29"/>
  <c r="F31" i="30"/>
  <c r="I4" i="26"/>
  <c r="F4" i="28"/>
  <c r="I22" i="26"/>
  <c r="F22" i="28"/>
  <c r="I23" i="30"/>
  <c r="F23" i="31"/>
  <c r="I29" i="26"/>
  <c r="F29" i="28"/>
  <c r="G5" i="30"/>
  <c r="I18" i="28"/>
  <c r="F18" i="29"/>
  <c r="I15" i="28"/>
  <c r="F15" i="29"/>
  <c r="I16" i="28"/>
  <c r="F16" i="29"/>
  <c r="F25" i="30"/>
  <c r="I25" i="29"/>
  <c r="G3" i="29" l="1"/>
  <c r="G48" i="35"/>
  <c r="I48" i="34"/>
  <c r="F47" i="34"/>
  <c r="I47" i="33"/>
  <c r="I45" i="26"/>
  <c r="F45" i="28"/>
  <c r="I7" i="29"/>
  <c r="F7" i="30"/>
  <c r="G41" i="29"/>
  <c r="I41" i="28"/>
  <c r="I32" i="28"/>
  <c r="F32" i="29"/>
  <c r="I33" i="28"/>
  <c r="F33" i="29"/>
  <c r="I34" i="28"/>
  <c r="F34" i="29"/>
  <c r="F35" i="33"/>
  <c r="I35" i="32"/>
  <c r="I9" i="28"/>
  <c r="F9" i="29"/>
  <c r="I4" i="28"/>
  <c r="F4" i="29"/>
  <c r="I43" i="29"/>
  <c r="F43" i="30"/>
  <c r="F37" i="29"/>
  <c r="I37" i="28"/>
  <c r="F17" i="30"/>
  <c r="I17" i="29"/>
  <c r="I5" i="29"/>
  <c r="F5" i="30"/>
  <c r="I29" i="28"/>
  <c r="F29" i="29"/>
  <c r="G39" i="28"/>
  <c r="I39" i="26"/>
  <c r="G5" i="31"/>
  <c r="I8" i="26"/>
  <c r="F8" i="28"/>
  <c r="I44" i="28"/>
  <c r="F44" i="29"/>
  <c r="I19" i="28"/>
  <c r="F19" i="29"/>
  <c r="I16" i="29"/>
  <c r="F16" i="30"/>
  <c r="I31" i="30"/>
  <c r="F31" i="31"/>
  <c r="I15" i="29"/>
  <c r="F15" i="30"/>
  <c r="I23" i="31"/>
  <c r="F23" i="32"/>
  <c r="F30" i="31"/>
  <c r="I30" i="30"/>
  <c r="I27" i="30"/>
  <c r="F27" i="31"/>
  <c r="I13" i="30"/>
  <c r="F13" i="31"/>
  <c r="I14" i="26"/>
  <c r="F14" i="28"/>
  <c r="I12" i="29"/>
  <c r="F12" i="30"/>
  <c r="F46" i="30"/>
  <c r="I46" i="29"/>
  <c r="I42" i="29"/>
  <c r="G42" i="30"/>
  <c r="I11" i="29"/>
  <c r="F11" i="30"/>
  <c r="I21" i="28"/>
  <c r="F21" i="29"/>
  <c r="I3" i="28"/>
  <c r="F3" i="29"/>
  <c r="F40" i="31"/>
  <c r="I40" i="30"/>
  <c r="I18" i="29"/>
  <c r="F18" i="30"/>
  <c r="I22" i="28"/>
  <c r="F22" i="29"/>
  <c r="G26" i="28"/>
  <c r="I26" i="26"/>
  <c r="I6" i="26"/>
  <c r="F6" i="28"/>
  <c r="I10" i="29"/>
  <c r="F10" i="30"/>
  <c r="F26" i="30"/>
  <c r="F38" i="30"/>
  <c r="I38" i="29"/>
  <c r="I20" i="30"/>
  <c r="F20" i="31"/>
  <c r="I25" i="30"/>
  <c r="F25" i="31"/>
  <c r="F41" i="32"/>
  <c r="I36" i="29"/>
  <c r="F36" i="30"/>
  <c r="I24" i="28"/>
  <c r="F24" i="29"/>
  <c r="I28" i="26"/>
  <c r="F28" i="28"/>
  <c r="G3" i="30" l="1"/>
  <c r="F47" i="35"/>
  <c r="I47" i="34"/>
  <c r="G48" i="36"/>
  <c r="I48" i="35"/>
  <c r="I45" i="28"/>
  <c r="F45" i="29"/>
  <c r="I7" i="30"/>
  <c r="F7" i="31"/>
  <c r="F32" i="30"/>
  <c r="I32" i="29"/>
  <c r="G41" i="30"/>
  <c r="I41" i="29"/>
  <c r="F34" i="30"/>
  <c r="I34" i="29"/>
  <c r="F33" i="30"/>
  <c r="I33" i="29"/>
  <c r="F23" i="33"/>
  <c r="I23" i="32"/>
  <c r="F10" i="31"/>
  <c r="I10" i="30"/>
  <c r="F41" i="33"/>
  <c r="I11" i="30"/>
  <c r="F11" i="31"/>
  <c r="I29" i="29"/>
  <c r="F29" i="30"/>
  <c r="F13" i="32"/>
  <c r="I13" i="31"/>
  <c r="G5" i="32"/>
  <c r="I8" i="28"/>
  <c r="F8" i="29"/>
  <c r="I25" i="31"/>
  <c r="F25" i="32"/>
  <c r="G26" i="29"/>
  <c r="I26" i="28"/>
  <c r="I15" i="30"/>
  <c r="F15" i="31"/>
  <c r="I4" i="29"/>
  <c r="F4" i="30"/>
  <c r="I6" i="28"/>
  <c r="F6" i="29"/>
  <c r="I3" i="29"/>
  <c r="F3" i="30"/>
  <c r="I27" i="31"/>
  <c r="F27" i="32"/>
  <c r="F19" i="30"/>
  <c r="I19" i="29"/>
  <c r="I9" i="29"/>
  <c r="F9" i="30"/>
  <c r="I20" i="31"/>
  <c r="F20" i="32"/>
  <c r="I18" i="30"/>
  <c r="F18" i="31"/>
  <c r="I46" i="30"/>
  <c r="F46" i="31"/>
  <c r="F17" i="31"/>
  <c r="I17" i="30"/>
  <c r="I31" i="31"/>
  <c r="F31" i="32"/>
  <c r="I42" i="30"/>
  <c r="G42" i="31"/>
  <c r="I5" i="30"/>
  <c r="F5" i="31"/>
  <c r="I36" i="30"/>
  <c r="F36" i="31"/>
  <c r="I28" i="28"/>
  <c r="F28" i="29"/>
  <c r="F38" i="31"/>
  <c r="I38" i="30"/>
  <c r="I21" i="29"/>
  <c r="F21" i="30"/>
  <c r="F12" i="31"/>
  <c r="I12" i="30"/>
  <c r="I44" i="29"/>
  <c r="F44" i="30"/>
  <c r="I14" i="28"/>
  <c r="F14" i="29"/>
  <c r="F43" i="31"/>
  <c r="I43" i="30"/>
  <c r="F40" i="32"/>
  <c r="I40" i="31"/>
  <c r="I16" i="30"/>
  <c r="F16" i="31"/>
  <c r="I24" i="29"/>
  <c r="F24" i="30"/>
  <c r="I22" i="29"/>
  <c r="F22" i="30"/>
  <c r="F26" i="31"/>
  <c r="I30" i="31"/>
  <c r="F30" i="32"/>
  <c r="F30" i="33" s="1"/>
  <c r="G39" i="29"/>
  <c r="I39" i="28"/>
  <c r="F37" i="30"/>
  <c r="I37" i="29"/>
  <c r="I35" i="33"/>
  <c r="F35" i="34"/>
  <c r="G3" i="31" l="1"/>
  <c r="G48" i="37"/>
  <c r="I48" i="36"/>
  <c r="F47" i="36"/>
  <c r="I47" i="35"/>
  <c r="F45" i="30"/>
  <c r="I45" i="29"/>
  <c r="G41" i="31"/>
  <c r="I41" i="30"/>
  <c r="I32" i="30"/>
  <c r="F32" i="31"/>
  <c r="F7" i="32"/>
  <c r="I7" i="31"/>
  <c r="F34" i="31"/>
  <c r="I34" i="30"/>
  <c r="F33" i="31"/>
  <c r="I33" i="30"/>
  <c r="I27" i="32"/>
  <c r="F27" i="33"/>
  <c r="F8" i="30"/>
  <c r="I8" i="29"/>
  <c r="F11" i="32"/>
  <c r="I11" i="31"/>
  <c r="I16" i="31"/>
  <c r="F16" i="32"/>
  <c r="F44" i="31"/>
  <c r="I44" i="30"/>
  <c r="G42" i="32"/>
  <c r="I42" i="31"/>
  <c r="I15" i="31"/>
  <c r="F15" i="32"/>
  <c r="F26" i="32"/>
  <c r="F28" i="30"/>
  <c r="I28" i="29"/>
  <c r="F46" i="32"/>
  <c r="I46" i="31"/>
  <c r="I3" i="30"/>
  <c r="F3" i="31"/>
  <c r="G5" i="33"/>
  <c r="F41" i="34"/>
  <c r="F17" i="32"/>
  <c r="I17" i="31"/>
  <c r="G39" i="30"/>
  <c r="I39" i="29"/>
  <c r="F40" i="33"/>
  <c r="I40" i="32"/>
  <c r="F38" i="32"/>
  <c r="I38" i="31"/>
  <c r="I30" i="33"/>
  <c r="F30" i="34"/>
  <c r="I22" i="30"/>
  <c r="F22" i="31"/>
  <c r="F36" i="32"/>
  <c r="I36" i="31"/>
  <c r="F31" i="33"/>
  <c r="I31" i="32"/>
  <c r="F19" i="31"/>
  <c r="I19" i="30"/>
  <c r="I6" i="29"/>
  <c r="F6" i="30"/>
  <c r="G26" i="30"/>
  <c r="I26" i="29"/>
  <c r="I13" i="32"/>
  <c r="F13" i="33"/>
  <c r="F10" i="32"/>
  <c r="I10" i="31"/>
  <c r="I20" i="32"/>
  <c r="F20" i="33"/>
  <c r="F37" i="31"/>
  <c r="I37" i="30"/>
  <c r="I9" i="30"/>
  <c r="F9" i="31"/>
  <c r="F43" i="32"/>
  <c r="I43" i="31"/>
  <c r="I12" i="31"/>
  <c r="F12" i="32"/>
  <c r="I18" i="31"/>
  <c r="F18" i="32"/>
  <c r="I25" i="32"/>
  <c r="F25" i="33"/>
  <c r="I29" i="30"/>
  <c r="F29" i="31"/>
  <c r="I35" i="34"/>
  <c r="F35" i="35"/>
  <c r="I24" i="30"/>
  <c r="F24" i="31"/>
  <c r="I14" i="29"/>
  <c r="F14" i="30"/>
  <c r="I21" i="30"/>
  <c r="F21" i="31"/>
  <c r="I5" i="31"/>
  <c r="F5" i="32"/>
  <c r="F4" i="31"/>
  <c r="I4" i="30"/>
  <c r="I23" i="33"/>
  <c r="F23" i="34"/>
  <c r="G3" i="32" l="1"/>
  <c r="F47" i="37"/>
  <c r="I47" i="36"/>
  <c r="G48" i="38"/>
  <c r="I48" i="37"/>
  <c r="F45" i="31"/>
  <c r="I45" i="30"/>
  <c r="I7" i="32"/>
  <c r="F7" i="33"/>
  <c r="F32" i="32"/>
  <c r="I32" i="31"/>
  <c r="G41" i="32"/>
  <c r="I41" i="31"/>
  <c r="F33" i="32"/>
  <c r="I33" i="31"/>
  <c r="F34" i="32"/>
  <c r="I34" i="31"/>
  <c r="F4" i="32"/>
  <c r="I4" i="31"/>
  <c r="F37" i="32"/>
  <c r="I37" i="31"/>
  <c r="I17" i="32"/>
  <c r="F17" i="33"/>
  <c r="F31" i="34"/>
  <c r="I31" i="33"/>
  <c r="I16" i="32"/>
  <c r="F16" i="33"/>
  <c r="G26" i="31"/>
  <c r="I26" i="30"/>
  <c r="F43" i="33"/>
  <c r="I43" i="32"/>
  <c r="I6" i="30"/>
  <c r="F6" i="31"/>
  <c r="I22" i="31"/>
  <c r="F22" i="32"/>
  <c r="F41" i="35"/>
  <c r="F11" i="33"/>
  <c r="I11" i="32"/>
  <c r="I38" i="32"/>
  <c r="F38" i="33"/>
  <c r="I29" i="31"/>
  <c r="F29" i="32"/>
  <c r="I25" i="33"/>
  <c r="F25" i="34"/>
  <c r="I28" i="30"/>
  <c r="F28" i="31"/>
  <c r="I15" i="32"/>
  <c r="F15" i="33"/>
  <c r="F24" i="32"/>
  <c r="I24" i="31"/>
  <c r="I20" i="33"/>
  <c r="F20" i="34"/>
  <c r="I36" i="32"/>
  <c r="F36" i="33"/>
  <c r="I46" i="32"/>
  <c r="F46" i="33"/>
  <c r="F5" i="33"/>
  <c r="I5" i="32"/>
  <c r="I10" i="32"/>
  <c r="F10" i="33"/>
  <c r="F30" i="35"/>
  <c r="I30" i="34"/>
  <c r="I40" i="33"/>
  <c r="F40" i="34"/>
  <c r="G5" i="34"/>
  <c r="F26" i="33"/>
  <c r="G42" i="33"/>
  <c r="I42" i="32"/>
  <c r="I8" i="30"/>
  <c r="F8" i="31"/>
  <c r="I14" i="30"/>
  <c r="F14" i="31"/>
  <c r="F23" i="35"/>
  <c r="I23" i="34"/>
  <c r="F21" i="32"/>
  <c r="I21" i="31"/>
  <c r="F35" i="36"/>
  <c r="I35" i="35"/>
  <c r="I18" i="32"/>
  <c r="F18" i="33"/>
  <c r="I9" i="31"/>
  <c r="F9" i="32"/>
  <c r="I13" i="33"/>
  <c r="F13" i="34"/>
  <c r="I19" i="31"/>
  <c r="F19" i="32"/>
  <c r="I27" i="33"/>
  <c r="F27" i="34"/>
  <c r="I12" i="32"/>
  <c r="F12" i="33"/>
  <c r="G39" i="31"/>
  <c r="I39" i="30"/>
  <c r="I3" i="31"/>
  <c r="F3" i="32"/>
  <c r="I44" i="31"/>
  <c r="F44" i="32"/>
  <c r="G3" i="33" l="1"/>
  <c r="G48" i="39"/>
  <c r="I48" i="38"/>
  <c r="F47" i="38"/>
  <c r="I47" i="37"/>
  <c r="I45" i="31"/>
  <c r="F45" i="32"/>
  <c r="G41" i="33"/>
  <c r="I41" i="32"/>
  <c r="I32" i="32"/>
  <c r="F32" i="33"/>
  <c r="F7" i="34"/>
  <c r="I7" i="33"/>
  <c r="I34" i="32"/>
  <c r="F34" i="33"/>
  <c r="F33" i="33"/>
  <c r="I33" i="32"/>
  <c r="I14" i="31"/>
  <c r="F14" i="32"/>
  <c r="F46" i="34"/>
  <c r="I46" i="33"/>
  <c r="I15" i="33"/>
  <c r="F15" i="34"/>
  <c r="I29" i="32"/>
  <c r="F29" i="33"/>
  <c r="F41" i="36"/>
  <c r="I31" i="34"/>
  <c r="F31" i="35"/>
  <c r="F35" i="37"/>
  <c r="I35" i="36"/>
  <c r="I8" i="31"/>
  <c r="F8" i="32"/>
  <c r="I40" i="34"/>
  <c r="F40" i="35"/>
  <c r="F36" i="34"/>
  <c r="I36" i="33"/>
  <c r="I28" i="31"/>
  <c r="F28" i="32"/>
  <c r="I38" i="33"/>
  <c r="F38" i="34"/>
  <c r="I22" i="32"/>
  <c r="F22" i="33"/>
  <c r="F43" i="34"/>
  <c r="I43" i="33"/>
  <c r="I13" i="34"/>
  <c r="F13" i="35"/>
  <c r="I12" i="33"/>
  <c r="F12" i="34"/>
  <c r="I21" i="32"/>
  <c r="F21" i="33"/>
  <c r="F20" i="35"/>
  <c r="I20" i="34"/>
  <c r="I25" i="34"/>
  <c r="F25" i="35"/>
  <c r="I6" i="31"/>
  <c r="F6" i="32"/>
  <c r="G26" i="32"/>
  <c r="I26" i="31"/>
  <c r="F37" i="33"/>
  <c r="I37" i="32"/>
  <c r="F26" i="34"/>
  <c r="I11" i="33"/>
  <c r="F11" i="34"/>
  <c r="I19" i="32"/>
  <c r="F19" i="33"/>
  <c r="G39" i="32"/>
  <c r="I39" i="31"/>
  <c r="F44" i="33"/>
  <c r="I44" i="32"/>
  <c r="I9" i="32"/>
  <c r="F9" i="33"/>
  <c r="G42" i="34"/>
  <c r="I42" i="33"/>
  <c r="I30" i="35"/>
  <c r="F30" i="36"/>
  <c r="F5" i="34"/>
  <c r="I5" i="33"/>
  <c r="I16" i="33"/>
  <c r="F16" i="34"/>
  <c r="I3" i="32"/>
  <c r="F3" i="33"/>
  <c r="F18" i="34"/>
  <c r="I18" i="33"/>
  <c r="I24" i="32"/>
  <c r="F24" i="33"/>
  <c r="G5" i="35"/>
  <c r="F17" i="34"/>
  <c r="I17" i="33"/>
  <c r="F27" i="35"/>
  <c r="I27" i="34"/>
  <c r="I23" i="35"/>
  <c r="F23" i="36"/>
  <c r="F10" i="34"/>
  <c r="I10" i="33"/>
  <c r="F4" i="33"/>
  <c r="I4" i="32"/>
  <c r="G3" i="34" l="1"/>
  <c r="I47" i="38"/>
  <c r="F47" i="39"/>
  <c r="G48" i="40"/>
  <c r="I48" i="39"/>
  <c r="I45" i="32"/>
  <c r="F45" i="33"/>
  <c r="I7" i="34"/>
  <c r="F7" i="35"/>
  <c r="G41" i="34"/>
  <c r="I41" i="33"/>
  <c r="F32" i="34"/>
  <c r="I32" i="33"/>
  <c r="F33" i="34"/>
  <c r="I33" i="33"/>
  <c r="F34" i="34"/>
  <c r="I34" i="33"/>
  <c r="F30" i="37"/>
  <c r="I30" i="36"/>
  <c r="G26" i="33"/>
  <c r="I26" i="32"/>
  <c r="F43" i="35"/>
  <c r="I43" i="34"/>
  <c r="F36" i="35"/>
  <c r="I36" i="34"/>
  <c r="F4" i="34"/>
  <c r="I4" i="33"/>
  <c r="F6" i="33"/>
  <c r="I6" i="32"/>
  <c r="F12" i="35"/>
  <c r="I12" i="34"/>
  <c r="I22" i="33"/>
  <c r="F22" i="34"/>
  <c r="I40" i="35"/>
  <c r="F40" i="36"/>
  <c r="F31" i="36"/>
  <c r="I31" i="35"/>
  <c r="I10" i="34"/>
  <c r="F10" i="35"/>
  <c r="I16" i="34"/>
  <c r="F16" i="35"/>
  <c r="F26" i="35"/>
  <c r="F46" i="35"/>
  <c r="I46" i="34"/>
  <c r="I23" i="36"/>
  <c r="F23" i="37"/>
  <c r="G42" i="35"/>
  <c r="I42" i="34"/>
  <c r="G39" i="33"/>
  <c r="I39" i="32"/>
  <c r="I25" i="35"/>
  <c r="F25" i="36"/>
  <c r="I38" i="34"/>
  <c r="F38" i="35"/>
  <c r="I8" i="32"/>
  <c r="F8" i="33"/>
  <c r="F41" i="37"/>
  <c r="I3" i="33"/>
  <c r="F3" i="34"/>
  <c r="F21" i="34"/>
  <c r="I21" i="33"/>
  <c r="I9" i="33"/>
  <c r="F9" i="34"/>
  <c r="F19" i="34"/>
  <c r="I19" i="33"/>
  <c r="I5" i="34"/>
  <c r="F5" i="35"/>
  <c r="F15" i="35"/>
  <c r="I15" i="34"/>
  <c r="G5" i="36"/>
  <c r="I24" i="33"/>
  <c r="F24" i="34"/>
  <c r="F27" i="36"/>
  <c r="I27" i="35"/>
  <c r="F37" i="34"/>
  <c r="I37" i="33"/>
  <c r="F13" i="36"/>
  <c r="I13" i="35"/>
  <c r="I28" i="32"/>
  <c r="F28" i="33"/>
  <c r="I29" i="33"/>
  <c r="F29" i="34"/>
  <c r="I14" i="32"/>
  <c r="F14" i="33"/>
  <c r="F17" i="35"/>
  <c r="I17" i="34"/>
  <c r="F44" i="34"/>
  <c r="I44" i="33"/>
  <c r="F18" i="35"/>
  <c r="I18" i="34"/>
  <c r="I11" i="34"/>
  <c r="F11" i="35"/>
  <c r="I20" i="35"/>
  <c r="F20" i="36"/>
  <c r="F35" i="38"/>
  <c r="I35" i="37"/>
  <c r="G3" i="35" l="1"/>
  <c r="I48" i="40"/>
  <c r="G48" i="41"/>
  <c r="I47" i="39"/>
  <c r="F47" i="40"/>
  <c r="F45" i="34"/>
  <c r="I45" i="33"/>
  <c r="F32" i="35"/>
  <c r="I32" i="34"/>
  <c r="G41" i="35"/>
  <c r="I41" i="34"/>
  <c r="F7" i="36"/>
  <c r="I7" i="35"/>
  <c r="F34" i="35"/>
  <c r="I34" i="34"/>
  <c r="I33" i="34"/>
  <c r="F33" i="35"/>
  <c r="G39" i="34"/>
  <c r="I39" i="33"/>
  <c r="F30" i="38"/>
  <c r="I30" i="37"/>
  <c r="I24" i="34"/>
  <c r="F24" i="35"/>
  <c r="I16" i="35"/>
  <c r="F16" i="36"/>
  <c r="F22" i="35"/>
  <c r="I22" i="34"/>
  <c r="F43" i="36"/>
  <c r="I43" i="35"/>
  <c r="I35" i="38"/>
  <c r="F35" i="39"/>
  <c r="F44" i="35"/>
  <c r="I44" i="34"/>
  <c r="I21" i="34"/>
  <c r="F21" i="35"/>
  <c r="G42" i="36"/>
  <c r="I42" i="35"/>
  <c r="F18" i="36"/>
  <c r="I18" i="35"/>
  <c r="F41" i="38"/>
  <c r="F3" i="35"/>
  <c r="I3" i="34"/>
  <c r="I38" i="35"/>
  <c r="F38" i="36"/>
  <c r="I23" i="37"/>
  <c r="F23" i="38"/>
  <c r="F10" i="36"/>
  <c r="I10" i="35"/>
  <c r="I4" i="34"/>
  <c r="F4" i="35"/>
  <c r="I28" i="33"/>
  <c r="F28" i="34"/>
  <c r="I20" i="36"/>
  <c r="F20" i="37"/>
  <c r="F17" i="36"/>
  <c r="I17" i="35"/>
  <c r="F11" i="36"/>
  <c r="I11" i="35"/>
  <c r="F9" i="35"/>
  <c r="I9" i="34"/>
  <c r="I25" i="36"/>
  <c r="F25" i="37"/>
  <c r="F27" i="37"/>
  <c r="I27" i="36"/>
  <c r="F26" i="36"/>
  <c r="I8" i="33"/>
  <c r="F8" i="34"/>
  <c r="I13" i="36"/>
  <c r="F13" i="37"/>
  <c r="F19" i="35"/>
  <c r="I19" i="34"/>
  <c r="G26" i="34"/>
  <c r="I26" i="33"/>
  <c r="I14" i="33"/>
  <c r="F14" i="34"/>
  <c r="F37" i="35"/>
  <c r="I37" i="34"/>
  <c r="F15" i="36"/>
  <c r="I15" i="35"/>
  <c r="F46" i="36"/>
  <c r="I46" i="35"/>
  <c r="I31" i="36"/>
  <c r="F31" i="37"/>
  <c r="F6" i="34"/>
  <c r="I6" i="33"/>
  <c r="G5" i="37"/>
  <c r="F12" i="36"/>
  <c r="I12" i="35"/>
  <c r="I29" i="34"/>
  <c r="F29" i="35"/>
  <c r="F5" i="36"/>
  <c r="I5" i="35"/>
  <c r="F40" i="37"/>
  <c r="I40" i="36"/>
  <c r="F36" i="36"/>
  <c r="I36" i="35"/>
  <c r="G3" i="36" l="1"/>
  <c r="F47" i="41"/>
  <c r="I47" i="40"/>
  <c r="I48" i="41"/>
  <c r="F45" i="35"/>
  <c r="I45" i="34"/>
  <c r="I7" i="36"/>
  <c r="F7" i="37"/>
  <c r="G41" i="36"/>
  <c r="I41" i="35"/>
  <c r="I32" i="35"/>
  <c r="F32" i="36"/>
  <c r="F33" i="36"/>
  <c r="I33" i="35"/>
  <c r="I34" i="35"/>
  <c r="F34" i="36"/>
  <c r="F8" i="35"/>
  <c r="I8" i="34"/>
  <c r="F23" i="39"/>
  <c r="I23" i="38"/>
  <c r="F26" i="37"/>
  <c r="F38" i="37"/>
  <c r="I38" i="36"/>
  <c r="F18" i="37"/>
  <c r="I18" i="36"/>
  <c r="F44" i="36"/>
  <c r="I44" i="35"/>
  <c r="F36" i="37"/>
  <c r="I36" i="36"/>
  <c r="F25" i="38"/>
  <c r="I25" i="37"/>
  <c r="F16" i="37"/>
  <c r="I16" i="36"/>
  <c r="F40" i="38"/>
  <c r="I40" i="37"/>
  <c r="G5" i="38"/>
  <c r="G26" i="35"/>
  <c r="I26" i="34"/>
  <c r="I17" i="36"/>
  <c r="F17" i="37"/>
  <c r="F35" i="40"/>
  <c r="I35" i="39"/>
  <c r="F24" i="36"/>
  <c r="I24" i="35"/>
  <c r="I15" i="36"/>
  <c r="F15" i="37"/>
  <c r="F20" i="38"/>
  <c r="I20" i="37"/>
  <c r="G42" i="37"/>
  <c r="I42" i="36"/>
  <c r="F31" i="38"/>
  <c r="I31" i="37"/>
  <c r="I19" i="35"/>
  <c r="F19" i="36"/>
  <c r="I27" i="37"/>
  <c r="F27" i="38"/>
  <c r="F21" i="36"/>
  <c r="I21" i="35"/>
  <c r="F46" i="37"/>
  <c r="I46" i="36"/>
  <c r="I39" i="34"/>
  <c r="G39" i="35"/>
  <c r="F5" i="37"/>
  <c r="I5" i="36"/>
  <c r="F9" i="36"/>
  <c r="I9" i="35"/>
  <c r="I4" i="35"/>
  <c r="F4" i="36"/>
  <c r="F37" i="36"/>
  <c r="I37" i="35"/>
  <c r="I13" i="37"/>
  <c r="F13" i="38"/>
  <c r="I11" i="36"/>
  <c r="F11" i="37"/>
  <c r="F28" i="35"/>
  <c r="I28" i="34"/>
  <c r="I3" i="35"/>
  <c r="F3" i="36"/>
  <c r="F43" i="37"/>
  <c r="I43" i="36"/>
  <c r="I30" i="38"/>
  <c r="F30" i="39"/>
  <c r="I12" i="36"/>
  <c r="F12" i="37"/>
  <c r="F22" i="36"/>
  <c r="I22" i="35"/>
  <c r="F6" i="35"/>
  <c r="I6" i="34"/>
  <c r="F29" i="36"/>
  <c r="I29" i="35"/>
  <c r="I14" i="34"/>
  <c r="F14" i="35"/>
  <c r="F10" i="37"/>
  <c r="I10" i="36"/>
  <c r="F41" i="39"/>
  <c r="G3" i="37" l="1"/>
  <c r="I47" i="41"/>
  <c r="F45" i="36"/>
  <c r="I45" i="35"/>
  <c r="F32" i="37"/>
  <c r="I32" i="36"/>
  <c r="G41" i="37"/>
  <c r="I41" i="36"/>
  <c r="F7" i="38"/>
  <c r="I7" i="37"/>
  <c r="F34" i="37"/>
  <c r="I34" i="36"/>
  <c r="I33" i="36"/>
  <c r="F33" i="37"/>
  <c r="F38" i="38"/>
  <c r="I38" i="37"/>
  <c r="I28" i="35"/>
  <c r="F28" i="36"/>
  <c r="I11" i="37"/>
  <c r="F11" i="38"/>
  <c r="I36" i="37"/>
  <c r="F36" i="38"/>
  <c r="F41" i="40"/>
  <c r="F4" i="37"/>
  <c r="I4" i="36"/>
  <c r="F20" i="39"/>
  <c r="I20" i="38"/>
  <c r="F35" i="41"/>
  <c r="I35" i="40"/>
  <c r="F19" i="37"/>
  <c r="I19" i="36"/>
  <c r="F15" i="38"/>
  <c r="I15" i="37"/>
  <c r="F17" i="38"/>
  <c r="I17" i="37"/>
  <c r="G5" i="39"/>
  <c r="F10" i="38"/>
  <c r="I10" i="37"/>
  <c r="F9" i="37"/>
  <c r="I9" i="36"/>
  <c r="I46" i="37"/>
  <c r="F46" i="38"/>
  <c r="F40" i="39"/>
  <c r="I40" i="38"/>
  <c r="I8" i="35"/>
  <c r="F8" i="36"/>
  <c r="F6" i="36"/>
  <c r="I6" i="35"/>
  <c r="I43" i="37"/>
  <c r="F43" i="38"/>
  <c r="F13" i="39"/>
  <c r="I13" i="38"/>
  <c r="I31" i="38"/>
  <c r="F31" i="39"/>
  <c r="F44" i="37"/>
  <c r="I44" i="36"/>
  <c r="F26" i="38"/>
  <c r="F30" i="40"/>
  <c r="I30" i="39"/>
  <c r="I5" i="37"/>
  <c r="F5" i="38"/>
  <c r="G26" i="36"/>
  <c r="I26" i="35"/>
  <c r="I14" i="35"/>
  <c r="F14" i="36"/>
  <c r="I22" i="36"/>
  <c r="F22" i="37"/>
  <c r="G39" i="36"/>
  <c r="I39" i="35"/>
  <c r="G42" i="38"/>
  <c r="I42" i="37"/>
  <c r="F24" i="37"/>
  <c r="I24" i="36"/>
  <c r="I18" i="37"/>
  <c r="F18" i="38"/>
  <c r="I23" i="39"/>
  <c r="F23" i="40"/>
  <c r="F29" i="37"/>
  <c r="I29" i="36"/>
  <c r="I3" i="36"/>
  <c r="F3" i="37"/>
  <c r="F21" i="37"/>
  <c r="I21" i="36"/>
  <c r="F16" i="38"/>
  <c r="I16" i="37"/>
  <c r="F12" i="38"/>
  <c r="I12" i="37"/>
  <c r="I37" i="36"/>
  <c r="F37" i="37"/>
  <c r="F27" i="39"/>
  <c r="I27" i="38"/>
  <c r="I25" i="38"/>
  <c r="F25" i="39"/>
  <c r="J47" i="13" l="1"/>
  <c r="G3" i="38"/>
  <c r="F45" i="37"/>
  <c r="I45" i="36"/>
  <c r="F7" i="39"/>
  <c r="I7" i="38"/>
  <c r="G41" i="38"/>
  <c r="I41" i="37"/>
  <c r="F32" i="38"/>
  <c r="I32" i="37"/>
  <c r="I33" i="37"/>
  <c r="F33" i="38"/>
  <c r="F34" i="38"/>
  <c r="I34" i="37"/>
  <c r="F5" i="39"/>
  <c r="I5" i="38"/>
  <c r="I22" i="37"/>
  <c r="F22" i="38"/>
  <c r="I6" i="36"/>
  <c r="F6" i="37"/>
  <c r="I9" i="37"/>
  <c r="F9" i="38"/>
  <c r="F15" i="39"/>
  <c r="I15" i="38"/>
  <c r="F4" i="38"/>
  <c r="I4" i="37"/>
  <c r="G39" i="37"/>
  <c r="I39" i="36"/>
  <c r="I38" i="38"/>
  <c r="F38" i="39"/>
  <c r="I18" i="38"/>
  <c r="F18" i="39"/>
  <c r="I11" i="38"/>
  <c r="F11" i="39"/>
  <c r="I31" i="39"/>
  <c r="F31" i="40"/>
  <c r="I8" i="36"/>
  <c r="F8" i="37"/>
  <c r="I44" i="37"/>
  <c r="F44" i="38"/>
  <c r="I20" i="39"/>
  <c r="F20" i="40"/>
  <c r="I12" i="38"/>
  <c r="F12" i="39"/>
  <c r="I24" i="37"/>
  <c r="F24" i="38"/>
  <c r="I19" i="37"/>
  <c r="F19" i="38"/>
  <c r="I16" i="38"/>
  <c r="F16" i="39"/>
  <c r="F26" i="39"/>
  <c r="I28" i="36"/>
  <c r="F28" i="37"/>
  <c r="I3" i="37"/>
  <c r="F3" i="38"/>
  <c r="I30" i="40"/>
  <c r="F30" i="41"/>
  <c r="I10" i="38"/>
  <c r="F10" i="39"/>
  <c r="F41" i="41"/>
  <c r="F37" i="38"/>
  <c r="I37" i="37"/>
  <c r="I29" i="37"/>
  <c r="F29" i="38"/>
  <c r="G42" i="39"/>
  <c r="I42" i="38"/>
  <c r="I13" i="39"/>
  <c r="F13" i="40"/>
  <c r="F40" i="40"/>
  <c r="I40" i="39"/>
  <c r="G5" i="40"/>
  <c r="I35" i="41"/>
  <c r="G26" i="37"/>
  <c r="I26" i="36"/>
  <c r="F17" i="39"/>
  <c r="I17" i="38"/>
  <c r="I27" i="39"/>
  <c r="F27" i="40"/>
  <c r="F14" i="37"/>
  <c r="I14" i="36"/>
  <c r="F25" i="40"/>
  <c r="I25" i="39"/>
  <c r="F21" i="38"/>
  <c r="I21" i="37"/>
  <c r="I23" i="40"/>
  <c r="F23" i="41"/>
  <c r="I43" i="38"/>
  <c r="F43" i="39"/>
  <c r="I46" i="38"/>
  <c r="F46" i="39"/>
  <c r="F36" i="39"/>
  <c r="I36" i="38"/>
  <c r="G3" i="39" l="1"/>
  <c r="F45" i="38"/>
  <c r="I45" i="37"/>
  <c r="F32" i="39"/>
  <c r="I32" i="38"/>
  <c r="G41" i="39"/>
  <c r="I41" i="38"/>
  <c r="F7" i="40"/>
  <c r="I7" i="39"/>
  <c r="F33" i="39"/>
  <c r="I33" i="38"/>
  <c r="F34" i="39"/>
  <c r="I34" i="38"/>
  <c r="I36" i="39"/>
  <c r="F36" i="40"/>
  <c r="G42" i="40"/>
  <c r="I42" i="39"/>
  <c r="F22" i="39"/>
  <c r="I22" i="38"/>
  <c r="I30" i="41"/>
  <c r="I15" i="39"/>
  <c r="F15" i="40"/>
  <c r="I25" i="40"/>
  <c r="F25" i="41"/>
  <c r="G5" i="41"/>
  <c r="F26" i="40"/>
  <c r="F12" i="40"/>
  <c r="I12" i="39"/>
  <c r="I8" i="37"/>
  <c r="F8" i="38"/>
  <c r="F38" i="40"/>
  <c r="I38" i="39"/>
  <c r="I9" i="38"/>
  <c r="F9" i="39"/>
  <c r="F43" i="40"/>
  <c r="I43" i="39"/>
  <c r="F28" i="38"/>
  <c r="I28" i="37"/>
  <c r="F18" i="40"/>
  <c r="I18" i="39"/>
  <c r="F46" i="40"/>
  <c r="I46" i="39"/>
  <c r="I29" i="38"/>
  <c r="F29" i="39"/>
  <c r="G26" i="38"/>
  <c r="I26" i="37"/>
  <c r="F31" i="41"/>
  <c r="I31" i="40"/>
  <c r="F27" i="41"/>
  <c r="I27" i="40"/>
  <c r="I13" i="40"/>
  <c r="F13" i="41"/>
  <c r="J41" i="13"/>
  <c r="G39" i="38"/>
  <c r="I39" i="37"/>
  <c r="I21" i="38"/>
  <c r="F21" i="39"/>
  <c r="F14" i="38"/>
  <c r="I14" i="37"/>
  <c r="F40" i="41"/>
  <c r="I40" i="40"/>
  <c r="I16" i="39"/>
  <c r="F16" i="40"/>
  <c r="F6" i="38"/>
  <c r="I6" i="37"/>
  <c r="I23" i="41"/>
  <c r="I3" i="38"/>
  <c r="F3" i="39"/>
  <c r="I19" i="38"/>
  <c r="F19" i="39"/>
  <c r="F44" i="39"/>
  <c r="I44" i="38"/>
  <c r="F11" i="40"/>
  <c r="I11" i="39"/>
  <c r="I24" i="38"/>
  <c r="F24" i="39"/>
  <c r="I5" i="39"/>
  <c r="F5" i="40"/>
  <c r="F17" i="40"/>
  <c r="I17" i="39"/>
  <c r="I37" i="38"/>
  <c r="F37" i="39"/>
  <c r="I20" i="40"/>
  <c r="F20" i="41"/>
  <c r="F10" i="40"/>
  <c r="I10" i="39"/>
  <c r="I4" i="38"/>
  <c r="F4" i="39"/>
  <c r="J35" i="13" l="1"/>
  <c r="I35" i="13"/>
  <c r="G3" i="40"/>
  <c r="I45" i="38"/>
  <c r="F45" i="39"/>
  <c r="F32" i="40"/>
  <c r="I32" i="39"/>
  <c r="F7" i="41"/>
  <c r="I7" i="40"/>
  <c r="G41" i="40"/>
  <c r="I41" i="39"/>
  <c r="F33" i="40"/>
  <c r="I33" i="39"/>
  <c r="I34" i="39"/>
  <c r="F34" i="40"/>
  <c r="I21" i="39"/>
  <c r="F21" i="40"/>
  <c r="G26" i="39"/>
  <c r="I26" i="38"/>
  <c r="I28" i="38"/>
  <c r="F28" i="39"/>
  <c r="F38" i="41"/>
  <c r="I38" i="40"/>
  <c r="I22" i="39"/>
  <c r="F22" i="40"/>
  <c r="I6" i="38"/>
  <c r="F6" i="39"/>
  <c r="I27" i="41"/>
  <c r="I29" i="39"/>
  <c r="F29" i="40"/>
  <c r="I8" i="38"/>
  <c r="F8" i="39"/>
  <c r="I25" i="41"/>
  <c r="I20" i="41"/>
  <c r="I19" i="39"/>
  <c r="F19" i="40"/>
  <c r="I3" i="39"/>
  <c r="F3" i="40"/>
  <c r="I16" i="40"/>
  <c r="F16" i="41"/>
  <c r="G39" i="39"/>
  <c r="I39" i="38"/>
  <c r="I31" i="41"/>
  <c r="F15" i="41"/>
  <c r="I15" i="40"/>
  <c r="F24" i="40"/>
  <c r="I24" i="39"/>
  <c r="F14" i="39"/>
  <c r="I14" i="38"/>
  <c r="F17" i="41"/>
  <c r="I17" i="40"/>
  <c r="F11" i="41"/>
  <c r="I11" i="40"/>
  <c r="F46" i="41"/>
  <c r="I46" i="40"/>
  <c r="F43" i="41"/>
  <c r="I43" i="40"/>
  <c r="F12" i="41"/>
  <c r="I12" i="40"/>
  <c r="G42" i="41"/>
  <c r="I42" i="40"/>
  <c r="F37" i="40"/>
  <c r="I37" i="39"/>
  <c r="F4" i="40"/>
  <c r="I4" i="39"/>
  <c r="F5" i="41"/>
  <c r="I5" i="40"/>
  <c r="I40" i="41"/>
  <c r="I9" i="39"/>
  <c r="F9" i="40"/>
  <c r="I36" i="40"/>
  <c r="F36" i="41"/>
  <c r="I10" i="40"/>
  <c r="F10" i="41"/>
  <c r="I44" i="39"/>
  <c r="F44" i="40"/>
  <c r="I13" i="41"/>
  <c r="I18" i="40"/>
  <c r="F18" i="41"/>
  <c r="F26" i="41"/>
  <c r="J30" i="13" l="1"/>
  <c r="I30" i="13"/>
  <c r="J23" i="13"/>
  <c r="I23" i="13"/>
  <c r="G3" i="41"/>
  <c r="F45" i="40"/>
  <c r="I45" i="39"/>
  <c r="G41" i="41"/>
  <c r="I41" i="40"/>
  <c r="I7" i="41"/>
  <c r="I32" i="40"/>
  <c r="F32" i="41"/>
  <c r="I34" i="40"/>
  <c r="F34" i="41"/>
  <c r="I33" i="40"/>
  <c r="F33" i="41"/>
  <c r="F28" i="40"/>
  <c r="I28" i="39"/>
  <c r="J26" i="13"/>
  <c r="I10" i="41"/>
  <c r="I42" i="41"/>
  <c r="I6" i="39"/>
  <c r="F6" i="40"/>
  <c r="I5" i="41"/>
  <c r="I12" i="41"/>
  <c r="I24" i="40"/>
  <c r="F24" i="41"/>
  <c r="F22" i="41"/>
  <c r="I22" i="40"/>
  <c r="F8" i="40"/>
  <c r="I8" i="39"/>
  <c r="I16" i="41"/>
  <c r="G39" i="40"/>
  <c r="I39" i="39"/>
  <c r="I18" i="41"/>
  <c r="I36" i="41"/>
  <c r="I4" i="40"/>
  <c r="F4" i="41"/>
  <c r="I43" i="41"/>
  <c r="I11" i="41"/>
  <c r="I15" i="41"/>
  <c r="I29" i="40"/>
  <c r="F29" i="41"/>
  <c r="G26" i="40"/>
  <c r="I26" i="39"/>
  <c r="F19" i="41"/>
  <c r="I19" i="40"/>
  <c r="I9" i="40"/>
  <c r="F9" i="41"/>
  <c r="I21" i="40"/>
  <c r="F21" i="41"/>
  <c r="F14" i="40"/>
  <c r="I14" i="39"/>
  <c r="F37" i="41"/>
  <c r="I37" i="40"/>
  <c r="I46" i="41"/>
  <c r="I17" i="41"/>
  <c r="F3" i="41"/>
  <c r="I3" i="40"/>
  <c r="F44" i="41"/>
  <c r="I44" i="40"/>
  <c r="I38" i="41"/>
  <c r="J13" i="13" l="1"/>
  <c r="I13" i="13"/>
  <c r="J25" i="13"/>
  <c r="I25" i="13"/>
  <c r="J5" i="13"/>
  <c r="J20" i="13"/>
  <c r="I20" i="13"/>
  <c r="J40" i="13"/>
  <c r="I40" i="13"/>
  <c r="J27" i="13"/>
  <c r="I27" i="13"/>
  <c r="J31" i="13"/>
  <c r="I31" i="13"/>
  <c r="I45" i="40"/>
  <c r="F45" i="41"/>
  <c r="I41" i="41"/>
  <c r="I32" i="41"/>
  <c r="I33" i="41"/>
  <c r="I34" i="41"/>
  <c r="I24" i="41"/>
  <c r="I5" i="13"/>
  <c r="K5" i="13"/>
  <c r="G26" i="41"/>
  <c r="I26" i="40"/>
  <c r="G39" i="41"/>
  <c r="I39" i="40"/>
  <c r="F28" i="41"/>
  <c r="I28" i="40"/>
  <c r="I29" i="41"/>
  <c r="I4" i="41"/>
  <c r="I44" i="41"/>
  <c r="I9" i="41"/>
  <c r="I22" i="41"/>
  <c r="I37" i="41"/>
  <c r="I3" i="41"/>
  <c r="I14" i="40"/>
  <c r="F14" i="41"/>
  <c r="I8" i="40"/>
  <c r="F8" i="41"/>
  <c r="I21" i="41"/>
  <c r="I19" i="41"/>
  <c r="F6" i="41"/>
  <c r="I6" i="40"/>
  <c r="J7" i="13" l="1"/>
  <c r="I7" i="13"/>
  <c r="J16" i="13"/>
  <c r="I16" i="13"/>
  <c r="J38" i="13"/>
  <c r="I38" i="13"/>
  <c r="J15" i="13"/>
  <c r="I15" i="13"/>
  <c r="J17" i="13"/>
  <c r="I17" i="13"/>
  <c r="J36" i="13"/>
  <c r="I36" i="13"/>
  <c r="J12" i="13"/>
  <c r="I12" i="13"/>
  <c r="J3" i="13"/>
  <c r="J11" i="13"/>
  <c r="I11" i="13"/>
  <c r="J10" i="13"/>
  <c r="I10" i="13"/>
  <c r="J18" i="13"/>
  <c r="I18" i="13"/>
  <c r="J46" i="13"/>
  <c r="I46" i="13"/>
  <c r="J43" i="13"/>
  <c r="I43" i="13"/>
  <c r="I45" i="41"/>
  <c r="I26" i="41"/>
  <c r="I28" i="41"/>
  <c r="I14" i="41"/>
  <c r="K42" i="13"/>
  <c r="I42" i="13"/>
  <c r="I8" i="41"/>
  <c r="I6" i="41"/>
  <c r="I39" i="41"/>
  <c r="J37" i="13" l="1"/>
  <c r="I37" i="13"/>
  <c r="J32" i="13"/>
  <c r="I32" i="13"/>
  <c r="J34" i="13"/>
  <c r="I34" i="13"/>
  <c r="J44" i="13"/>
  <c r="I44" i="13"/>
  <c r="J33" i="13"/>
  <c r="I33" i="13"/>
  <c r="J24" i="13"/>
  <c r="I24" i="13"/>
  <c r="J22" i="13"/>
  <c r="I22" i="13"/>
  <c r="J21" i="13"/>
  <c r="I21" i="13"/>
  <c r="J9" i="13"/>
  <c r="I9" i="13"/>
  <c r="J4" i="13"/>
  <c r="I4" i="13"/>
  <c r="J19" i="13"/>
  <c r="I19" i="13"/>
  <c r="J29" i="13"/>
  <c r="I29" i="13"/>
  <c r="K3" i="13"/>
  <c r="I3" i="13"/>
  <c r="K41" i="13"/>
  <c r="I41" i="13"/>
  <c r="J28" i="13" l="1"/>
  <c r="I28" i="13"/>
  <c r="J45" i="13"/>
  <c r="I45" i="13"/>
  <c r="J14" i="13"/>
  <c r="I14" i="13"/>
  <c r="J6" i="13"/>
  <c r="I6" i="13"/>
  <c r="J8" i="13"/>
  <c r="I8" i="13"/>
  <c r="K26" i="13"/>
  <c r="I26" i="13"/>
  <c r="K39" i="13"/>
  <c r="I39" i="13"/>
  <c r="I47" i="13" l="1"/>
  <c r="K47" i="13"/>
  <c r="K48" i="13"/>
  <c r="I48" i="13"/>
</calcChain>
</file>

<file path=xl/sharedStrings.xml><?xml version="1.0" encoding="utf-8"?>
<sst xmlns="http://schemas.openxmlformats.org/spreadsheetml/2006/main" count="665" uniqueCount="236">
  <si>
    <t>Carrier</t>
  </si>
  <si>
    <t>IP</t>
  </si>
  <si>
    <t>Carrier Code</t>
  </si>
  <si>
    <t>Company Panel</t>
  </si>
  <si>
    <t>MTD Company</t>
  </si>
  <si>
    <t>Our Panel</t>
  </si>
  <si>
    <t>MTD Panel</t>
  </si>
  <si>
    <t>Difference</t>
  </si>
  <si>
    <t>MTD Difference</t>
  </si>
  <si>
    <t>Home</t>
  </si>
  <si>
    <t>Total (Mins)</t>
  </si>
  <si>
    <t>Our panel</t>
  </si>
  <si>
    <t>Daily</t>
  </si>
  <si>
    <t xml:space="preserve">Weekly </t>
  </si>
  <si>
    <t xml:space="preserve">Monthly </t>
  </si>
  <si>
    <t>MTD Company2</t>
  </si>
  <si>
    <t>←</t>
  </si>
  <si>
    <t>→</t>
  </si>
  <si>
    <t>Difference Company</t>
  </si>
  <si>
    <t>Difference Panel</t>
  </si>
  <si>
    <t>Daily2</t>
  </si>
  <si>
    <t>MTD Minutes</t>
  </si>
  <si>
    <t>Total Weekly</t>
  </si>
  <si>
    <t>Total Monthly</t>
  </si>
  <si>
    <t>Company</t>
  </si>
  <si>
    <t>Panel</t>
  </si>
  <si>
    <t>Company2</t>
  </si>
  <si>
    <t>Panel2</t>
  </si>
  <si>
    <t>AV</t>
  </si>
  <si>
    <t>Total</t>
  </si>
  <si>
    <t>V</t>
  </si>
  <si>
    <t>ST</t>
  </si>
  <si>
    <t>NA</t>
  </si>
  <si>
    <t>CL</t>
  </si>
  <si>
    <t>TOTAL</t>
  </si>
  <si>
    <t>SP</t>
  </si>
  <si>
    <t>8.12.34.56/48.163.17.845/60.502.86.203/191.45.28.14</t>
  </si>
  <si>
    <t>123.45.67.89/123.45.67.93/203.24.101.65</t>
  </si>
  <si>
    <t>204.56.78.100/204.56.57.169/52.94.101.12</t>
  </si>
  <si>
    <t>35.118.22.45/137.63.112.25</t>
  </si>
  <si>
    <t>66.89.101.10/66.89.101.19/66.89.101.23/66.89.101.45/66.89.101.81/85.21.34.99</t>
  </si>
  <si>
    <t>100.200.150.3/100.200.165.38/41.102.90.78</t>
  </si>
  <si>
    <t>52.28.191.25/52.28.191.38/52.28.191.24/61.110.23.45</t>
  </si>
  <si>
    <t>77.88.99.21/77.88.99.88/77.88.99.94/110.56.211.7</t>
  </si>
  <si>
    <t>198.51.100.130/31.725.16.608/66.59.61.503/167.34.122.90</t>
  </si>
  <si>
    <t>141.15.210.67/141.15.42.82/179.62.211.4</t>
  </si>
  <si>
    <t>12.34.56.78/12.34.56.128/200.180.245.18</t>
  </si>
  <si>
    <t>59.144.223.88/55.39.99.60</t>
  </si>
  <si>
    <t>175.45.112.100/25.851.31.153/39.80.220.100</t>
  </si>
  <si>
    <t>150.13.75.190/16.160.89.512/72.11.97.34</t>
  </si>
  <si>
    <t>203.0.113.44/188.17.56.210</t>
  </si>
  <si>
    <t>112.54.89.168/112.54.89.138</t>
  </si>
  <si>
    <t>78.34.90.24/328.56.122.44/142.150.75.22</t>
  </si>
  <si>
    <t>205.60.34.150</t>
  </si>
  <si>
    <t>54.32.11.90/27.758.27.201/125.150.58.20</t>
  </si>
  <si>
    <t>212.100.25.78/212.100.25.87</t>
  </si>
  <si>
    <t>198.204.100.12/198.204.100.34/198.204.100.51</t>
  </si>
  <si>
    <t>15.150.200.33/119.82.200.100</t>
  </si>
  <si>
    <t>84.13.76.190/90.945.80.11/198.160.234.5</t>
  </si>
  <si>
    <t>120.45.12.25/85.739.221.80/85.739.221.93</t>
  </si>
  <si>
    <t>176.98.54.112/60.110.154.91/60.110.155.162</t>
  </si>
  <si>
    <t>67.102.200.9/81.905.48.847/143.235.100.34</t>
  </si>
  <si>
    <t>99.22.211.100/71.54.85.344/71.54.85.218</t>
  </si>
  <si>
    <t>203.0.113.56/195.56.101.10</t>
  </si>
  <si>
    <t>33.44.55.66/33.44.55.84/33.44.55.122/214.68.90.122</t>
  </si>
  <si>
    <t>199.123.87.45/199.123.34.52/77.189.22.56</t>
  </si>
  <si>
    <t>55.66.77.88/84.126.79.28/152.233.45.11</t>
  </si>
  <si>
    <t>230.111.44.56</t>
  </si>
  <si>
    <t>213.189.94.5/213.189.94.7/111.180.64.222</t>
  </si>
  <si>
    <t>14.123.45.67/168.251.90.15</t>
  </si>
  <si>
    <t>200.111.78.9/200.111.236.62/200.111.823.89/137.79.48.56</t>
  </si>
  <si>
    <t>88.99.233.56/54.71.99.234</t>
  </si>
  <si>
    <t>62.45.100.31/62.45.100.15/62.45.100.65/211.95.102.6</t>
  </si>
  <si>
    <t>179.250.91.8/29.540.67.457/94.25.34.78/183.144.27.18</t>
  </si>
  <si>
    <t>156.34.123.11/156.34.123.25/156.34.123.62/92.44.233.110</t>
  </si>
  <si>
    <t>134.77.22.4/23.97.150.8</t>
  </si>
  <si>
    <t>202.54.210.88/12.331.94.73/64.19.28.175</t>
  </si>
  <si>
    <t>51.233.21.76/82.115.35.60/82.115.35.85</t>
  </si>
  <si>
    <t>210.150.12.45/84.50.212.66/135.113.88.9</t>
  </si>
  <si>
    <t>170.199.20.87/13.693.39.280/78.30.123.47</t>
  </si>
  <si>
    <t>182.67.99.120/80.518.230.410/26.847.95.107/188.12.67.92</t>
  </si>
  <si>
    <t>198.51.100.72/69.887.74.738/39.153.110.645</t>
  </si>
  <si>
    <t>Blaze</t>
  </si>
  <si>
    <t>Titan</t>
  </si>
  <si>
    <t>Hollow</t>
  </si>
  <si>
    <t>Prism</t>
  </si>
  <si>
    <t>Echo</t>
  </si>
  <si>
    <t>Strike</t>
  </si>
  <si>
    <t>Blunt</t>
  </si>
  <si>
    <t>Law</t>
  </si>
  <si>
    <t>Pulse</t>
  </si>
  <si>
    <t>Phantom</t>
  </si>
  <si>
    <t>Dragon</t>
  </si>
  <si>
    <t>Tempest</t>
  </si>
  <si>
    <t>Shadow</t>
  </si>
  <si>
    <t>Cyclone</t>
  </si>
  <si>
    <t>Reaver</t>
  </si>
  <si>
    <t>Forge</t>
  </si>
  <si>
    <t>Ember</t>
  </si>
  <si>
    <t>Specter</t>
  </si>
  <si>
    <t>Throne</t>
  </si>
  <si>
    <t>Arcane</t>
  </si>
  <si>
    <t>Glitch</t>
  </si>
  <si>
    <t>Nitro</t>
  </si>
  <si>
    <t>Drip</t>
  </si>
  <si>
    <t>Glide</t>
  </si>
  <si>
    <t>Orbit</t>
  </si>
  <si>
    <t>Thunder</t>
  </si>
  <si>
    <t>Glimmer</t>
  </si>
  <si>
    <t>Fragment</t>
  </si>
  <si>
    <t>Dusk</t>
  </si>
  <si>
    <t>Breeze</t>
  </si>
  <si>
    <t>Clutch</t>
  </si>
  <si>
    <t>Haze</t>
  </si>
  <si>
    <t>Vault</t>
  </si>
  <si>
    <t>Scatter</t>
  </si>
  <si>
    <t>Hammer</t>
  </si>
  <si>
    <t>Smudge</t>
  </si>
  <si>
    <t>Quirk</t>
  </si>
  <si>
    <t>Vortex</t>
  </si>
  <si>
    <t>Void</t>
  </si>
  <si>
    <t>Midnight</t>
  </si>
  <si>
    <t>Autumn</t>
  </si>
  <si>
    <t>Mystic</t>
  </si>
  <si>
    <t>Clover</t>
  </si>
  <si>
    <t>Hunter</t>
  </si>
  <si>
    <t>Invaded</t>
  </si>
  <si>
    <t>Delusion</t>
  </si>
  <si>
    <t>BZ</t>
  </si>
  <si>
    <t>TI</t>
  </si>
  <si>
    <t>HO</t>
  </si>
  <si>
    <t>PS</t>
  </si>
  <si>
    <t>EC</t>
  </si>
  <si>
    <t>BL</t>
  </si>
  <si>
    <t>LA</t>
  </si>
  <si>
    <t>PU</t>
  </si>
  <si>
    <t>PH</t>
  </si>
  <si>
    <t>DG</t>
  </si>
  <si>
    <t>TE</t>
  </si>
  <si>
    <t>SH</t>
  </si>
  <si>
    <t>CY</t>
  </si>
  <si>
    <t>RE</t>
  </si>
  <si>
    <t>FO</t>
  </si>
  <si>
    <t>EM</t>
  </si>
  <si>
    <t>TH</t>
  </si>
  <si>
    <t>AR</t>
  </si>
  <si>
    <t>GL</t>
  </si>
  <si>
    <t>NI</t>
  </si>
  <si>
    <t>DR</t>
  </si>
  <si>
    <t>GI</t>
  </si>
  <si>
    <t>OR</t>
  </si>
  <si>
    <t>TU</t>
  </si>
  <si>
    <t>GM</t>
  </si>
  <si>
    <t>FR</t>
  </si>
  <si>
    <t>DK</t>
  </si>
  <si>
    <t>BR</t>
  </si>
  <si>
    <t>HZ</t>
  </si>
  <si>
    <t>VA</t>
  </si>
  <si>
    <t>SC</t>
  </si>
  <si>
    <t>HA</t>
  </si>
  <si>
    <t>SM</t>
  </si>
  <si>
    <t>QU</t>
  </si>
  <si>
    <t>VT</t>
  </si>
  <si>
    <t>VO</t>
  </si>
  <si>
    <t>MI</t>
  </si>
  <si>
    <t>AU</t>
  </si>
  <si>
    <t>MY</t>
  </si>
  <si>
    <t>CO</t>
  </si>
  <si>
    <t>HU</t>
  </si>
  <si>
    <t>ID</t>
  </si>
  <si>
    <t>DU</t>
  </si>
  <si>
    <t>1st April 2025</t>
  </si>
  <si>
    <t>17th April 2025</t>
  </si>
  <si>
    <t>1st-30th April 2025</t>
  </si>
  <si>
    <t>2nd April 2025</t>
  </si>
  <si>
    <t>18th April 2025</t>
  </si>
  <si>
    <t>3rd April 2025</t>
  </si>
  <si>
    <t>19th April 2025</t>
  </si>
  <si>
    <t>4th April 2025</t>
  </si>
  <si>
    <t>20th April 2025</t>
  </si>
  <si>
    <t>5th April 2025</t>
  </si>
  <si>
    <t>21st April 2025</t>
  </si>
  <si>
    <t>6th April 2025</t>
  </si>
  <si>
    <t>22nd April 2025</t>
  </si>
  <si>
    <t>7th April 2025</t>
  </si>
  <si>
    <t>23rd April 2025</t>
  </si>
  <si>
    <t>8th April 2025</t>
  </si>
  <si>
    <t>24th April 2025</t>
  </si>
  <si>
    <t>9th April 2025</t>
  </si>
  <si>
    <t>25th April 2025</t>
  </si>
  <si>
    <t>10th April 2025</t>
  </si>
  <si>
    <t>26th April 2025</t>
  </si>
  <si>
    <t>11th April 2025</t>
  </si>
  <si>
    <t>27th April 2025</t>
  </si>
  <si>
    <t>12th April 2025</t>
  </si>
  <si>
    <t>28th April 2025</t>
  </si>
  <si>
    <t>13th April 2025</t>
  </si>
  <si>
    <t>29th April 2025</t>
  </si>
  <si>
    <t>14th April 2025</t>
  </si>
  <si>
    <t>30th April 2025</t>
  </si>
  <si>
    <t>15th April 2025</t>
  </si>
  <si>
    <t>16th April 2025</t>
  </si>
  <si>
    <t>01 April 2025 to 06 April 2025</t>
  </si>
  <si>
    <t>07 April 2025 to 13 April 2025</t>
  </si>
  <si>
    <t>14 April 2025 to 20 April 2025</t>
  </si>
  <si>
    <t>21 April 2025 to 27 April 2025</t>
  </si>
  <si>
    <t>28 April 2025 to 30 April 2025</t>
  </si>
  <si>
    <t>Excel Template – Minute Mapping System</t>
  </si>
  <si>
    <t>Files Included:</t>
  </si>
  <si>
    <t>1) IP File (Working File 1):</t>
  </si>
  <si>
    <t xml:space="preserve">     Sheet 1: List of carriers and their IPs.</t>
  </si>
  <si>
    <t xml:space="preserve">     Sheet 2: Paste CDR here.</t>
  </si>
  <si>
    <t>2) Minute Mapping Dashboard (Working File 2):</t>
  </si>
  <si>
    <t>3) Sample CDR File:</t>
  </si>
  <si>
    <t>How It Works (Data Flow):</t>
  </si>
  <si>
    <r>
      <t xml:space="preserve">   Paste the CDR into Sheet 2 of the </t>
    </r>
    <r>
      <rPr>
        <b/>
        <sz val="11"/>
        <color theme="1"/>
        <rFont val="Calibri"/>
        <family val="2"/>
        <scheme val="minor"/>
      </rPr>
      <t>IP File</t>
    </r>
    <r>
      <rPr>
        <sz val="11"/>
        <color theme="1"/>
        <rFont val="Calibri"/>
        <family val="2"/>
        <scheme val="minor"/>
      </rPr>
      <t>.</t>
    </r>
  </si>
  <si>
    <t xml:space="preserve">   Based on IP mapping, total minutes per carrier are calculated automatically.</t>
  </si>
  <si>
    <r>
      <t xml:space="preserve">   Copy these totals into the correct day (Sheet 1–31) in the </t>
    </r>
    <r>
      <rPr>
        <b/>
        <sz val="11"/>
        <color theme="1"/>
        <rFont val="Calibri"/>
        <family val="2"/>
        <scheme val="minor"/>
      </rPr>
      <t>Dashboard</t>
    </r>
    <r>
      <rPr>
        <sz val="11"/>
        <color theme="1"/>
        <rFont val="Calibri"/>
        <family val="2"/>
        <scheme val="minor"/>
      </rPr>
      <t>.</t>
    </r>
  </si>
  <si>
    <t xml:space="preserve">   The Dashboard auto-updates:</t>
  </si>
  <si>
    <t xml:space="preserve">   Daily totals</t>
  </si>
  <si>
    <t xml:space="preserve">   Weekly summaries</t>
  </si>
  <si>
    <t xml:space="preserve">   Monthly comparison to catch mismatches</t>
  </si>
  <si>
    <t>What You Need To Do:</t>
  </si>
  <si>
    <t>Paste CDR → IP File</t>
  </si>
  <si>
    <t>Copy mapped minutes → Dashboard (daily sheet)</t>
  </si>
  <si>
    <t>Final Output:</t>
  </si>
  <si>
    <t>Clear report of total minutes per carrier</t>
  </si>
  <si>
    <t>Daily/weekly/monthly summaries</t>
  </si>
  <si>
    <t>Final cross-check table to ensure accuracy</t>
  </si>
  <si>
    <t>Clean dashboard for finance/ops/management to review</t>
  </si>
  <si>
    <t xml:space="preserve">    Sheet "H": Daily totals, weekly (W1–W5), and final comparison.</t>
  </si>
  <si>
    <t xml:space="preserve">    Sheets W1–W5: Optional weekly summaries</t>
  </si>
  <si>
    <t xml:space="preserve">    Sheets 1–31: Daily data entry.</t>
  </si>
  <si>
    <t xml:space="preserve">    Contains dummy data to test the workflow.</t>
  </si>
  <si>
    <r>
      <t xml:space="preserve">     Uses formulas </t>
    </r>
    <r>
      <rPr>
        <b/>
        <sz val="11"/>
        <color theme="1"/>
        <rFont val="Calibri"/>
        <family val="2"/>
        <scheme val="minor"/>
      </rPr>
      <t xml:space="preserve">(like </t>
    </r>
    <r>
      <rPr>
        <b/>
        <sz val="10"/>
        <color theme="1"/>
        <rFont val="Arial Unicode MS"/>
        <family val="2"/>
      </rPr>
      <t>SUMIF</t>
    </r>
    <r>
      <rPr>
        <b/>
        <sz val="11"/>
        <color theme="1"/>
        <rFont val="Calibri"/>
        <family val="2"/>
        <scheme val="minor"/>
      </rPr>
      <t>)</t>
    </r>
    <r>
      <rPr>
        <sz val="11"/>
        <color theme="1"/>
        <rFont val="Calibri"/>
        <family val="2"/>
        <scheme val="minor"/>
      </rPr>
      <t xml:space="preserve"> to total minutes per IP</t>
    </r>
  </si>
  <si>
    <t xml:space="preserve">Purpose: This tool maps VoIP call data (CDRs) to carriers based on IP addresses. It calculates the total minutes done by each carrier, providing accurate data for billing and reporting.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</si>
</sst>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3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7" tint="-0.499984740745262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b/>
      <sz val="18"/>
      <color theme="1"/>
      <name val="Calibri"/>
      <family val="2"/>
    </font>
    <font>
      <b/>
      <u/>
      <sz val="16"/>
      <color theme="1" tint="4.9989318521683403E-2"/>
      <name val="Calibri"/>
      <family val="2"/>
      <scheme val="minor"/>
    </font>
    <font>
      <b/>
      <u/>
      <sz val="14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b/>
      <u/>
      <sz val="11"/>
      <color theme="10"/>
      <name val="Calibri"/>
      <family val="2"/>
      <scheme val="minor"/>
    </font>
    <font>
      <sz val="8"/>
      <color rgb="FF000000"/>
      <name val="Tahoma"/>
      <family val="2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3"/>
      <charset val="128"/>
      <scheme val="minor"/>
    </font>
    <font>
      <sz val="11"/>
      <name val="ＭＳ Ｐゴシック"/>
      <family val="3"/>
      <charset val="128"/>
    </font>
    <font>
      <u/>
      <sz val="11"/>
      <color theme="10"/>
      <name val="Calibri"/>
      <family val="3"/>
      <charset val="128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.5"/>
      <color theme="1"/>
      <name val="Calibri"/>
      <family val="2"/>
      <scheme val="minor"/>
    </font>
    <font>
      <b/>
      <sz val="10"/>
      <color theme="1"/>
      <name val="Arial Unicode MS"/>
      <family val="2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05FF76"/>
        <bgColor indexed="64"/>
      </patternFill>
    </fill>
    <fill>
      <patternFill patternType="solid">
        <fgColor rgb="FF4BD0FF"/>
        <bgColor indexed="64"/>
      </patternFill>
    </fill>
    <fill>
      <patternFill patternType="solid">
        <fgColor theme="4" tint="0.39997558519241921"/>
        <bgColor theme="6" tint="0.79998168889431442"/>
      </patternFill>
    </fill>
    <fill>
      <patternFill patternType="solid">
        <fgColor theme="6" tint="0.79998168889431442"/>
        <bgColor theme="6" tint="0.79998168889431442"/>
      </patternFill>
    </fill>
  </fills>
  <borders count="14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8"/>
      </bottom>
      <diagonal/>
    </border>
    <border>
      <left/>
      <right style="thin">
        <color theme="8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0" fontId="3" fillId="0" borderId="0" applyNumberFormat="0" applyFill="0" applyBorder="0" applyAlignment="0" applyProtection="0"/>
    <xf numFmtId="0" fontId="18" fillId="0" borderId="0"/>
    <xf numFmtId="0" fontId="18" fillId="0" borderId="0"/>
    <xf numFmtId="0" fontId="19" fillId="0" borderId="0" applyNumberFormat="0" applyFill="0" applyBorder="0" applyAlignment="0" applyProtection="0">
      <alignment vertical="top"/>
      <protection locked="0"/>
    </xf>
    <xf numFmtId="0" fontId="29" fillId="0" borderId="0"/>
    <xf numFmtId="43" fontId="29" fillId="0" borderId="0" applyFont="0" applyFill="0" applyBorder="0" applyAlignment="0" applyProtection="0"/>
    <xf numFmtId="0" fontId="31" fillId="0" borderId="0" applyNumberFormat="0" applyFill="0" applyBorder="0" applyAlignment="0" applyProtection="0"/>
    <xf numFmtId="0" fontId="29" fillId="0" borderId="0">
      <alignment vertical="center"/>
    </xf>
    <xf numFmtId="0" fontId="18" fillId="0" borderId="0"/>
    <xf numFmtId="0" fontId="30" fillId="0" borderId="0"/>
  </cellStyleXfs>
  <cellXfs count="104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2" fontId="2" fillId="2" borderId="2" xfId="0" applyNumberFormat="1" applyFont="1" applyFill="1" applyBorder="1" applyAlignment="1">
      <alignment horizontal="center" vertical="center" wrapText="1"/>
    </xf>
    <xf numFmtId="2" fontId="2" fillId="2" borderId="3" xfId="0" applyNumberFormat="1" applyFont="1" applyFill="1" applyBorder="1" applyAlignment="1">
      <alignment horizontal="center" vertical="center" wrapText="1"/>
    </xf>
    <xf numFmtId="0" fontId="0" fillId="0" borderId="4" xfId="0" applyFont="1" applyBorder="1"/>
    <xf numFmtId="0" fontId="0" fillId="0" borderId="4" xfId="0" applyFont="1" applyFill="1" applyBorder="1" applyAlignment="1">
      <alignment horizontal="center" vertical="center"/>
    </xf>
    <xf numFmtId="2" fontId="0" fillId="0" borderId="4" xfId="0" applyNumberFormat="1" applyFill="1" applyBorder="1" applyAlignment="1">
      <alignment horizontal="center" vertical="center"/>
    </xf>
    <xf numFmtId="2" fontId="1" fillId="0" borderId="5" xfId="0" applyNumberFormat="1" applyFont="1" applyFill="1" applyBorder="1" applyAlignment="1">
      <alignment horizontal="center" vertical="center"/>
    </xf>
    <xf numFmtId="2" fontId="0" fillId="0" borderId="0" xfId="0" applyNumberFormat="1"/>
    <xf numFmtId="2" fontId="0" fillId="0" borderId="4" xfId="0" applyNumberFormat="1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left"/>
    </xf>
    <xf numFmtId="2" fontId="2" fillId="3" borderId="6" xfId="0" applyNumberFormat="1" applyFont="1" applyFill="1" applyBorder="1" applyAlignment="1">
      <alignment horizontal="center"/>
    </xf>
    <xf numFmtId="2" fontId="1" fillId="0" borderId="4" xfId="0" applyNumberFormat="1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left"/>
    </xf>
    <xf numFmtId="0" fontId="0" fillId="3" borderId="4" xfId="0" applyFill="1" applyBorder="1" applyAlignment="1">
      <alignment horizontal="center"/>
    </xf>
    <xf numFmtId="2" fontId="2" fillId="3" borderId="4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2" fontId="4" fillId="0" borderId="4" xfId="0" applyNumberFormat="1" applyFont="1" applyFill="1" applyBorder="1" applyAlignment="1">
      <alignment horizontal="center" vertical="center"/>
    </xf>
    <xf numFmtId="2" fontId="5" fillId="0" borderId="0" xfId="0" applyNumberFormat="1" applyFont="1"/>
    <xf numFmtId="0" fontId="6" fillId="0" borderId="0" xfId="0" applyFont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8" fillId="0" borderId="0" xfId="1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9" fillId="0" borderId="0" xfId="0" applyFont="1"/>
    <xf numFmtId="2" fontId="0" fillId="0" borderId="0" xfId="0" applyNumberFormat="1" applyFont="1" applyBorder="1" applyAlignment="1">
      <alignment horizontal="center" vertical="center"/>
    </xf>
    <xf numFmtId="0" fontId="0" fillId="0" borderId="0" xfId="0" applyBorder="1"/>
    <xf numFmtId="2" fontId="0" fillId="0" borderId="0" xfId="0" applyNumberFormat="1" applyBorder="1"/>
    <xf numFmtId="0" fontId="0" fillId="0" borderId="0" xfId="0" applyFill="1"/>
    <xf numFmtId="2" fontId="0" fillId="0" borderId="0" xfId="0" applyNumberFormat="1" applyFill="1"/>
    <xf numFmtId="2" fontId="0" fillId="0" borderId="0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 wrapText="1"/>
    </xf>
    <xf numFmtId="0" fontId="13" fillId="3" borderId="4" xfId="0" applyFont="1" applyFill="1" applyBorder="1" applyAlignment="1">
      <alignment horizontal="center"/>
    </xf>
    <xf numFmtId="2" fontId="14" fillId="0" borderId="0" xfId="0" applyNumberFormat="1" applyFont="1" applyAlignment="1">
      <alignment horizontal="center"/>
    </xf>
    <xf numFmtId="2" fontId="15" fillId="0" borderId="0" xfId="0" applyNumberFormat="1" applyFont="1" applyAlignment="1">
      <alignment horizontal="center"/>
    </xf>
    <xf numFmtId="0" fontId="12" fillId="3" borderId="7" xfId="0" applyFont="1" applyFill="1" applyBorder="1" applyAlignment="1">
      <alignment horizontal="center"/>
    </xf>
    <xf numFmtId="0" fontId="13" fillId="3" borderId="10" xfId="0" applyFont="1" applyFill="1" applyBorder="1" applyAlignment="1">
      <alignment horizontal="center"/>
    </xf>
    <xf numFmtId="0" fontId="12" fillId="0" borderId="0" xfId="1" applyFont="1" applyBorder="1" applyAlignment="1">
      <alignment horizontal="center"/>
    </xf>
    <xf numFmtId="2" fontId="0" fillId="0" borderId="0" xfId="0" applyNumberFormat="1" applyFont="1" applyBorder="1" applyAlignment="1">
      <alignment horizontal="center"/>
    </xf>
    <xf numFmtId="2" fontId="11" fillId="0" borderId="9" xfId="0" applyNumberFormat="1" applyFont="1" applyBorder="1" applyAlignment="1">
      <alignment horizontal="center"/>
    </xf>
    <xf numFmtId="0" fontId="12" fillId="4" borderId="8" xfId="1" applyFont="1" applyFill="1" applyBorder="1" applyAlignment="1">
      <alignment horizontal="center"/>
    </xf>
    <xf numFmtId="2" fontId="12" fillId="4" borderId="8" xfId="0" applyNumberFormat="1" applyFont="1" applyFill="1" applyBorder="1" applyAlignment="1">
      <alignment horizontal="center"/>
    </xf>
    <xf numFmtId="0" fontId="12" fillId="5" borderId="4" xfId="1" applyFont="1" applyFill="1" applyBorder="1" applyAlignment="1">
      <alignment horizontal="center"/>
    </xf>
    <xf numFmtId="0" fontId="12" fillId="6" borderId="4" xfId="1" applyFont="1" applyFill="1" applyBorder="1" applyAlignment="1">
      <alignment horizontal="center"/>
    </xf>
    <xf numFmtId="2" fontId="12" fillId="6" borderId="4" xfId="0" applyNumberFormat="1" applyFont="1" applyFill="1" applyBorder="1" applyAlignment="1">
      <alignment horizontal="center"/>
    </xf>
    <xf numFmtId="2" fontId="0" fillId="0" borderId="0" xfId="0" applyNumberFormat="1" applyAlignment="1">
      <alignment horizontal="center"/>
    </xf>
    <xf numFmtId="2" fontId="16" fillId="0" borderId="0" xfId="1" applyNumberFormat="1" applyFont="1" applyAlignment="1">
      <alignment horizontal="center"/>
    </xf>
    <xf numFmtId="2" fontId="11" fillId="0" borderId="11" xfId="1" applyNumberFormat="1" applyFont="1" applyBorder="1" applyAlignment="1">
      <alignment horizontal="center"/>
    </xf>
    <xf numFmtId="2" fontId="17" fillId="0" borderId="0" xfId="1" applyNumberFormat="1" applyFont="1" applyAlignment="1">
      <alignment horizontal="center"/>
    </xf>
    <xf numFmtId="2" fontId="0" fillId="5" borderId="4" xfId="0" applyNumberFormat="1" applyFont="1" applyFill="1" applyBorder="1" applyAlignment="1">
      <alignment horizontal="center"/>
    </xf>
    <xf numFmtId="0" fontId="20" fillId="0" borderId="0" xfId="1" applyFont="1" applyAlignment="1">
      <alignment horizontal="center" vertical="center"/>
    </xf>
    <xf numFmtId="0" fontId="21" fillId="0" borderId="0" xfId="0" applyFont="1"/>
    <xf numFmtId="2" fontId="0" fillId="0" borderId="4" xfId="0" applyNumberFormat="1" applyBorder="1" applyAlignment="1">
      <alignment horizontal="center"/>
    </xf>
    <xf numFmtId="0" fontId="0" fillId="0" borderId="4" xfId="0" applyNumberFormat="1" applyFont="1" applyFill="1" applyBorder="1" applyAlignment="1">
      <alignment horizontal="center" vertical="center"/>
    </xf>
    <xf numFmtId="2" fontId="4" fillId="0" borderId="5" xfId="0" applyNumberFormat="1" applyFont="1" applyFill="1" applyBorder="1" applyAlignment="1">
      <alignment horizontal="center" vertical="center"/>
    </xf>
    <xf numFmtId="2" fontId="1" fillId="0" borderId="12" xfId="0" applyNumberFormat="1" applyFont="1" applyFill="1" applyBorder="1" applyAlignment="1">
      <alignment horizontal="center" vertical="center"/>
    </xf>
    <xf numFmtId="2" fontId="4" fillId="0" borderId="13" xfId="0" applyNumberFormat="1" applyFont="1" applyFill="1" applyBorder="1" applyAlignment="1">
      <alignment horizontal="center" vertical="center"/>
    </xf>
    <xf numFmtId="2" fontId="22" fillId="0" borderId="12" xfId="0" applyNumberFormat="1" applyFont="1" applyFill="1" applyBorder="1" applyAlignment="1">
      <alignment horizontal="center" vertical="center"/>
    </xf>
    <xf numFmtId="2" fontId="22" fillId="0" borderId="4" xfId="0" applyNumberFormat="1" applyFont="1" applyFill="1" applyBorder="1" applyAlignment="1">
      <alignment horizontal="center" vertical="center"/>
    </xf>
    <xf numFmtId="0" fontId="0" fillId="0" borderId="4" xfId="0" applyBorder="1"/>
    <xf numFmtId="4" fontId="21" fillId="0" borderId="0" xfId="0" applyNumberFormat="1" applyFont="1"/>
    <xf numFmtId="2" fontId="0" fillId="0" borderId="4" xfId="0" applyNumberFormat="1" applyBorder="1"/>
    <xf numFmtId="2" fontId="23" fillId="0" borderId="4" xfId="0" applyNumberFormat="1" applyFont="1" applyFill="1" applyBorder="1" applyAlignment="1">
      <alignment horizontal="center" vertical="center"/>
    </xf>
    <xf numFmtId="2" fontId="23" fillId="0" borderId="12" xfId="0" applyNumberFormat="1" applyFont="1" applyFill="1" applyBorder="1" applyAlignment="1">
      <alignment horizontal="center" vertical="center"/>
    </xf>
    <xf numFmtId="2" fontId="2" fillId="7" borderId="4" xfId="0" applyNumberFormat="1" applyFont="1" applyFill="1" applyBorder="1" applyAlignment="1" applyProtection="1">
      <alignment horizontal="center" vertical="center"/>
      <protection locked="0"/>
    </xf>
    <xf numFmtId="2" fontId="23" fillId="0" borderId="5" xfId="0" applyNumberFormat="1" applyFont="1" applyFill="1" applyBorder="1" applyAlignment="1">
      <alignment horizontal="center" vertical="center"/>
    </xf>
    <xf numFmtId="0" fontId="25" fillId="0" borderId="4" xfId="0" applyNumberFormat="1" applyFont="1" applyFill="1" applyBorder="1" applyAlignment="1">
      <alignment horizontal="center" vertical="center"/>
    </xf>
    <xf numFmtId="2" fontId="24" fillId="0" borderId="4" xfId="0" applyNumberFormat="1" applyFont="1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26" fillId="0" borderId="4" xfId="0" applyFont="1" applyFill="1" applyBorder="1" applyAlignment="1" applyProtection="1">
      <alignment horizontal="left"/>
      <protection locked="0"/>
    </xf>
    <xf numFmtId="0" fontId="27" fillId="0" borderId="4" xfId="0" applyFont="1" applyFill="1" applyBorder="1" applyAlignment="1" applyProtection="1">
      <alignment horizontal="center" vertical="center"/>
      <protection locked="0"/>
    </xf>
    <xf numFmtId="2" fontId="26" fillId="0" borderId="4" xfId="0" applyNumberFormat="1" applyFont="1" applyFill="1" applyBorder="1" applyAlignment="1">
      <alignment horizontal="center" vertical="center"/>
    </xf>
    <xf numFmtId="0" fontId="0" fillId="0" borderId="4" xfId="0" applyNumberFormat="1" applyFont="1" applyBorder="1"/>
    <xf numFmtId="0" fontId="27" fillId="0" borderId="4" xfId="0" applyNumberFormat="1" applyFont="1" applyFill="1" applyBorder="1" applyAlignment="1">
      <alignment horizontal="center" vertical="center"/>
    </xf>
    <xf numFmtId="2" fontId="26" fillId="0" borderId="12" xfId="0" applyNumberFormat="1" applyFont="1" applyFill="1" applyBorder="1" applyAlignment="1">
      <alignment horizontal="center" vertical="center"/>
    </xf>
    <xf numFmtId="2" fontId="26" fillId="0" borderId="5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/>
    </xf>
    <xf numFmtId="2" fontId="28" fillId="0" borderId="4" xfId="0" applyNumberFormat="1" applyFont="1" applyFill="1" applyBorder="1" applyAlignment="1">
      <alignment horizontal="center" vertical="center"/>
    </xf>
    <xf numFmtId="2" fontId="28" fillId="0" borderId="12" xfId="0" applyNumberFormat="1" applyFont="1" applyFill="1" applyBorder="1" applyAlignment="1">
      <alignment horizontal="center" vertical="center"/>
    </xf>
    <xf numFmtId="2" fontId="28" fillId="0" borderId="5" xfId="0" applyNumberFormat="1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left"/>
    </xf>
    <xf numFmtId="0" fontId="0" fillId="0" borderId="5" xfId="0" applyBorder="1"/>
    <xf numFmtId="2" fontId="32" fillId="0" borderId="4" xfId="0" applyNumberFormat="1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left"/>
    </xf>
    <xf numFmtId="0" fontId="0" fillId="0" borderId="6" xfId="0" applyFont="1" applyBorder="1"/>
    <xf numFmtId="0" fontId="0" fillId="0" borderId="6" xfId="0" applyFont="1" applyFill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/>
    </xf>
    <xf numFmtId="0" fontId="0" fillId="0" borderId="0" xfId="0" applyFont="1"/>
    <xf numFmtId="0" fontId="1" fillId="0" borderId="0" xfId="1" applyFont="1" applyAlignment="1">
      <alignment horizontal="center"/>
    </xf>
    <xf numFmtId="2" fontId="33" fillId="0" borderId="4" xfId="0" applyNumberFormat="1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left" vertical="center"/>
    </xf>
    <xf numFmtId="2" fontId="33" fillId="0" borderId="12" xfId="0" applyNumberFormat="1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left"/>
    </xf>
    <xf numFmtId="0" fontId="35" fillId="0" borderId="4" xfId="0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left"/>
    </xf>
    <xf numFmtId="0" fontId="0" fillId="8" borderId="4" xfId="0" applyFont="1" applyFill="1" applyBorder="1"/>
    <xf numFmtId="0" fontId="12" fillId="0" borderId="0" xfId="1" applyFont="1" applyAlignment="1">
      <alignment horizontal="center"/>
    </xf>
    <xf numFmtId="2" fontId="2" fillId="3" borderId="4" xfId="0" applyNumberFormat="1" applyFont="1" applyFill="1" applyBorder="1" applyAlignment="1">
      <alignment horizontal="center" vertical="center"/>
    </xf>
    <xf numFmtId="0" fontId="0" fillId="0" borderId="4" xfId="0" applyFill="1" applyBorder="1"/>
    <xf numFmtId="0" fontId="0" fillId="0" borderId="4" xfId="0" applyFont="1" applyFill="1" applyBorder="1"/>
    <xf numFmtId="0" fontId="2" fillId="0" borderId="0" xfId="0" applyFont="1" applyAlignment="1">
      <alignment vertical="center"/>
    </xf>
    <xf numFmtId="0" fontId="0" fillId="0" borderId="0" xfId="0" applyAlignment="1">
      <alignment horizontal="left" vertical="center" indent="1"/>
    </xf>
    <xf numFmtId="0" fontId="36" fillId="0" borderId="0" xfId="0" applyFont="1" applyAlignment="1">
      <alignment vertical="center"/>
    </xf>
  </cellXfs>
  <cellStyles count="11">
    <cellStyle name="%" xfId="3"/>
    <cellStyle name="Comma 2" xfId="6"/>
    <cellStyle name="Hyperlink" xfId="1" builtinId="8"/>
    <cellStyle name="Hyperlink 2" xfId="4"/>
    <cellStyle name="Hyperlink 3" xfId="7"/>
    <cellStyle name="Normal" xfId="0" builtinId="0"/>
    <cellStyle name="Normal 2" xfId="2"/>
    <cellStyle name="Normal 2 2" xfId="8"/>
    <cellStyle name="Normal 3" xfId="9"/>
    <cellStyle name="Normal 4" xfId="5"/>
    <cellStyle name="標準_Contact" xfId="10"/>
  </cellStyles>
  <dxfs count="724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 outline="0">
        <left/>
        <right/>
        <top/>
        <bottom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2" formatCode="0.00"/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2" formatCode="0.00"/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2" formatCode="0.00"/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2" formatCode="0.00"/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2" formatCode="0.00"/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2" formatCode="0.00"/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2" formatCode="0.00"/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8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theme="8"/>
        </left>
        <right/>
        <top style="thin">
          <color indexed="64"/>
        </top>
        <bottom/>
      </border>
    </dxf>
    <dxf>
      <border outline="0">
        <top style="medium">
          <color indexed="64"/>
        </top>
        <bottom style="thin">
          <color theme="8"/>
        </bottom>
      </border>
    </dxf>
    <dxf>
      <font>
        <strike val="0"/>
        <outline val="0"/>
        <shadow val="0"/>
        <u val="none"/>
        <vertAlign val="baseline"/>
        <sz val="11"/>
        <color rgb="FF00B050"/>
        <name val="Calibri"/>
        <scheme val="minor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9" tint="-0.499984740745262"/>
        <name val="Calibri"/>
        <scheme val="minor"/>
      </font>
      <numFmt numFmtId="2" formatCode="0.00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border outline="0">
        <top style="medium">
          <color indexed="64"/>
        </top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2" formatCode="0.00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5" tint="-0.249977111117893"/>
        <name val="Calibri"/>
        <scheme val="minor"/>
      </font>
      <numFmt numFmtId="2" formatCode="0.00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border outline="0">
        <top style="medium">
          <color indexed="64"/>
        </top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left" vertical="center" textRotation="0" wrapText="0" indent="1" justifyLastLine="0" shrinkToFit="0" readingOrder="0"/>
    </dxf>
    <dxf>
      <alignment horizontal="left" vertical="center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.5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alignment horizontal="left" vertical="center" textRotation="0" wrapText="0" indent="1" justifyLastLine="0" shrinkToFit="0" readingOrder="0"/>
    </dxf>
    <dxf>
      <alignment horizontal="left" vertical="center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.5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4BD0FF"/>
      <color rgb="FF05FF76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0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1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2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3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4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5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6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432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7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432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8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432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9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432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0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432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1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432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432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432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432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432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432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432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432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432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432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432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432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432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432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432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432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432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432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432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0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1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2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3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4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5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6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7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8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9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0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1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0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1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2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3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4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5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6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7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8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9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0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1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0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1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2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3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4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5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6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7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8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9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0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1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0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1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2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3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4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5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6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7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8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9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0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1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0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1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2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3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4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5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6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7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8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9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0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1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9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9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9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9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9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9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9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9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9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9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00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01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02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03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04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05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06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07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08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09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10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11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1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1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1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1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1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1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1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1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2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2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2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2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2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2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2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2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2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2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30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31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32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33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34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35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36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37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38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39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40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41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4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4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4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4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4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4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4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4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5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5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5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5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5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5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5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5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5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5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60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61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62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63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64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65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66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67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68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69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70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71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7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7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7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7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7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7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7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7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8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8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8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8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8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8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8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8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8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8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90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91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92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93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94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95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96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97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98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99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00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01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0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0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0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0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0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0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0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0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1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1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1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1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1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1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1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1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1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1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20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21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22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23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24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25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26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27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28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29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30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31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3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3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3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3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3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3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3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3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4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4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4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4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4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4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4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4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4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4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50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51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52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53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54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55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56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57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58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59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60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61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6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6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6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6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6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6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6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6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7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7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7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7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7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7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7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7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7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7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80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81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82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83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84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85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86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87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88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89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90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91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9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9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9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9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9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9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9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9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0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0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0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0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0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0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0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0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0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0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10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11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12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13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14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15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16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17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18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19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20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21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2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2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2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2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2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2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2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2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3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3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3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3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050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050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050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050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050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050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050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050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050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050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050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050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050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050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050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050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050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050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0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050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1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050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2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050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3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050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4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050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5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050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6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7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8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9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0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1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0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1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2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3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4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5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6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7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8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9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0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1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0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1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2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3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4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5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6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7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8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9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0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1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0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1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2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3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4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5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6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7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8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9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0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1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2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2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2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2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2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2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2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2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3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3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3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3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3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3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3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3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3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3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40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41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42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43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44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45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050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050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050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050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050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050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050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050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050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050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050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050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050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050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050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050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050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050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0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050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1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050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2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050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3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050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4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050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5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050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6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7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8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9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0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1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0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1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2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3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4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5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6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7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8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9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0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1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0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1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2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3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4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5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6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7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8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9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0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1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0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1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2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3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4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5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6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7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8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9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0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1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2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2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2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2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2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2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2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2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3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3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3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3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3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3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3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3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3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3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40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41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42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43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44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45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050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050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050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050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050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050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050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050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050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050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050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050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050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050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050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050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050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050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0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050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1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050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2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050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3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050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4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050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5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050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6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7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8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9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0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1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0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1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2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3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4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5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6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7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8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9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0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1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0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1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2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3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4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5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6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7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8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9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0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1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0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1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2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3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4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5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6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7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8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9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0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1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2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2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2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2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2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2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2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2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3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3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3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3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3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3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3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3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3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3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40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41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42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43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44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45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050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050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050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050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050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050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050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050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050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050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050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050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050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050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050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050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050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050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0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050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1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050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2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050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3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050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4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050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5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050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6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7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8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9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0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1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0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1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2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3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4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5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6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7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8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9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0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1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0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1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2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3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4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5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6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7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8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9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0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1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0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1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2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3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4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5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6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7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8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9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0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1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2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2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2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2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2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2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2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2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3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3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3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3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3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3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3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3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3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3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40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41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42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43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44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45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050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050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050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050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050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050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050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050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050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050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050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050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050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050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050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050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050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050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0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050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1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050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2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050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3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050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4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050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5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050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6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7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8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9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0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1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0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1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2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3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4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5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6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7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8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9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0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1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0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1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2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3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4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5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6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7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8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9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0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1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0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1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2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3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4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5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6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7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8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9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0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1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2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2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2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2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2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2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2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2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3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3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3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3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3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3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3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3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3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3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40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41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42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43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44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45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050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050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050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050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050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050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050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050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050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050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050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050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050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050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050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050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050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050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0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050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1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050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2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050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3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050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4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050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5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050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6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7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8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9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0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1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0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1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2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3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4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5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6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7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8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9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0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1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0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1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2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3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4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5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6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7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8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9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0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1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0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1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2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3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4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5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6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7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8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9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0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1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2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2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2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2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2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2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2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2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3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3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3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3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3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3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3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3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3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3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40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41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42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43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44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45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0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1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2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3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4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5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6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7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8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9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0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1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0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1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2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3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4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5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6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7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8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9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0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1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0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1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2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3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4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5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6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7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8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9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0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1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0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1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2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3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4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5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6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7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8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9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0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1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2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2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2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2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2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2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2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2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3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3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3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3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3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3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3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3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3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3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40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41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42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43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44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45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0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1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2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3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4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5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6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7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8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9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0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1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0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1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2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3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4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5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6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7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8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9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0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1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0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1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2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3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4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5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6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7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8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9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0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1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0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1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2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3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4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5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6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7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8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9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0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1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0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1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2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3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4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5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6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7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8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9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0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1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0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1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2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3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4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5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6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7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8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9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0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1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9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9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9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9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9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9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9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9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9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9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0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1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2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3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4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5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6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7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8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9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10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11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1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1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1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1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1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1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0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1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2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3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4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5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6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7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8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9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0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1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0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1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2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3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4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5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6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7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8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9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0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1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0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1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2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3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4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5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6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7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8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9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0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1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0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1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2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3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4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5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6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7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8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9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0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1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0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1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2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3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4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5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6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7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8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9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0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1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0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1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2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3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4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5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6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7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8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9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0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1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9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9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9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9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9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9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9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9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9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9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0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1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2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3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4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5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6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7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8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9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10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11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1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1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1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1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1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1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0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1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2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3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4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5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6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7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8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9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0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1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0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1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2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3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4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5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6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7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8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9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0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1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0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1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2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3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4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5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6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7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8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9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0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1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0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1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2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3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4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5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6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7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8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9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0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1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0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1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2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3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4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5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6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7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8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9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0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1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0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1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2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3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4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5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6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7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8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9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0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1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9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9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9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9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9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9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9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9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9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9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0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1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2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3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4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5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6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7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8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9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10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11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1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1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1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1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1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1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1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2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3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4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5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6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577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7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577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8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577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9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577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0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577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1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577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577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577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577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577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577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577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577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577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4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577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4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577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4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577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4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577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4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577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4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577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4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577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4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577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4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577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4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577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0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1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2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3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4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5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6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7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8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9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0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1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0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1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2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3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4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5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6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7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8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9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0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1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0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1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2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3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4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5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6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7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8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9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0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1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0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1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2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3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4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5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6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7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8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9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0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1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0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1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2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3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4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5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6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7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8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9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0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1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0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1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2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3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4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5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6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7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8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9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0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1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9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9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9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9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9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9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9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9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9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9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0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1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2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3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4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5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6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7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8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9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10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11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1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1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1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1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1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1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0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1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2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3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4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5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6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7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8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9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0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1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0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1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2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3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4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5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6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7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8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9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0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1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0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1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2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3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4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5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6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7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8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9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0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1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0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1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2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3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4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5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6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7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8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9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0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1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0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1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2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3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4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5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6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7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8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9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0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1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0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1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2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3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4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5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6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7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8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9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0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1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9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9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9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9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9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9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9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9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9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9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0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1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2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3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4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5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6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7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8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9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10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11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1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1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1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1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1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1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0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1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2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3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4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5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6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7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8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9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0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1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0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1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2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3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4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5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6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7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8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9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0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1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0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1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2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3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4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5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6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7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8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9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0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1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0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1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2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3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4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5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6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7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8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9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0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1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0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1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2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3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4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5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6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7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8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9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0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1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0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1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2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3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4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5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6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7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8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9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0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1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9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9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9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9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9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9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9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9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9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9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0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1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2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3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4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5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6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7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8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9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10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11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1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1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1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1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1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1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0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1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2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3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4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5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6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7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8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9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0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1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0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1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2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3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4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5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6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7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8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9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0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1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0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1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2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3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4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5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6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7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8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9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0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1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0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1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2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3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4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5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6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7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8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9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0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1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0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1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2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3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4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5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6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7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8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9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0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1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0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1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2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3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4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5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6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7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8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9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0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1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9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9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9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9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9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9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9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9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9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9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0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1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2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3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4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5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6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7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8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9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10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11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1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1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1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1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1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1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0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1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2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3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4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5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6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7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8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9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0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1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0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1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2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3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4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5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6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7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8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9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0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1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0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1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2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3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4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5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6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7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8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9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0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1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0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1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2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3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4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5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6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7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8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9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0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1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0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1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2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3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4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5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6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7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8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9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0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1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0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1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2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3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4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5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6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7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8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9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0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1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9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9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9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9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9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9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9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9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9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9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0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1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2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3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4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5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6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7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8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9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10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11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1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1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1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1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1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1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0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1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2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3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4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5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6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7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8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9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0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1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0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1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2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3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4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5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6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7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8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9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0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1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0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1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2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3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4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5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6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7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8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9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0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1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0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1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2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3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4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5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6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7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8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9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0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1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0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1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2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3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4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5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6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7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8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9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0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1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0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1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2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3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4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5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6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7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8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9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0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1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9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9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9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9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9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9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9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9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9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9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0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1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2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3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4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5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6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7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8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9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10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11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1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1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1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1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1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1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0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1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2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3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4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5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6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7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8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9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0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1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0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1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2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3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4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5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6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7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8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9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0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1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0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1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2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3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4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5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6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7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8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9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0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1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0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1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2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3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4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5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6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7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8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9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0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1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0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1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2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3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4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5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6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7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8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9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0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1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0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1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2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3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4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5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6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7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8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9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0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1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9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9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9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9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9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9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9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9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9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9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0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1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2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3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4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5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6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7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8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9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10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11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1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1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1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1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1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1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0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1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2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3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4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5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6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7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8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9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0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1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0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1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2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3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4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5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6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7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8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9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0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1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0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1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2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3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4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5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6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7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8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9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0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1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0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1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2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3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4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5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6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7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8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9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0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1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0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1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2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3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4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5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6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7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8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9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0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1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0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1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2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3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4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5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6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7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8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9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0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1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9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9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9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9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9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9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9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9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9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9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0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1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2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3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4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5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6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7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8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9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10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11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1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1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1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1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1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1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0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1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2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3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4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5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6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7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8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9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0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1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0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1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2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3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4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5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6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7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8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9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0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1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0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1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2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3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4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5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6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7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8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9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0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1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0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1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2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3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4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5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6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7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8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9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0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1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0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1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2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3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4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5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6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7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8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9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0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1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0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1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2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3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4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5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6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7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8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9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0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1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9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9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9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9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9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9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9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9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9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9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0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1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2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3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4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5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6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7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8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9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10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11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1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1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1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1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1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1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0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1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2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3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4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5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6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7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8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9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0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1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0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1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2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3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4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5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6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7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8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9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0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1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0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1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2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3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4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5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6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7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8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9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0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1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0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1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2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3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4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5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6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7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8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9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0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1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0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1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2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3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4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5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6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7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8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9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0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1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0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1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2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3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4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5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6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7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8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9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0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1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9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9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9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9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9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9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9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9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9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9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00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01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02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03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04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05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06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07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08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09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10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11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1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1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1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1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1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1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1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1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2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2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2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2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2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2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2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2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2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2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30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31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32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33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34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35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36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37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38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39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40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41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4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4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4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4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4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4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4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4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5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5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5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5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5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5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5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5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5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5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60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61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62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63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64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65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66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67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68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69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70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71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7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7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7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7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7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7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7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7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8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8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8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8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8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8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8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8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8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8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0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1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2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3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4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5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6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7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8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9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0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1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50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51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52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53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54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55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56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57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58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59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60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61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6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6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6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6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6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6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6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6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7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7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7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7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0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1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2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3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4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5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6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7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8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9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0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1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0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1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2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3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4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5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6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7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8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9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0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1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0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1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2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3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4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5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6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7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8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9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0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1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0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1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2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3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4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5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6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7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8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9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0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1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0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1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2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3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4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5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6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7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8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9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0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1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0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1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2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3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4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5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6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7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8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9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0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1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9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9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9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9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9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9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9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9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9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9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00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01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02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03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04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05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06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07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08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09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10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11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1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1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1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1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1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1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1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1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2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2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2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2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2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2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2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2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2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2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30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31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32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33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34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35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36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37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38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39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40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41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4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4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4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4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4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4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4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4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5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5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5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5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5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5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5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5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5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5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60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61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62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63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64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65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66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67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68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69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70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71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7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7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7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7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7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7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7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7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8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8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8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8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8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8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8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8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8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8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0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1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2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3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4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5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6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7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8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9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0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1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0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1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2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3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4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5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6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7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8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9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0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1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0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1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2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3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4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5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6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7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8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9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0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1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0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1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2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3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4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5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6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7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8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9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0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1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0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1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2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3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4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5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6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7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8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9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0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1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0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1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2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3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4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5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6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7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8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9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0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1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9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9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9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9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9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9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9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9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9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9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00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01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02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03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04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05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06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07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08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09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10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11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1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1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1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1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1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1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1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1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2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2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2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2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2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2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2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2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2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2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30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31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32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33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34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35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36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37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38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39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40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41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4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4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4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4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4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4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4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4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5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5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5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5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5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5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5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5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5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5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60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61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62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63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64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65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66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67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68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69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70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71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7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7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7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7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7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7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7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7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8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8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8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8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8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8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8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8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8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8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0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1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2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3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4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5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6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7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8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9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0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1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0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1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2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3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4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5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6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7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8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9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0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1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0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1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2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3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4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5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6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7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8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9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0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1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0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1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2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3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4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5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6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7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8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9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0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1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0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1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2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3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4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5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6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7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8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9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0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1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0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1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2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3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4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5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6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7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8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9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0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1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9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9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9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9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9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9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9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9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9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9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00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01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02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03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04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05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06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07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08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09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10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11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1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1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1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1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1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1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1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1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2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2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2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2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2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2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2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2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2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2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30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31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32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33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34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35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36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37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38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39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40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41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4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4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4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4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4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4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4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4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5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5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5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5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5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5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5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5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5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5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60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61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62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63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64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65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66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67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68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69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70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71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7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7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7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7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7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7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7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7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8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8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8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8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8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8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8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8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8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8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0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1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2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3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4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5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6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7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8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9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0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1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0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1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2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3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4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5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6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7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8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9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0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1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0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1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2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3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4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5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6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7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8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9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0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1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0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1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2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3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4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5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6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7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8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9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0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1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0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1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2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3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4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5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6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7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8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9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0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1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0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1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2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3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4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5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6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7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8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9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0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1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9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9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9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9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9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9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9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9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9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9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00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01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02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03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04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05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06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07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08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09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10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11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1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1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1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1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1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1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1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1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2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2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2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2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2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2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2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2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2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2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30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31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32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33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34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35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36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37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38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39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40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41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4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4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4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4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4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4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4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4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5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5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5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5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5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5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5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5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5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5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60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61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62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63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64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65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66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67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68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69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70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71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7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7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7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7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7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7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7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7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8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8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8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8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8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8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8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8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8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8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0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1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2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3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4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5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6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7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8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9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0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1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0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1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2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3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4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5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6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7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8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9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0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1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0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1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2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3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4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5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6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7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8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9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0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1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0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1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2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3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4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5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6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7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8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9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0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1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0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1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2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3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4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5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6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7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8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9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0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1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0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1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2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3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4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5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6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7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8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9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0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1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9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9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9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9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9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9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9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9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9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9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00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01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02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03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04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05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06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07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08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09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10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11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1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1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1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1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1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1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1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1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2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2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2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2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2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2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2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2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2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2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30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31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32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33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34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35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36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37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38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39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40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41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4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4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4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4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4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4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4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4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5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5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5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5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5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5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5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5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5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5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60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61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62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63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64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65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66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67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68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69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70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71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7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7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7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7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7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7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7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7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8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8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8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8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8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8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8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8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8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8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0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1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2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3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4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5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6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7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8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9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0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1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0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1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2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3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4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5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6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7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8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9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0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1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0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1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2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3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4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5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6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7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8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9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0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1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0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1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2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3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4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5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6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7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8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9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0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1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0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1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2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3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4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5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6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7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8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9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0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1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0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1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2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3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4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5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6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7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8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9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0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1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9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9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9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9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9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9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9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9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9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9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00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01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02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03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04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05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06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07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08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09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10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11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1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1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1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1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1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1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1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1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2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2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2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2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2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2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2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2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2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2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30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31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32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33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34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35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36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37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38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39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40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41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4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4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4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4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4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4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4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4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5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5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5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5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5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5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5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5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5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5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60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61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62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63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64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65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66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67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68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69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70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71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7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7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7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7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7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7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7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7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8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8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8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8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8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8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8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8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8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8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0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1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2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3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4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5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6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7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8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9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0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1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0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1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2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3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4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5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6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7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8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9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0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1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0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1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2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3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4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5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6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7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8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9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0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1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0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1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2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3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4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5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6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7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8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9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0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1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0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1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2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3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4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5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6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7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8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9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0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1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0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1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2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3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4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5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6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7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8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9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0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1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9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9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9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9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9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9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9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9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9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9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00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01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02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03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04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05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06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07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08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09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10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11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1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1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1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1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1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1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1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1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2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2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2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2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2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2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2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2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2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2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30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31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32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33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34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35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36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37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38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39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40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41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4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4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4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4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4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4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4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4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5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5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5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5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5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5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5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5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5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5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60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61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62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63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64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65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66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67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68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69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70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71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7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7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7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7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7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7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7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7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8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8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8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8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8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8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8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8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8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8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0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1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2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3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4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5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6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7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8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9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0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1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0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1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2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3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4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5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6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7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8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9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0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1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0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1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2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3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4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5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6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7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8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9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0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1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9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9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0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0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0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0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0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0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0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0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0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0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10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11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12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13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14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15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16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17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18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19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20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21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0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1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2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3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4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5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6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7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8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9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0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1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0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1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2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3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4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5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6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7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8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9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0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1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0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1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2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3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4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5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6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7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8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9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0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1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9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9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0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0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0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0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0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0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0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0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0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0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10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11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12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13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14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15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16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17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18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19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20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21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0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1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2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3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4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5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6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7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8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9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0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1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0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1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2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3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4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5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6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7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8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9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0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1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0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1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2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3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4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5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6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7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8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9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0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1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9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9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0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0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0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0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0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0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0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0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0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0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10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11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12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13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14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15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16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17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18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19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20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21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86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86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86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86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86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86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86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86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86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86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86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86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86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86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86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86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86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86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0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86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1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86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2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86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3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86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4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86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5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86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0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1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2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3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4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5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6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7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8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9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0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1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0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1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2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3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4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5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6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7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8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9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0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1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0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1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2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3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4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5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6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7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8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9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0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1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70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71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72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73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74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75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76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77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78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79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80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81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8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8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8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8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8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8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8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8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9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9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9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9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050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050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050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050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050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050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050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050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050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050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050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050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050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050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050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050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050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050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0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050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1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050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2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050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3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050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4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050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5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050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6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7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8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9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0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1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0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1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2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3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4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5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6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7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8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9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0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1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0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1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2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3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4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5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6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7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8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9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0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1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0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1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2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3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4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5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6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7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8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9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0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1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2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2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2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2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2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2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2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2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3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3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3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3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3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3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3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3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3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3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40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41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42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43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44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45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050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050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050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050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050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050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050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050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050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050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050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050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050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050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050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050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050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050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0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050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1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050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2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050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3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050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4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050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5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050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6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7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8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9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0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1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0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1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2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3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4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5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6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7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8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9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0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1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0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1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2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3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4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5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6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7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8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9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0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1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0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1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2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3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4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5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6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7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8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9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0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1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2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2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2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2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2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2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2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2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3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3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3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3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3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3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3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3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3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3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40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41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42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43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44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45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18" name="Table18" displayName="Table18" ref="A1:A2" totalsRowShown="0">
  <tableColumns count="1">
    <tableColumn id="1" name="Excel Template – Minute Mapping System"/>
  </tableColumns>
  <tableStyleInfo name="TableStyleMedium6" showFirstColumn="0" showLastColumn="0" showRowStripes="1" showColumnStripes="0"/>
</table>
</file>

<file path=xl/tables/table10.xml><?xml version="1.0" encoding="utf-8"?>
<table xmlns="http://schemas.openxmlformats.org/spreadsheetml/2006/main" id="44" name="Table3334567891012133945" displayName="Table3334567891012133945" ref="A2:I49" totalsRowCount="1" headerRowDxfId="669" headerRowBorderDxfId="668" tableBorderDxfId="667" totalsRowBorderDxfId="666">
  <tableColumns count="9">
    <tableColumn id="1" name="Carrier" totalsRowLabel="Total" dataDxfId="665" totalsRowDxfId="664">
      <calculatedColumnFormula>Table333456789101217[[#This Row],[Carrier]]</calculatedColumnFormula>
    </tableColumn>
    <tableColumn id="2" name="IP" totalsRowLabel="TOTAL" dataDxfId="663" totalsRowDxfId="662">
      <calculatedColumnFormula>Table333456789101217[[#This Row],[IP]]</calculatedColumnFormula>
    </tableColumn>
    <tableColumn id="3" name="Carrier Code" dataDxfId="661" totalsRowDxfId="660">
      <calculatedColumnFormula>Table333456789101217[[#This Row],[Carrier Code]]</calculatedColumnFormula>
    </tableColumn>
    <tableColumn id="4" name="Company Panel" totalsRowFunction="custom" totalsRowDxfId="659">
      <totalsRowFormula>SUM(Table3334567891012133945[Company Panel])</totalsRowFormula>
    </tableColumn>
    <tableColumn id="8" name="Our panel" totalsRowFunction="custom" totalsRowDxfId="658">
      <totalsRowFormula>SUM(Table3334567891012133945[Our panel])</totalsRowFormula>
    </tableColumn>
    <tableColumn id="5" name="MTD Company" totalsRowFunction="custom" totalsRowDxfId="657">
      <calculatedColumnFormula>Table3334567891012133945[[#This Row],[Company Panel]]</calculatedColumnFormula>
      <totalsRowFormula>SUM(Table3334567891012133945[MTD Company])</totalsRowFormula>
    </tableColumn>
    <tableColumn id="7" name="MTD Panel" totalsRowFunction="custom" totalsRowDxfId="656">
      <calculatedColumnFormula>Table3334567891012133945[[#This Row],[Our panel]]</calculatedColumnFormula>
      <totalsRowFormula>SUM(Table3334567891012133945[MTD Panel])</totalsRowFormula>
    </tableColumn>
    <tableColumn id="6" name="Difference" totalsRowFunction="custom" totalsRowDxfId="655">
      <calculatedColumnFormula>Table3334567891012133945[[#This Row],[Company Panel]]-Table3334567891012133945[[#This Row],[Our panel]]</calculatedColumnFormula>
      <totalsRowFormula>SUM(Table3334567891012133945[Difference])</totalsRowFormula>
    </tableColumn>
    <tableColumn id="9" name="MTD Difference" totalsRowFunction="custom" totalsRowDxfId="654">
      <calculatedColumnFormula>Table3334567891012133945[[#This Row],[MTD Company]]-Table3334567891012133945[[#This Row],[MTD Panel]]</calculatedColumnFormula>
      <totalsRowFormula>SUM(I4:I48)</totalsRowFormula>
    </tableColumn>
  </tableColumns>
  <tableStyleInfo name="TableStyleLight18" showFirstColumn="0" showLastColumn="0" showRowStripes="1" showColumnStripes="0"/>
</table>
</file>

<file path=xl/tables/table11.xml><?xml version="1.0" encoding="utf-8"?>
<table xmlns="http://schemas.openxmlformats.org/spreadsheetml/2006/main" id="13" name="Table333456789101214" displayName="Table333456789101214" ref="A2:I49" totalsRowShown="0" headerRowDxfId="641" headerRowBorderDxfId="640" tableBorderDxfId="639" totalsRowBorderDxfId="638">
  <tableColumns count="9">
    <tableColumn id="1" name="Carrier" dataDxfId="637"/>
    <tableColumn id="2" name="IP" dataDxfId="636">
      <calculatedColumnFormula>Table333456789101217[[#This Row],[IP]]</calculatedColumnFormula>
    </tableColumn>
    <tableColumn id="3" name="Carrier Code" dataDxfId="635">
      <calculatedColumnFormula>Table333456789101217[[#This Row],[Carrier Code]]</calculatedColumnFormula>
    </tableColumn>
    <tableColumn id="4" name="Company Panel" dataDxfId="634"/>
    <tableColumn id="8" name="Our panel" dataDxfId="633"/>
    <tableColumn id="5" name="MTD Company" dataDxfId="632">
      <calculatedColumnFormula>Table333456789101214[[#This Row],[Company Panel]]+#REF!</calculatedColumnFormula>
    </tableColumn>
    <tableColumn id="7" name="MTD Panel" dataDxfId="631">
      <calculatedColumnFormula>Table333456789101214[[#This Row],[Our panel]]+Table3334567891012133945[[#This Row],[MTD Panel]]</calculatedColumnFormula>
    </tableColumn>
    <tableColumn id="6" name="Difference" dataDxfId="630">
      <calculatedColumnFormula>Table333456789101214[[#This Row],[Company Panel]]-Table333456789101214[[#This Row],[Our panel]]</calculatedColumnFormula>
    </tableColumn>
    <tableColumn id="9" name="MTD Difference" dataDxfId="629">
      <calculatedColumnFormula>Table333456789101214[[#This Row],[MTD Company]]-Table333456789101214[[#This Row],[MTD Panel]]</calculatedColumnFormula>
    </tableColumn>
  </tableColumns>
  <tableStyleInfo name="TableStyleLight18" showFirstColumn="0" showLastColumn="0" showRowStripes="1" showColumnStripes="0"/>
</table>
</file>

<file path=xl/tables/table12.xml><?xml version="1.0" encoding="utf-8"?>
<table xmlns="http://schemas.openxmlformats.org/spreadsheetml/2006/main" id="14" name="Table333456789101215" displayName="Table333456789101215" ref="A2:I49" totalsRowShown="0" headerRowDxfId="621" headerRowBorderDxfId="620" tableBorderDxfId="619" totalsRowBorderDxfId="618">
  <tableColumns count="9">
    <tableColumn id="1" name="Carrier" dataDxfId="617"/>
    <tableColumn id="2" name="IP" dataDxfId="616">
      <calculatedColumnFormula>Table333456789101217[[#This Row],[IP]]</calculatedColumnFormula>
    </tableColumn>
    <tableColumn id="3" name="Carrier Code" dataDxfId="615">
      <calculatedColumnFormula>Table333456789101217[[#This Row],[Carrier Code]]</calculatedColumnFormula>
    </tableColumn>
    <tableColumn id="4" name="Company Panel" dataDxfId="614"/>
    <tableColumn id="8" name="Our panel" dataDxfId="613">
      <calculatedColumnFormula>Table333456789101215[[#This Row],[Company Panel]]+Table33345678[[#This Row],[Our Panel]]</calculatedColumnFormula>
    </tableColumn>
    <tableColumn id="5" name="MTD Company" dataDxfId="612">
      <calculatedColumnFormula>Table333456789101215[[#This Row],[Company Panel]]+Table333456789101214[[#This Row],[MTD Company]]</calculatedColumnFormula>
    </tableColumn>
    <tableColumn id="7" name="MTD Panel" dataDxfId="611">
      <calculatedColumnFormula>Table333456789101215[[#This Row],[Our panel]]+Table333456789101214[[#This Row],[MTD Panel]]</calculatedColumnFormula>
    </tableColumn>
    <tableColumn id="6" name="Difference" dataDxfId="610">
      <calculatedColumnFormula>Table333456789101215[[#This Row],[Company Panel]]-Table333456789101215[[#This Row],[Our panel]]</calculatedColumnFormula>
    </tableColumn>
    <tableColumn id="9" name="MTD Difference" dataDxfId="609">
      <calculatedColumnFormula>Table333456789101215[[#This Row],[MTD Company]]-Table333456789101215[[#This Row],[MTD Panel]]</calculatedColumnFormula>
    </tableColumn>
  </tableColumns>
  <tableStyleInfo name="TableStyleLight18" showFirstColumn="0" showLastColumn="0" showRowStripes="1" showColumnStripes="0"/>
</table>
</file>

<file path=xl/tables/table13.xml><?xml version="1.0" encoding="utf-8"?>
<table xmlns="http://schemas.openxmlformats.org/spreadsheetml/2006/main" id="15" name="Table333456789101216" displayName="Table333456789101216" ref="A2:I49" totalsRowShown="0" headerRowDxfId="601" headerRowBorderDxfId="600" tableBorderDxfId="599" totalsRowBorderDxfId="598">
  <tableColumns count="9">
    <tableColumn id="1" name="Carrier" dataDxfId="597"/>
    <tableColumn id="2" name="IP" dataDxfId="596">
      <calculatedColumnFormula>Table333456789101217[[#This Row],[IP]]</calculatedColumnFormula>
    </tableColumn>
    <tableColumn id="3" name="Carrier Code" dataDxfId="595">
      <calculatedColumnFormula>Table333456789101217[[#This Row],[Carrier Code]]</calculatedColumnFormula>
    </tableColumn>
    <tableColumn id="4" name="Company Panel" dataDxfId="594"/>
    <tableColumn id="8" name="Our panel" dataDxfId="593">
      <calculatedColumnFormula>Table333456789101216[[#This Row],[Company Panel]]+Table33345678[[#This Row],[Our Panel]]</calculatedColumnFormula>
    </tableColumn>
    <tableColumn id="5" name="MTD Company" dataDxfId="592">
      <calculatedColumnFormula>Table333456789101216[[#This Row],[Company Panel]]+Table333456789101215[[#This Row],[MTD Company]]</calculatedColumnFormula>
    </tableColumn>
    <tableColumn id="7" name="MTD Panel" dataDxfId="591">
      <calculatedColumnFormula>Table333456789101216[[#This Row],[Our panel]]+Table333456789101215[[#This Row],[MTD Panel]]</calculatedColumnFormula>
    </tableColumn>
    <tableColumn id="6" name="Difference" dataDxfId="590">
      <calculatedColumnFormula>Table333456789101216[[#This Row],[Company Panel]]-Table333456789101216[[#This Row],[Our panel]]</calculatedColumnFormula>
    </tableColumn>
    <tableColumn id="9" name="MTD Difference" dataDxfId="589">
      <calculatedColumnFormula>Table333456789101216[[#This Row],[MTD Company]]-Table333456789101216[[#This Row],[MTD Panel]]</calculatedColumnFormula>
    </tableColumn>
  </tableColumns>
  <tableStyleInfo name="TableStyleLight18" showFirstColumn="0" showLastColumn="0" showRowStripes="1" showColumnStripes="0"/>
</table>
</file>

<file path=xl/tables/table14.xml><?xml version="1.0" encoding="utf-8"?>
<table xmlns="http://schemas.openxmlformats.org/spreadsheetml/2006/main" id="12" name="Table33345678910121613" displayName="Table33345678910121613" ref="A2:I49" totalsRowShown="0" headerRowDxfId="584" headerRowBorderDxfId="583" tableBorderDxfId="582" totalsRowBorderDxfId="581">
  <tableColumns count="9">
    <tableColumn id="1" name="Carrier" dataDxfId="580"/>
    <tableColumn id="2" name="IP" dataDxfId="579">
      <calculatedColumnFormula>Table333456789101217[[#This Row],[IP]]</calculatedColumnFormula>
    </tableColumn>
    <tableColumn id="3" name="Carrier Code" dataDxfId="578">
      <calculatedColumnFormula>Table333456789101217[[#This Row],[Carrier Code]]</calculatedColumnFormula>
    </tableColumn>
    <tableColumn id="4" name="Company Panel" dataDxfId="577"/>
    <tableColumn id="8" name="Our panel" dataDxfId="576">
      <calculatedColumnFormula>Table33345678910121613[[#This Row],[Company Panel]]+Table33345678[[#This Row],[Our Panel]]</calculatedColumnFormula>
    </tableColumn>
    <tableColumn id="5" name="MTD Company" dataDxfId="575">
      <calculatedColumnFormula>Table33345678910121613[[#This Row],[Company Panel]]+Table333456789101216[[#This Row],[MTD Company]]</calculatedColumnFormula>
    </tableColumn>
    <tableColumn id="7" name="MTD Panel" dataDxfId="574">
      <calculatedColumnFormula>Table33345678910121613[[#This Row],[Our panel]]+Table333456789101216[[#This Row],[MTD Panel]]</calculatedColumnFormula>
    </tableColumn>
    <tableColumn id="6" name="Difference" dataDxfId="573">
      <calculatedColumnFormula>Table33345678910121613[[#This Row],[Company Panel]]-Table33345678910121613[[#This Row],[Our panel]]</calculatedColumnFormula>
    </tableColumn>
    <tableColumn id="9" name="MTD Difference" dataDxfId="572">
      <calculatedColumnFormula>Table33345678910121613[[#This Row],[MTD Company]]-Table33345678910121613[[#This Row],[MTD Panel]]</calculatedColumnFormula>
    </tableColumn>
  </tableColumns>
  <tableStyleInfo name="TableStyleLight18" showFirstColumn="0" showLastColumn="0" showRowStripes="1" showColumnStripes="0"/>
</table>
</file>

<file path=xl/tables/table15.xml><?xml version="1.0" encoding="utf-8"?>
<table xmlns="http://schemas.openxmlformats.org/spreadsheetml/2006/main" id="1" name="Table33" displayName="Table33" ref="A2:I49" totalsRowShown="0" headerRowDxfId="564" headerRowBorderDxfId="563" tableBorderDxfId="562" totalsRowBorderDxfId="561">
  <tableColumns count="9">
    <tableColumn id="1" name="Carrier" dataDxfId="560"/>
    <tableColumn id="2" name="IP" dataDxfId="559">
      <calculatedColumnFormula>Table333456789101217[[#This Row],[IP]]</calculatedColumnFormula>
    </tableColumn>
    <tableColumn id="3" name="Carrier Code" dataDxfId="558">
      <calculatedColumnFormula>Table333456789101217[[#This Row],[Carrier Code]]</calculatedColumnFormula>
    </tableColumn>
    <tableColumn id="4" name="Company Panel" dataDxfId="557"/>
    <tableColumn id="8" name="Our Panel" dataDxfId="556"/>
    <tableColumn id="5" name="MTD Company" dataDxfId="555">
      <calculatedColumnFormula>Table33[[#This Row],[Company Panel]]</calculatedColumnFormula>
    </tableColumn>
    <tableColumn id="7" name="MTD Panel" dataDxfId="554">
      <calculatedColumnFormula>Table33[[#This Row],[Our Panel]]</calculatedColumnFormula>
    </tableColumn>
    <tableColumn id="6" name="Difference" dataDxfId="553">
      <calculatedColumnFormula>Table33[[#This Row],[Company Panel]]-Table33[[#This Row],[Our Panel]]</calculatedColumnFormula>
    </tableColumn>
    <tableColumn id="9" name="MTD Difference" dataDxfId="552">
      <calculatedColumnFormula>Table33[[#This Row],[MTD Company]]-Table33[[#This Row],[MTD Panel]]</calculatedColumnFormula>
    </tableColumn>
  </tableColumns>
  <tableStyleInfo name="TableStyleLight18" showFirstColumn="0" showLastColumn="0" showRowStripes="1" showColumnStripes="0"/>
</table>
</file>

<file path=xl/tables/table16.xml><?xml version="1.0" encoding="utf-8"?>
<table xmlns="http://schemas.openxmlformats.org/spreadsheetml/2006/main" id="2" name="Table333" displayName="Table333" ref="A2:I49" totalsRowShown="0" headerRowDxfId="545" headerRowBorderDxfId="544" tableBorderDxfId="543" totalsRowBorderDxfId="542">
  <tableColumns count="9">
    <tableColumn id="1" name="Carrier" dataDxfId="541"/>
    <tableColumn id="2" name="IP" dataDxfId="540">
      <calculatedColumnFormula>Table333456789101217[[#This Row],[IP]]</calculatedColumnFormula>
    </tableColumn>
    <tableColumn id="3" name="Carrier Code" dataDxfId="539">
      <calculatedColumnFormula>Table333456789101217[[#This Row],[Carrier Code]]</calculatedColumnFormula>
    </tableColumn>
    <tableColumn id="4" name="Company Panel" dataDxfId="538"/>
    <tableColumn id="8" name="Our Panel" dataDxfId="537"/>
    <tableColumn id="5" name="MTD Company2" dataDxfId="536">
      <calculatedColumnFormula>Table333[[#This Row],[Company Panel]]+Table33[[#This Row],[MTD Company]]</calculatedColumnFormula>
    </tableColumn>
    <tableColumn id="7" name="MTD Panel" dataDxfId="535">
      <calculatedColumnFormula>Table333[[#This Row],[Our Panel]]+Table33[[#This Row],[MTD Panel]]</calculatedColumnFormula>
    </tableColumn>
    <tableColumn id="6" name="Difference" dataDxfId="534">
      <calculatedColumnFormula>D3-E3</calculatedColumnFormula>
    </tableColumn>
    <tableColumn id="9" name="MTD Difference" dataDxfId="533">
      <calculatedColumnFormula>F3-G3</calculatedColumnFormula>
    </tableColumn>
  </tableColumns>
  <tableStyleInfo name="TableStyleLight18" showFirstColumn="0" showLastColumn="0" showRowStripes="1" showColumnStripes="0"/>
</table>
</file>

<file path=xl/tables/table17.xml><?xml version="1.0" encoding="utf-8"?>
<table xmlns="http://schemas.openxmlformats.org/spreadsheetml/2006/main" id="3" name="Table3334" displayName="Table3334" ref="A2:I49" totalsRowShown="0" headerRowDxfId="526" headerRowBorderDxfId="525" tableBorderDxfId="524" totalsRowBorderDxfId="523">
  <tableColumns count="9">
    <tableColumn id="1" name="Carrier" dataDxfId="522"/>
    <tableColumn id="2" name="IP" dataDxfId="521">
      <calculatedColumnFormula>Table333456789101217[[#This Row],[IP]]</calculatedColumnFormula>
    </tableColumn>
    <tableColumn id="3" name="Carrier Code" dataDxfId="520">
      <calculatedColumnFormula>Table333456789101217[[#This Row],[Carrier Code]]</calculatedColumnFormula>
    </tableColumn>
    <tableColumn id="4" name="Company Panel" dataDxfId="519"/>
    <tableColumn id="8" name="Our Panel" dataDxfId="518">
      <calculatedColumnFormula>Table3334[[#This Row],[Company Panel]]+Table333[[#This Row],[Our Panel]]</calculatedColumnFormula>
    </tableColumn>
    <tableColumn id="5" name="MTD Company" dataDxfId="517">
      <calculatedColumnFormula>Table3334[[#This Row],[Company Panel]]+Table333[[#This Row],[MTD Company2]]</calculatedColumnFormula>
    </tableColumn>
    <tableColumn id="7" name="MTD Panel" dataDxfId="516">
      <calculatedColumnFormula>Table3334[[#This Row],[Our Panel]]+Table333[[#This Row],[MTD Panel]]</calculatedColumnFormula>
    </tableColumn>
    <tableColumn id="6" name="Difference" dataDxfId="515">
      <calculatedColumnFormula>D3-E3</calculatedColumnFormula>
    </tableColumn>
    <tableColumn id="9" name="MTD Difference" dataDxfId="514">
      <calculatedColumnFormula>F3-G3</calculatedColumnFormula>
    </tableColumn>
  </tableColumns>
  <tableStyleInfo name="TableStyleLight18" showFirstColumn="0" showLastColumn="0" showRowStripes="1" showColumnStripes="0"/>
</table>
</file>

<file path=xl/tables/table18.xml><?xml version="1.0" encoding="utf-8"?>
<table xmlns="http://schemas.openxmlformats.org/spreadsheetml/2006/main" id="4" name="Table33345" displayName="Table33345" ref="A2:I49" totalsRowShown="0" headerRowDxfId="507" headerRowBorderDxfId="506" tableBorderDxfId="505" totalsRowBorderDxfId="504">
  <tableColumns count="9">
    <tableColumn id="1" name="Carrier" dataDxfId="503"/>
    <tableColumn id="2" name="IP" dataDxfId="502">
      <calculatedColumnFormula>Table333456789101217[[#This Row],[IP]]</calculatedColumnFormula>
    </tableColumn>
    <tableColumn id="3" name="Carrier Code" dataDxfId="501">
      <calculatedColumnFormula>Table333456789101217[[#This Row],[Carrier Code]]</calculatedColumnFormula>
    </tableColumn>
    <tableColumn id="4" name="Company Panel" dataDxfId="500"/>
    <tableColumn id="8" name="Our Panel" dataDxfId="499">
      <calculatedColumnFormula>Table33345[[#This Row],[Company Panel]]+Table3334[[#This Row],[Our Panel]]</calculatedColumnFormula>
    </tableColumn>
    <tableColumn id="5" name="MTD Company" dataDxfId="498">
      <calculatedColumnFormula>Table33345[[#This Row],[Company Panel]]+Table3334[[#This Row],[MTD Company]]</calculatedColumnFormula>
    </tableColumn>
    <tableColumn id="7" name="MTD Panel" dataDxfId="497">
      <calculatedColumnFormula>Table33345[[#This Row],[Our Panel]]+Table3334[[#This Row],[MTD Panel]]</calculatedColumnFormula>
    </tableColumn>
    <tableColumn id="6" name="Difference" dataDxfId="496">
      <calculatedColumnFormula>D3-E3</calculatedColumnFormula>
    </tableColumn>
    <tableColumn id="9" name="MTD Difference" dataDxfId="495">
      <calculatedColumnFormula>F3-G3</calculatedColumnFormula>
    </tableColumn>
  </tableColumns>
  <tableStyleInfo name="TableStyleLight18" showFirstColumn="0" showLastColumn="0" showRowStripes="1" showColumnStripes="0"/>
</table>
</file>

<file path=xl/tables/table19.xml><?xml version="1.0" encoding="utf-8"?>
<table xmlns="http://schemas.openxmlformats.org/spreadsheetml/2006/main" id="5" name="Table333456" displayName="Table333456" ref="A2:I49" totalsRowShown="0" headerRowDxfId="488" headerRowBorderDxfId="487" tableBorderDxfId="486" totalsRowBorderDxfId="485">
  <tableColumns count="9">
    <tableColumn id="1" name="Carrier" dataDxfId="484"/>
    <tableColumn id="2" name="IP" dataDxfId="483">
      <calculatedColumnFormula>Table333456789101217[[#This Row],[IP]]</calculatedColumnFormula>
    </tableColumn>
    <tableColumn id="3" name="Carrier Code" dataDxfId="482">
      <calculatedColumnFormula>Table333456789101217[[#This Row],[Carrier Code]]</calculatedColumnFormula>
    </tableColumn>
    <tableColumn id="4" name="Company Panel" dataDxfId="481"/>
    <tableColumn id="8" name="Our Panel" dataDxfId="480">
      <calculatedColumnFormula>Table333456[[#This Row],[Company Panel]]+Table33345[[#This Row],[Our Panel]]</calculatedColumnFormula>
    </tableColumn>
    <tableColumn id="5" name="MTD Company" dataDxfId="479">
      <calculatedColumnFormula>Table333456[[#This Row],[Company Panel]]+Table33345[[#This Row],[MTD Company]]</calculatedColumnFormula>
    </tableColumn>
    <tableColumn id="7" name="MTD Panel" dataDxfId="478">
      <calculatedColumnFormula>Table333456[[#This Row],[Our Panel]]+Table33345[[#This Row],[MTD Panel]]</calculatedColumnFormula>
    </tableColumn>
    <tableColumn id="6" name="Difference" dataDxfId="477">
      <calculatedColumnFormula>D3-E3</calculatedColumnFormula>
    </tableColumn>
    <tableColumn id="9" name="MTD Difference" dataDxfId="476">
      <calculatedColumnFormula>F3-G3</calculatedColumnFormula>
    </tableColumn>
  </tableColumns>
  <tableStyleInfo name="TableStyleLight18" showFirstColumn="0" showLastColumn="0" showRowStripes="1" showColumnStripes="0"/>
</table>
</file>

<file path=xl/tables/table2.xml><?xml version="1.0" encoding="utf-8"?>
<table xmlns="http://schemas.openxmlformats.org/spreadsheetml/2006/main" id="38" name="Table38" displayName="Table38" ref="A4:A16" totalsRowShown="0">
  <tableColumns count="1">
    <tableColumn id="1" name="Files Included:"/>
  </tableColumns>
  <tableStyleInfo name="TableStyleMedium6" showFirstColumn="0" showLastColumn="0" showRowStripes="1" showColumnStripes="0"/>
</table>
</file>

<file path=xl/tables/table20.xml><?xml version="1.0" encoding="utf-8"?>
<table xmlns="http://schemas.openxmlformats.org/spreadsheetml/2006/main" id="6" name="Table3334567" displayName="Table3334567" ref="A2:I49" totalsRowShown="0" headerRowDxfId="469" headerRowBorderDxfId="468" tableBorderDxfId="467" totalsRowBorderDxfId="466">
  <tableColumns count="9">
    <tableColumn id="1" name="Carrier" dataDxfId="465"/>
    <tableColumn id="2" name="IP" dataDxfId="464">
      <calculatedColumnFormula>Table333456789101217[[#This Row],[IP]]</calculatedColumnFormula>
    </tableColumn>
    <tableColumn id="3" name="Carrier Code" dataDxfId="463">
      <calculatedColumnFormula>Table333456789101217[[#This Row],[Carrier Code]]</calculatedColumnFormula>
    </tableColumn>
    <tableColumn id="4" name="Company Panel" dataDxfId="462"/>
    <tableColumn id="8" name="Our Panel" dataDxfId="461">
      <calculatedColumnFormula>Table3334567[[#This Row],[Company Panel]]+Table333456[[#This Row],[Our Panel]]</calculatedColumnFormula>
    </tableColumn>
    <tableColumn id="5" name="MTD Company" dataDxfId="460">
      <calculatedColumnFormula>Table3334567[[#This Row],[Company Panel]]+Table333456[[#This Row],[MTD Company]]</calculatedColumnFormula>
    </tableColumn>
    <tableColumn id="7" name="MTD Panel" dataDxfId="459">
      <calculatedColumnFormula>Table3334567[[#This Row],[Our Panel]]+Table333456[[#This Row],[MTD Panel]]</calculatedColumnFormula>
    </tableColumn>
    <tableColumn id="6" name="Difference" dataDxfId="458">
      <calculatedColumnFormula>D3-E3</calculatedColumnFormula>
    </tableColumn>
    <tableColumn id="9" name="MTD Difference" dataDxfId="457">
      <calculatedColumnFormula>F3-G3</calculatedColumnFormula>
    </tableColumn>
  </tableColumns>
  <tableStyleInfo name="TableStyleLight18" showFirstColumn="0" showLastColumn="0" showRowStripes="1" showColumnStripes="0"/>
</table>
</file>

<file path=xl/tables/table21.xml><?xml version="1.0" encoding="utf-8"?>
<table xmlns="http://schemas.openxmlformats.org/spreadsheetml/2006/main" id="7" name="Table33345678" displayName="Table33345678" ref="A2:I49" totalsRowShown="0" headerRowDxfId="450" headerRowBorderDxfId="449" tableBorderDxfId="448" totalsRowBorderDxfId="447">
  <tableColumns count="9">
    <tableColumn id="1" name="Carrier" dataDxfId="446"/>
    <tableColumn id="2" name="IP" dataDxfId="445">
      <calculatedColumnFormula>Table333456789101217[[#This Row],[IP]]</calculatedColumnFormula>
    </tableColumn>
    <tableColumn id="3" name="Carrier Code" dataDxfId="444">
      <calculatedColumnFormula>Table333456789101217[[#This Row],[Carrier Code]]</calculatedColumnFormula>
    </tableColumn>
    <tableColumn id="4" name="Company Panel" dataDxfId="443"/>
    <tableColumn id="8" name="Our Panel" dataDxfId="442">
      <calculatedColumnFormula>Table33345678[[#This Row],[Company Panel]]+Table3334567[[#This Row],[Our Panel]]</calculatedColumnFormula>
    </tableColumn>
    <tableColumn id="5" name="MTD Company" dataDxfId="441">
      <calculatedColumnFormula>Table33345678[[#This Row],[Company Panel]]+Table3334567[[#This Row],[MTD Company]]</calculatedColumnFormula>
    </tableColumn>
    <tableColumn id="7" name="MTD Panel" dataDxfId="440">
      <calculatedColumnFormula>Table33345678[[#This Row],[Our Panel]]+Table3334567[[#This Row],[MTD Panel]]</calculatedColumnFormula>
    </tableColumn>
    <tableColumn id="6" name="Difference" dataDxfId="439">
      <calculatedColumnFormula>D3-E3</calculatedColumnFormula>
    </tableColumn>
    <tableColumn id="9" name="MTD Difference" dataDxfId="438">
      <calculatedColumnFormula>F3-G3</calculatedColumnFormula>
    </tableColumn>
  </tableColumns>
  <tableStyleInfo name="TableStyleLight18" showFirstColumn="0" showLastColumn="0" showRowStripes="1" showColumnStripes="0"/>
</table>
</file>

<file path=xl/tables/table22.xml><?xml version="1.0" encoding="utf-8"?>
<table xmlns="http://schemas.openxmlformats.org/spreadsheetml/2006/main" id="8" name="Table333456789" displayName="Table333456789" ref="A2:I49" totalsRowShown="0" headerRowDxfId="434" headerRowBorderDxfId="433" tableBorderDxfId="432" totalsRowBorderDxfId="431">
  <tableColumns count="9">
    <tableColumn id="1" name="Carrier" dataDxfId="430"/>
    <tableColumn id="2" name="IP" dataDxfId="429">
      <calculatedColumnFormula>Table333456789101217[[#This Row],[IP]]</calculatedColumnFormula>
    </tableColumn>
    <tableColumn id="3" name="Carrier Code" dataDxfId="428">
      <calculatedColumnFormula>Table333456789101217[[#This Row],[Carrier Code]]</calculatedColumnFormula>
    </tableColumn>
    <tableColumn id="4" name="Company Panel" dataDxfId="427"/>
    <tableColumn id="8" name="Our panel" dataDxfId="426">
      <calculatedColumnFormula>Table333456789[[#This Row],[Company Panel]]+Table33345678[[#This Row],[Our Panel]]</calculatedColumnFormula>
    </tableColumn>
    <tableColumn id="5" name="MTD Company" dataDxfId="425">
      <calculatedColumnFormula>Table333456789[[#This Row],[Company Panel]]+Table33345678[[#This Row],[MTD Company]]</calculatedColumnFormula>
    </tableColumn>
    <tableColumn id="7" name="MTD Panel" dataDxfId="424">
      <calculatedColumnFormula>Table333456789[[#This Row],[Our panel]]+Table33345678[[#This Row],[MTD Panel]]</calculatedColumnFormula>
    </tableColumn>
    <tableColumn id="6" name="Difference" dataDxfId="423">
      <calculatedColumnFormula>D3-E3</calculatedColumnFormula>
    </tableColumn>
    <tableColumn id="9" name="MTD Difference" dataDxfId="422">
      <calculatedColumnFormula>F3-G3</calculatedColumnFormula>
    </tableColumn>
  </tableColumns>
  <tableStyleInfo name="TableStyleLight18" showFirstColumn="0" showLastColumn="0" showRowStripes="1" showColumnStripes="0"/>
</table>
</file>

<file path=xl/tables/table23.xml><?xml version="1.0" encoding="utf-8"?>
<table xmlns="http://schemas.openxmlformats.org/spreadsheetml/2006/main" id="9" name="Table33345678910" displayName="Table33345678910" ref="A2:I49" totalsRowShown="0" headerRowDxfId="415" headerRowBorderDxfId="414" tableBorderDxfId="413" totalsRowBorderDxfId="412">
  <tableColumns count="9">
    <tableColumn id="1" name="Carrier" dataDxfId="411"/>
    <tableColumn id="2" name="IP" dataDxfId="410">
      <calculatedColumnFormula>Table333456789101217[[#This Row],[IP]]</calculatedColumnFormula>
    </tableColumn>
    <tableColumn id="3" name="Carrier Code" dataDxfId="409">
      <calculatedColumnFormula>Table333456789101217[[#This Row],[Carrier Code]]</calculatedColumnFormula>
    </tableColumn>
    <tableColumn id="4" name="Company Panel" dataDxfId="408"/>
    <tableColumn id="8" name="Our panel" dataDxfId="407">
      <calculatedColumnFormula>Table33345678910[[#This Row],[Company Panel]]+Table33345678[[#This Row],[Our Panel]]</calculatedColumnFormula>
    </tableColumn>
    <tableColumn id="5" name="MTD Company" dataDxfId="406">
      <calculatedColumnFormula>Table33345678910[[#This Row],[Company Panel]]+Table333456789[[#This Row],[MTD Company]]</calculatedColumnFormula>
    </tableColumn>
    <tableColumn id="7" name="MTD Panel" dataDxfId="405">
      <calculatedColumnFormula>Table33345678910[[#This Row],[Our panel]]+Table333456789[[#This Row],[MTD Panel]]</calculatedColumnFormula>
    </tableColumn>
    <tableColumn id="6" name="Difference" dataDxfId="404">
      <calculatedColumnFormula>Table33345678910[[#This Row],[Company Panel]]-Table33345678910[[#This Row],[Our panel]]</calculatedColumnFormula>
    </tableColumn>
    <tableColumn id="9" name="MTD Difference" dataDxfId="403">
      <calculatedColumnFormula>Table33345678910[[#This Row],[MTD Company]]-Table33345678910[[#This Row],[MTD Panel]]</calculatedColumnFormula>
    </tableColumn>
  </tableColumns>
  <tableStyleInfo name="TableStyleLight18" showFirstColumn="0" showLastColumn="0" showRowStripes="1" showColumnStripes="0"/>
</table>
</file>

<file path=xl/tables/table24.xml><?xml version="1.0" encoding="utf-8"?>
<table xmlns="http://schemas.openxmlformats.org/spreadsheetml/2006/main" id="11" name="Table3334567891012" displayName="Table3334567891012" ref="A2:I49" totalsRowShown="0" headerRowDxfId="396" headerRowBorderDxfId="395" tableBorderDxfId="394" totalsRowBorderDxfId="393">
  <tableColumns count="9">
    <tableColumn id="1" name="Carrier" dataDxfId="392"/>
    <tableColumn id="2" name="IP" dataDxfId="391">
      <calculatedColumnFormula>Table333456789101217[[#This Row],[IP]]</calculatedColumnFormula>
    </tableColumn>
    <tableColumn id="3" name="Carrier Code" dataDxfId="390">
      <calculatedColumnFormula>Table333456789101217[[#This Row],[Carrier Code]]</calculatedColumnFormula>
    </tableColumn>
    <tableColumn id="4" name="Company Panel" dataDxfId="389"/>
    <tableColumn id="8" name="Our panel" dataDxfId="388">
      <calculatedColumnFormula>Table3334567891012[[#This Row],[Company Panel]]+Table33345678[[#This Row],[Our Panel]]</calculatedColumnFormula>
    </tableColumn>
    <tableColumn id="5" name="MTD Company" dataDxfId="387">
      <calculatedColumnFormula>Table3334567891012[[#This Row],[Company Panel]]+Table33345678910[[#This Row],[MTD Company]]</calculatedColumnFormula>
    </tableColumn>
    <tableColumn id="7" name="MTD Panel" dataDxfId="386">
      <calculatedColumnFormula>Table3334567891012[[#This Row],[Our panel]]+Table33345678910[[#This Row],[MTD Panel]]</calculatedColumnFormula>
    </tableColumn>
    <tableColumn id="6" name="Difference" dataDxfId="385">
      <calculatedColumnFormula>Table3334567891012[[#This Row],[Company Panel]]-Table3334567891012[[#This Row],[Our panel]]</calculatedColumnFormula>
    </tableColumn>
    <tableColumn id="9" name="MTD Difference" dataDxfId="384">
      <calculatedColumnFormula>Table3334567891012[[#This Row],[MTD Company]]-Table3334567891012[[#This Row],[MTD Panel]]</calculatedColumnFormula>
    </tableColumn>
  </tableColumns>
  <tableStyleInfo name="TableStyleLight18" showFirstColumn="0" showLastColumn="0" showRowStripes="1" showColumnStripes="0"/>
</table>
</file>

<file path=xl/tables/table25.xml><?xml version="1.0" encoding="utf-8"?>
<table xmlns="http://schemas.openxmlformats.org/spreadsheetml/2006/main" id="10" name="Table333456789101211" displayName="Table333456789101211" ref="A2:I49" totalsRowShown="0" headerRowDxfId="377" headerRowBorderDxfId="376" tableBorderDxfId="375" totalsRowBorderDxfId="374">
  <tableColumns count="9">
    <tableColumn id="1" name="Carrier" dataDxfId="373"/>
    <tableColumn id="2" name="IP" dataDxfId="372">
      <calculatedColumnFormula>Table333456789101217[[#This Row],[IP]]</calculatedColumnFormula>
    </tableColumn>
    <tableColumn id="3" name="Carrier Code" dataDxfId="371">
      <calculatedColumnFormula>Table333456789101217[[#This Row],[Carrier Code]]</calculatedColumnFormula>
    </tableColumn>
    <tableColumn id="4" name="Company Panel" dataDxfId="370"/>
    <tableColumn id="8" name="Our panel" dataDxfId="369">
      <calculatedColumnFormula>Table333456789101211[[#This Row],[Company Panel]]+Table33345678[[#This Row],[Our Panel]]</calculatedColumnFormula>
    </tableColumn>
    <tableColumn id="5" name="MTD Company" dataDxfId="368">
      <calculatedColumnFormula>Table333456789101211[[#This Row],[Company Panel]]+Table3334567891012[[#This Row],[MTD Company]]</calculatedColumnFormula>
    </tableColumn>
    <tableColumn id="7" name="MTD Panel" dataDxfId="367">
      <calculatedColumnFormula>Table333456789101211[[#This Row],[Our panel]]+Table3334567891012[[#This Row],[MTD Panel]]</calculatedColumnFormula>
    </tableColumn>
    <tableColumn id="6" name="Difference" dataDxfId="366">
      <calculatedColumnFormula>Table333456789101211[[#This Row],[Company Panel]]-Table333456789101211[[#This Row],[Our panel]]</calculatedColumnFormula>
    </tableColumn>
    <tableColumn id="9" name="MTD Difference" dataDxfId="365">
      <calculatedColumnFormula>Table333456789101211[[#This Row],[MTD Company]]-Table333456789101211[[#This Row],[MTD Panel]]</calculatedColumnFormula>
    </tableColumn>
  </tableColumns>
  <tableStyleInfo name="TableStyleLight18" showFirstColumn="0" showLastColumn="0" showRowStripes="1" showColumnStripes="0"/>
</table>
</file>

<file path=xl/tables/table26.xml><?xml version="1.0" encoding="utf-8"?>
<table xmlns="http://schemas.openxmlformats.org/spreadsheetml/2006/main" id="17" name="Table33345678910121118" displayName="Table33345678910121118" ref="A2:I49" totalsRowShown="0" headerRowDxfId="358" headerRowBorderDxfId="357" tableBorderDxfId="356" totalsRowBorderDxfId="355">
  <tableColumns count="9">
    <tableColumn id="1" name="Carrier" dataDxfId="354"/>
    <tableColumn id="2" name="IP" dataDxfId="353">
      <calculatedColumnFormula>Table333456789101217[[#This Row],[IP]]</calculatedColumnFormula>
    </tableColumn>
    <tableColumn id="3" name="Carrier Code" dataDxfId="352">
      <calculatedColumnFormula>Table333456789101217[[#This Row],[Carrier Code]]</calculatedColumnFormula>
    </tableColumn>
    <tableColumn id="4" name="Company Panel" dataDxfId="351"/>
    <tableColumn id="8" name="Our panel" dataDxfId="350">
      <calculatedColumnFormula>Table33345678910121118[[#This Row],[Company Panel]]+Table33345678[[#This Row],[Our Panel]]</calculatedColumnFormula>
    </tableColumn>
    <tableColumn id="5" name="MTD Company" dataDxfId="349">
      <calculatedColumnFormula>Table33345678910121118[[#This Row],[Company Panel]]+Table333456789101211[[#This Row],[MTD Company]]</calculatedColumnFormula>
    </tableColumn>
    <tableColumn id="7" name="MTD Panel" dataDxfId="348">
      <calculatedColumnFormula>Table33345678910121118[[#This Row],[Our panel]]+Table333456789101211[[#This Row],[MTD Panel]]</calculatedColumnFormula>
    </tableColumn>
    <tableColumn id="6" name="Difference" dataDxfId="347">
      <calculatedColumnFormula>Table33345678910121118[[#This Row],[Company Panel]]-Table33345678910121118[[#This Row],[Our panel]]</calculatedColumnFormula>
    </tableColumn>
    <tableColumn id="9" name="MTD Difference" dataDxfId="346">
      <calculatedColumnFormula>Table33345678910121118[[#This Row],[MTD Company]]-Table33345678910121118[[#This Row],[MTD Panel]]</calculatedColumnFormula>
    </tableColumn>
  </tableColumns>
  <tableStyleInfo name="TableStyleLight18" showFirstColumn="0" showLastColumn="0" showRowStripes="1" showColumnStripes="0"/>
</table>
</file>

<file path=xl/tables/table27.xml><?xml version="1.0" encoding="utf-8"?>
<table xmlns="http://schemas.openxmlformats.org/spreadsheetml/2006/main" id="19" name="Table33345678910121120" displayName="Table33345678910121120" ref="A2:I49" totalsRowShown="0" headerRowDxfId="340" headerRowBorderDxfId="339" tableBorderDxfId="338">
  <tableColumns count="9">
    <tableColumn id="1" name="Carrier" dataDxfId="337" totalsRowDxfId="336"/>
    <tableColumn id="2" name="IP" dataDxfId="335" totalsRowDxfId="334">
      <calculatedColumnFormula>Table333456789101217[[#This Row],[IP]]</calculatedColumnFormula>
    </tableColumn>
    <tableColumn id="3" name="Carrier Code" dataDxfId="333" totalsRowDxfId="332">
      <calculatedColumnFormula>Table333456789101217[[#This Row],[Carrier Code]]</calculatedColumnFormula>
    </tableColumn>
    <tableColumn id="4" name="Company Panel" dataDxfId="331" totalsRowDxfId="330"/>
    <tableColumn id="8" name="Our panel" dataDxfId="329" totalsRowDxfId="328">
      <calculatedColumnFormula>Table33345678910121120[[#This Row],[Company Panel]]+Table33345678[[#This Row],[Our Panel]]</calculatedColumnFormula>
    </tableColumn>
    <tableColumn id="5" name="MTD Company" dataDxfId="327" totalsRowDxfId="326">
      <calculatedColumnFormula>Table33345678910121120[[#This Row],[Company Panel]]+Table33345678910121118[[#This Row],[MTD Company]]</calculatedColumnFormula>
    </tableColumn>
    <tableColumn id="7" name="MTD Panel" dataDxfId="325" totalsRowDxfId="324">
      <calculatedColumnFormula>Table33345678910121120[[#This Row],[Our panel]]+Table33345678910121118[[#This Row],[MTD Panel]]</calculatedColumnFormula>
    </tableColumn>
    <tableColumn id="6" name="Difference" dataDxfId="323" totalsRowDxfId="322">
      <calculatedColumnFormula>Table33345678910121120[[#This Row],[Company Panel]]-Table33345678910121120[[#This Row],[Our panel]]</calculatedColumnFormula>
    </tableColumn>
    <tableColumn id="9" name="MTD Difference" dataDxfId="321" totalsRowDxfId="320">
      <calculatedColumnFormula>Table33345678910121120[[#This Row],[MTD Company]]-Table33345678910121120[[#This Row],[MTD Panel]]</calculatedColumnFormula>
    </tableColumn>
  </tableColumns>
  <tableStyleInfo name="TableStyleLight18" showFirstColumn="0" showLastColumn="0" showRowStripes="1" showColumnStripes="0"/>
</table>
</file>

<file path=xl/tables/table28.xml><?xml version="1.0" encoding="utf-8"?>
<table xmlns="http://schemas.openxmlformats.org/spreadsheetml/2006/main" id="20" name="Table33345678910121121" displayName="Table33345678910121121" ref="A2:I49" totalsRowShown="0" headerRowDxfId="313" headerRowBorderDxfId="312" tableBorderDxfId="311" totalsRowBorderDxfId="310">
  <tableColumns count="9">
    <tableColumn id="1" name="Carrier" dataDxfId="309"/>
    <tableColumn id="2" name="IP" dataDxfId="308">
      <calculatedColumnFormula>Table333456789101217[[#This Row],[IP]]</calculatedColumnFormula>
    </tableColumn>
    <tableColumn id="3" name="Carrier Code" dataDxfId="307">
      <calculatedColumnFormula>Table333456789101217[[#This Row],[Carrier Code]]</calculatedColumnFormula>
    </tableColumn>
    <tableColumn id="4" name="Company Panel" dataDxfId="306"/>
    <tableColumn id="8" name="Our panel" dataDxfId="305">
      <calculatedColumnFormula>Table33345678910121121[[#This Row],[Company Panel]]+Table33345678[[#This Row],[Our Panel]]</calculatedColumnFormula>
    </tableColumn>
    <tableColumn id="5" name="MTD Company" dataDxfId="304">
      <calculatedColumnFormula>Table33345678910121121[[#This Row],[Company Panel]]+Table33345678910121120[[#This Row],[MTD Company]]</calculatedColumnFormula>
    </tableColumn>
    <tableColumn id="7" name="MTD Panel" dataDxfId="303">
      <calculatedColumnFormula>Table33345678910121121[[#This Row],[Our panel]]+Table33345678910121120[[#This Row],[MTD Panel]]</calculatedColumnFormula>
    </tableColumn>
    <tableColumn id="6" name="Difference" dataDxfId="302">
      <calculatedColumnFormula>Table33345678910121121[[#This Row],[Company Panel]]-Table33345678910121121[[#This Row],[Our panel]]</calculatedColumnFormula>
    </tableColumn>
    <tableColumn id="9" name="MTD Difference" dataDxfId="301">
      <calculatedColumnFormula>Table33345678910121121[[#This Row],[MTD Company]]-Table33345678910121121[[#This Row],[MTD Panel]]</calculatedColumnFormula>
    </tableColumn>
  </tableColumns>
  <tableStyleInfo name="TableStyleLight18" showFirstColumn="0" showLastColumn="0" showRowStripes="1" showColumnStripes="0"/>
</table>
</file>

<file path=xl/tables/table29.xml><?xml version="1.0" encoding="utf-8"?>
<table xmlns="http://schemas.openxmlformats.org/spreadsheetml/2006/main" id="21" name="Table3334567891012112122" displayName="Table3334567891012112122" ref="A2:I49" totalsRowShown="0" headerRowDxfId="294" headerRowBorderDxfId="293" tableBorderDxfId="292" totalsRowBorderDxfId="291">
  <tableColumns count="9">
    <tableColumn id="1" name="Carrier" dataDxfId="290"/>
    <tableColumn id="2" name="IP" dataDxfId="289">
      <calculatedColumnFormula>Table333456789101217[[#This Row],[IP]]</calculatedColumnFormula>
    </tableColumn>
    <tableColumn id="3" name="Carrier Code" dataDxfId="288">
      <calculatedColumnFormula>Table333456789101217[[#This Row],[Carrier Code]]</calculatedColumnFormula>
    </tableColumn>
    <tableColumn id="4" name="Company Panel" dataDxfId="287"/>
    <tableColumn id="8" name="Our panel" dataDxfId="286"/>
    <tableColumn id="5" name="MTD Company" dataDxfId="285">
      <calculatedColumnFormula>Table3334567891012112122[[#This Row],[Company Panel]]+Table33345678910121121[[#This Row],[MTD Company]]</calculatedColumnFormula>
    </tableColumn>
    <tableColumn id="7" name="MTD Panel" dataDxfId="284">
      <calculatedColumnFormula>Table3334567891012112122[[#This Row],[Our panel]]+Table33345678910121121[[#This Row],[MTD Panel]]</calculatedColumnFormula>
    </tableColumn>
    <tableColumn id="6" name="Difference" dataDxfId="283">
      <calculatedColumnFormula>Table3334567891012112122[[#This Row],[Company Panel]]-Table3334567891012112122[[#This Row],[Our panel]]</calculatedColumnFormula>
    </tableColumn>
    <tableColumn id="9" name="MTD Difference" dataDxfId="282">
      <calculatedColumnFormula>Table3334567891012112122[[#This Row],[MTD Company]]-Table3334567891012112122[[#This Row],[MTD Panel]]</calculatedColumnFormula>
    </tableColumn>
  </tableColumns>
  <tableStyleInfo name="TableStyleLight18" showFirstColumn="0" showLastColumn="0" showRowStripes="1" showColumnStripes="0"/>
</table>
</file>

<file path=xl/tables/table3.xml><?xml version="1.0" encoding="utf-8"?>
<table xmlns="http://schemas.openxmlformats.org/spreadsheetml/2006/main" id="41" name="Table41" displayName="Table41" ref="A18:A25" totalsRowShown="0" headerRowDxfId="723">
  <tableColumns count="1">
    <tableColumn id="1" name="How It Works (Data Flow):"/>
  </tableColumns>
  <tableStyleInfo name="TableStyleMedium6" showFirstColumn="0" showLastColumn="0" showRowStripes="1" showColumnStripes="0"/>
</table>
</file>

<file path=xl/tables/table30.xml><?xml version="1.0" encoding="utf-8"?>
<table xmlns="http://schemas.openxmlformats.org/spreadsheetml/2006/main" id="22" name="Table333456789101211212223" displayName="Table333456789101211212223" ref="A2:I49" totalsRowShown="0" headerRowDxfId="275" headerRowBorderDxfId="274" tableBorderDxfId="273" totalsRowBorderDxfId="272">
  <tableColumns count="9">
    <tableColumn id="1" name="Carrier" dataDxfId="271"/>
    <tableColumn id="2" name="IP" dataDxfId="270">
      <calculatedColumnFormula>Table333456789101217[[#This Row],[IP]]</calculatedColumnFormula>
    </tableColumn>
    <tableColumn id="3" name="Carrier Code" dataDxfId="269">
      <calculatedColumnFormula>Table333456789101217[[#This Row],[Carrier Code]]</calculatedColumnFormula>
    </tableColumn>
    <tableColumn id="4" name="Company Panel" dataDxfId="268"/>
    <tableColumn id="8" name="Our panel" dataDxfId="267"/>
    <tableColumn id="5" name="MTD Company" dataDxfId="266">
      <calculatedColumnFormula>Table333456789101211212223[[#This Row],[Company Panel]]+Table3334567891012112122[[#This Row],[MTD Company]]</calculatedColumnFormula>
    </tableColumn>
    <tableColumn id="7" name="MTD Panel" dataDxfId="265">
      <calculatedColumnFormula>Table333456789101211212223[[#This Row],[Our panel]]+Table3334567891012112122[[#This Row],[MTD Panel]]</calculatedColumnFormula>
    </tableColumn>
    <tableColumn id="6" name="Difference" dataDxfId="264">
      <calculatedColumnFormula>Table333456789101211212223[[#This Row],[Company Panel]]-Table333456789101211212223[[#This Row],[Our panel]]</calculatedColumnFormula>
    </tableColumn>
    <tableColumn id="9" name="MTD Difference" dataDxfId="263">
      <calculatedColumnFormula>Table333456789101211212223[[#This Row],[MTD Company]]-Table333456789101211212223[[#This Row],[MTD Panel]]</calculatedColumnFormula>
    </tableColumn>
  </tableColumns>
  <tableStyleInfo name="TableStyleLight18" showFirstColumn="0" showLastColumn="0" showRowStripes="1" showColumnStripes="0"/>
</table>
</file>

<file path=xl/tables/table31.xml><?xml version="1.0" encoding="utf-8"?>
<table xmlns="http://schemas.openxmlformats.org/spreadsheetml/2006/main" id="23" name="Table33345678910121121222324" displayName="Table33345678910121121222324" ref="A2:I49" totalsRowShown="0" headerRowDxfId="256" headerRowBorderDxfId="255" tableBorderDxfId="254" totalsRowBorderDxfId="253">
  <tableColumns count="9">
    <tableColumn id="1" name="Carrier" dataDxfId="252"/>
    <tableColumn id="2" name="IP" dataDxfId="251">
      <calculatedColumnFormula>Table333456789101217[[#This Row],[IP]]</calculatedColumnFormula>
    </tableColumn>
    <tableColumn id="3" name="Carrier Code" dataDxfId="250">
      <calculatedColumnFormula>Table333456789101217[[#This Row],[Carrier Code]]</calculatedColumnFormula>
    </tableColumn>
    <tableColumn id="4" name="Company Panel" dataDxfId="249"/>
    <tableColumn id="8" name="Our panel" dataDxfId="248">
      <calculatedColumnFormula>Table33345678910121121222324[[#This Row],[Company Panel]]+Table33345678[[#This Row],[Our Panel]]</calculatedColumnFormula>
    </tableColumn>
    <tableColumn id="5" name="MTD Company" dataDxfId="247">
      <calculatedColumnFormula>Table33345678910121121222324[[#This Row],[Company Panel]]+Table333456789101211212223[[#This Row],[MTD Company]]</calculatedColumnFormula>
    </tableColumn>
    <tableColumn id="7" name="MTD Panel" dataDxfId="246">
      <calculatedColumnFormula>Table33345678910121121222324[[#This Row],[Our panel]]+Table333456789101211212223[[#This Row],[MTD Panel]]</calculatedColumnFormula>
    </tableColumn>
    <tableColumn id="6" name="Difference" dataDxfId="245">
      <calculatedColumnFormula>Table33345678910121121222324[[#This Row],[Company Panel]]-Table33345678910121121222324[[#This Row],[Our panel]]</calculatedColumnFormula>
    </tableColumn>
    <tableColumn id="9" name="MTD Difference" dataDxfId="244">
      <calculatedColumnFormula>Table33345678910121121222324[[#This Row],[MTD Company]]-Table33345678910121121222324[[#This Row],[MTD Panel]]</calculatedColumnFormula>
    </tableColumn>
  </tableColumns>
  <tableStyleInfo name="TableStyleLight18" showFirstColumn="0" showLastColumn="0" showRowStripes="1" showColumnStripes="0"/>
</table>
</file>

<file path=xl/tables/table32.xml><?xml version="1.0" encoding="utf-8"?>
<table xmlns="http://schemas.openxmlformats.org/spreadsheetml/2006/main" id="24" name="Table3334567891012112122232425" displayName="Table3334567891012112122232425" ref="A2:I49" totalsRowShown="0" headerRowDxfId="237" headerRowBorderDxfId="236" tableBorderDxfId="235" totalsRowBorderDxfId="234">
  <tableColumns count="9">
    <tableColumn id="1" name="Carrier" dataDxfId="233"/>
    <tableColumn id="2" name="IP" dataDxfId="232">
      <calculatedColumnFormula>Table333456789101217[[#This Row],[IP]]</calculatedColumnFormula>
    </tableColumn>
    <tableColumn id="3" name="Carrier Code" dataDxfId="231">
      <calculatedColumnFormula>Table333456789101217[[#This Row],[Carrier Code]]</calculatedColumnFormula>
    </tableColumn>
    <tableColumn id="4" name="Company Panel" dataDxfId="230"/>
    <tableColumn id="8" name="Our panel" dataDxfId="229">
      <calculatedColumnFormula>Table3334567891012112122232425[[#This Row],[Company Panel]]+Table33345678[[#This Row],[Our Panel]]</calculatedColumnFormula>
    </tableColumn>
    <tableColumn id="5" name="MTD Company" dataDxfId="228">
      <calculatedColumnFormula>Table3334567891012112122232425[[#This Row],[Company Panel]]+Table33345678910121121222324[[#This Row],[MTD Company]]</calculatedColumnFormula>
    </tableColumn>
    <tableColumn id="7" name="MTD Panel" dataDxfId="227">
      <calculatedColumnFormula>Table3334567891012112122232425[[#This Row],[Our panel]]+Table33345678910121121222324[[#This Row],[MTD Panel]]</calculatedColumnFormula>
    </tableColumn>
    <tableColumn id="6" name="Difference" dataDxfId="226">
      <calculatedColumnFormula>Table3334567891012112122232425[[#This Row],[Company Panel]]-Table3334567891012112122232425[[#This Row],[Our panel]]</calculatedColumnFormula>
    </tableColumn>
    <tableColumn id="9" name="MTD Difference" dataDxfId="225">
      <calculatedColumnFormula>Table3334567891012112122232425[[#This Row],[MTD Company]]-Table3334567891012112122232425[[#This Row],[MTD Panel]]</calculatedColumnFormula>
    </tableColumn>
  </tableColumns>
  <tableStyleInfo name="TableStyleLight18" showFirstColumn="0" showLastColumn="0" showRowStripes="1" showColumnStripes="0"/>
</table>
</file>

<file path=xl/tables/table33.xml><?xml version="1.0" encoding="utf-8"?>
<table xmlns="http://schemas.openxmlformats.org/spreadsheetml/2006/main" id="25" name="Table333456789101211212223242526" displayName="Table333456789101211212223242526" ref="A2:I49" totalsRowShown="0" headerRowDxfId="218" headerRowBorderDxfId="217" tableBorderDxfId="216" totalsRowBorderDxfId="215">
  <tableColumns count="9">
    <tableColumn id="1" name="Carrier" dataDxfId="214"/>
    <tableColumn id="2" name="IP" dataDxfId="213">
      <calculatedColumnFormula>Table333456789101217[[#This Row],[IP]]</calculatedColumnFormula>
    </tableColumn>
    <tableColumn id="3" name="Carrier Code" dataDxfId="212">
      <calculatedColumnFormula>Table333456789101217[[#This Row],[Carrier Code]]</calculatedColumnFormula>
    </tableColumn>
    <tableColumn id="4" name="Company Panel" dataDxfId="211"/>
    <tableColumn id="8" name="Our panel" dataDxfId="210">
      <calculatedColumnFormula>Table333456789101211212223242526[[#This Row],[Company Panel]]+Table33345678[[#This Row],[Our Panel]]</calculatedColumnFormula>
    </tableColumn>
    <tableColumn id="5" name="MTD Company" dataDxfId="209">
      <calculatedColumnFormula>Table333456789101211212223242526[[#This Row],[Company Panel]]+Table3334567891012112122232425[[#This Row],[MTD Company]]</calculatedColumnFormula>
    </tableColumn>
    <tableColumn id="7" name="MTD Panel" dataDxfId="208">
      <calculatedColumnFormula>Table333456789101211212223242526[[#This Row],[Our panel]]+Table3334567891012112122232425[[#This Row],[MTD Panel]]</calculatedColumnFormula>
    </tableColumn>
    <tableColumn id="6" name="Difference" dataDxfId="207">
      <calculatedColumnFormula>Table333456789101211212223242526[[#This Row],[Company Panel]]-Table333456789101211212223242526[[#This Row],[Our panel]]</calculatedColumnFormula>
    </tableColumn>
    <tableColumn id="9" name="MTD Difference" dataDxfId="206">
      <calculatedColumnFormula>Table333456789101211212223242526[[#This Row],[MTD Company]]-Table333456789101211212223242526[[#This Row],[MTD Panel]]</calculatedColumnFormula>
    </tableColumn>
  </tableColumns>
  <tableStyleInfo name="TableStyleLight18" showFirstColumn="0" showLastColumn="0" showRowStripes="1" showColumnStripes="0"/>
</table>
</file>

<file path=xl/tables/table34.xml><?xml version="1.0" encoding="utf-8"?>
<table xmlns="http://schemas.openxmlformats.org/spreadsheetml/2006/main" id="26" name="Table333456789101211212223242527" displayName="Table333456789101211212223242527" ref="A2:I49" totalsRowShown="0" headerRowDxfId="199" headerRowBorderDxfId="198" tableBorderDxfId="197" totalsRowBorderDxfId="196">
  <tableColumns count="9">
    <tableColumn id="1" name="Carrier" dataDxfId="195"/>
    <tableColumn id="2" name="IP" dataDxfId="194">
      <calculatedColumnFormula>Table333456789101217[[#This Row],[IP]]</calculatedColumnFormula>
    </tableColumn>
    <tableColumn id="3" name="Carrier Code" dataDxfId="193">
      <calculatedColumnFormula>Table333456789101217[[#This Row],[Carrier Code]]</calculatedColumnFormula>
    </tableColumn>
    <tableColumn id="4" name="Company Panel" dataDxfId="192"/>
    <tableColumn id="8" name="Our panel" dataDxfId="191">
      <calculatedColumnFormula>Table333456789101211212223242527[[#This Row],[Company Panel]]+Table33345678[[#This Row],[Our Panel]]</calculatedColumnFormula>
    </tableColumn>
    <tableColumn id="5" name="MTD Company" dataDxfId="190">
      <calculatedColumnFormula>Table333456789101211212223242527[[#This Row],[Company Panel]]+Table333456789101211212223242526[[#This Row],[MTD Company]]</calculatedColumnFormula>
    </tableColumn>
    <tableColumn id="7" name="MTD Panel" dataDxfId="189">
      <calculatedColumnFormula>Table333456789101211212223242527[[#This Row],[Our panel]]+Table333456789101211212223242526[[#This Row],[MTD Panel]]</calculatedColumnFormula>
    </tableColumn>
    <tableColumn id="6" name="Difference" dataDxfId="188">
      <calculatedColumnFormula>Table333456789101211212223242527[[#This Row],[Company Panel]]-Table333456789101211212223242527[[#This Row],[Our panel]]</calculatedColumnFormula>
    </tableColumn>
    <tableColumn id="9" name="MTD Difference" dataDxfId="187">
      <calculatedColumnFormula>Table333456789101211212223242527[[#This Row],[MTD Company]]-Table333456789101211212223242527[[#This Row],[MTD Panel]]</calculatedColumnFormula>
    </tableColumn>
  </tableColumns>
  <tableStyleInfo name="TableStyleLight18" showFirstColumn="0" showLastColumn="0" showRowStripes="1" showColumnStripes="0"/>
</table>
</file>

<file path=xl/tables/table35.xml><?xml version="1.0" encoding="utf-8"?>
<table xmlns="http://schemas.openxmlformats.org/spreadsheetml/2006/main" id="27" name="Table33345678910121121222324252728" displayName="Table33345678910121121222324252728" ref="A2:I49" totalsRowShown="0" headerRowDxfId="180" headerRowBorderDxfId="179" tableBorderDxfId="178" totalsRowBorderDxfId="177">
  <tableColumns count="9">
    <tableColumn id="1" name="Carrier" dataDxfId="176"/>
    <tableColumn id="2" name="IP" dataDxfId="175">
      <calculatedColumnFormula>Table333456789101217[[#This Row],[IP]]</calculatedColumnFormula>
    </tableColumn>
    <tableColumn id="3" name="Carrier Code" dataDxfId="174">
      <calculatedColumnFormula>Table333456789101217[[#This Row],[Carrier Code]]</calculatedColumnFormula>
    </tableColumn>
    <tableColumn id="4" name="Company Panel" dataDxfId="173"/>
    <tableColumn id="8" name="Our panel" dataDxfId="172">
      <calculatedColumnFormula>Table33345678910121121222324252728[[#This Row],[Company Panel]]+Table33345678[[#This Row],[Our Panel]]</calculatedColumnFormula>
    </tableColumn>
    <tableColumn id="5" name="MTD Company" dataDxfId="171">
      <calculatedColumnFormula>Table33345678910121121222324252728[[#This Row],[Company Panel]]+Table333456789101211212223242527[[#This Row],[MTD Company]]</calculatedColumnFormula>
    </tableColumn>
    <tableColumn id="7" name="MTD Panel" dataDxfId="170">
      <calculatedColumnFormula>Table33345678910121121222324252728[[#This Row],[Our panel]]+Table333456789101211212223242527[[#This Row],[MTD Panel]]</calculatedColumnFormula>
    </tableColumn>
    <tableColumn id="6" name="Difference" dataDxfId="169">
      <calculatedColumnFormula>Table33345678910121121222324252728[[#This Row],[Company Panel]]-Table33345678910121121222324252728[[#This Row],[Our panel]]</calculatedColumnFormula>
    </tableColumn>
    <tableColumn id="9" name="MTD Difference" dataDxfId="168">
      <calculatedColumnFormula>Table33345678910121121222324252728[[#This Row],[MTD Company]]-Table33345678910121121222324252728[[#This Row],[MTD Panel]]</calculatedColumnFormula>
    </tableColumn>
  </tableColumns>
  <tableStyleInfo name="TableStyleLight18" showFirstColumn="0" showLastColumn="0" showRowStripes="1" showColumnStripes="0"/>
</table>
</file>

<file path=xl/tables/table36.xml><?xml version="1.0" encoding="utf-8"?>
<table xmlns="http://schemas.openxmlformats.org/spreadsheetml/2006/main" id="28" name="Table3334567891012112122232425272829" displayName="Table3334567891012112122232425272829" ref="A2:I49" totalsRowShown="0" headerRowDxfId="164" headerRowBorderDxfId="163" tableBorderDxfId="162" totalsRowBorderDxfId="161">
  <tableColumns count="9">
    <tableColumn id="1" name="Carrier" dataDxfId="160"/>
    <tableColumn id="2" name="IP" dataDxfId="159">
      <calculatedColumnFormula>Table333456789101217[[#This Row],[IP]]</calculatedColumnFormula>
    </tableColumn>
    <tableColumn id="3" name="Carrier Code" dataDxfId="158">
      <calculatedColumnFormula>Table333456789101217[[#This Row],[Carrier Code]]</calculatedColumnFormula>
    </tableColumn>
    <tableColumn id="4" name="Company Panel" dataDxfId="157"/>
    <tableColumn id="8" name="Our panel" dataDxfId="156">
      <calculatedColumnFormula>Table3334567891012112122232425272829[[#This Row],[Company Panel]]+Table33345678[[#This Row],[Our Panel]]</calculatedColumnFormula>
    </tableColumn>
    <tableColumn id="5" name="MTD Company" dataDxfId="155">
      <calculatedColumnFormula>Table3334567891012112122232425272829[[#This Row],[Company Panel]]+Table33345678910121121222324252728[[#This Row],[MTD Company]]</calculatedColumnFormula>
    </tableColumn>
    <tableColumn id="7" name="MTD Panel" dataDxfId="154">
      <calculatedColumnFormula>Table3334567891012112122232425272829[[#This Row],[Our panel]]+Table33345678910121121222324252728[[#This Row],[MTD Panel]]</calculatedColumnFormula>
    </tableColumn>
    <tableColumn id="6" name="Difference" dataDxfId="153">
      <calculatedColumnFormula>Table3334567891012112122232425272829[[#This Row],[Company Panel]]-Table3334567891012112122232425272829[[#This Row],[Our panel]]</calculatedColumnFormula>
    </tableColumn>
    <tableColumn id="9" name="MTD Difference" dataDxfId="152">
      <calculatedColumnFormula>Table3334567891012112122232425272829[[#This Row],[MTD Company]]-Table3334567891012112122232425272829[[#This Row],[MTD Panel]]</calculatedColumnFormula>
    </tableColumn>
  </tableColumns>
  <tableStyleInfo name="TableStyleLight18" showFirstColumn="0" showLastColumn="0" showRowStripes="1" showColumnStripes="0"/>
</table>
</file>

<file path=xl/tables/table37.xml><?xml version="1.0" encoding="utf-8"?>
<table xmlns="http://schemas.openxmlformats.org/spreadsheetml/2006/main" id="29" name="Table333456789101211212223242527282930" displayName="Table333456789101211212223242527282930" ref="A2:I49" totalsRowShown="0" headerRowDxfId="145" headerRowBorderDxfId="144" tableBorderDxfId="143" totalsRowBorderDxfId="142">
  <tableColumns count="9">
    <tableColumn id="1" name="Carrier" dataDxfId="141"/>
    <tableColumn id="2" name="IP" dataDxfId="140">
      <calculatedColumnFormula>Table333456789101217[[#This Row],[IP]]</calculatedColumnFormula>
    </tableColumn>
    <tableColumn id="3" name="Carrier Code" dataDxfId="139">
      <calculatedColumnFormula>Table333456789101217[[#This Row],[Carrier Code]]</calculatedColumnFormula>
    </tableColumn>
    <tableColumn id="4" name="Company Panel" dataDxfId="138"/>
    <tableColumn id="8" name="Our panel" dataDxfId="137">
      <calculatedColumnFormula>Table333456789101211212223242527282930[[#This Row],[Company Panel]]+Table33345678[[#This Row],[Our Panel]]</calculatedColumnFormula>
    </tableColumn>
    <tableColumn id="5" name="MTD Company" dataDxfId="136">
      <calculatedColumnFormula>Table333456789101211212223242527282930[[#This Row],[Company Panel]]+Table3334567891012112122232425272829[[#This Row],[MTD Company]]</calculatedColumnFormula>
    </tableColumn>
    <tableColumn id="7" name="MTD Panel" dataDxfId="135">
      <calculatedColumnFormula>Table333456789101211212223242527282930[[#This Row],[Our panel]]+Table3334567891012112122232425272829[[#This Row],[MTD Panel]]</calculatedColumnFormula>
    </tableColumn>
    <tableColumn id="6" name="Difference" dataDxfId="134">
      <calculatedColumnFormula>Table333456789101211212223242527282930[[#This Row],[Company Panel]]-Table333456789101211212223242527282930[[#This Row],[Our panel]]</calculatedColumnFormula>
    </tableColumn>
    <tableColumn id="9" name="MTD Difference" dataDxfId="133">
      <calculatedColumnFormula>Table333456789101211212223242527282930[[#This Row],[MTD Company]]-Table333456789101211212223242527282930[[#This Row],[MTD Panel]]</calculatedColumnFormula>
    </tableColumn>
  </tableColumns>
  <tableStyleInfo name="TableStyleLight18" showFirstColumn="0" showLastColumn="0" showRowStripes="1" showColumnStripes="0"/>
</table>
</file>

<file path=xl/tables/table38.xml><?xml version="1.0" encoding="utf-8"?>
<table xmlns="http://schemas.openxmlformats.org/spreadsheetml/2006/main" id="30" name="Table33345678910121121222324252728293031" displayName="Table33345678910121121222324252728293031" ref="A2:I49" totalsRowShown="0" headerRowDxfId="126" headerRowBorderDxfId="125" tableBorderDxfId="124" totalsRowBorderDxfId="123">
  <tableColumns count="9">
    <tableColumn id="1" name="Carrier" dataDxfId="122"/>
    <tableColumn id="2" name="IP" dataDxfId="121">
      <calculatedColumnFormula>Table333456789101217[[#This Row],[IP]]</calculatedColumnFormula>
    </tableColumn>
    <tableColumn id="3" name="Carrier Code" dataDxfId="120">
      <calculatedColumnFormula>Table333456789101217[[#This Row],[Carrier Code]]</calculatedColumnFormula>
    </tableColumn>
    <tableColumn id="4" name="Company Panel" dataDxfId="119"/>
    <tableColumn id="8" name="Our panel" dataDxfId="118">
      <calculatedColumnFormula>Table33345678910121121222324252728293031[[#This Row],[Company Panel]]+Table33345678[[#This Row],[Our Panel]]</calculatedColumnFormula>
    </tableColumn>
    <tableColumn id="5" name="MTD Company" dataDxfId="117">
      <calculatedColumnFormula>Table33345678910121121222324252728293031[[#This Row],[Company Panel]]+Table333456789101211212223242527282930[[#This Row],[MTD Company]]</calculatedColumnFormula>
    </tableColumn>
    <tableColumn id="7" name="MTD Panel" dataDxfId="116">
      <calculatedColumnFormula>Table33345678910121121222324252728293031[[#This Row],[Our panel]]+Table333456789101211212223242527282930[[#This Row],[MTD Panel]]</calculatedColumnFormula>
    </tableColumn>
    <tableColumn id="6" name="Difference" dataDxfId="115">
      <calculatedColumnFormula>Table33345678910121121222324252728293031[[#This Row],[Company Panel]]-Table33345678910121121222324252728293031[[#This Row],[Our panel]]</calculatedColumnFormula>
    </tableColumn>
    <tableColumn id="9" name="MTD Difference" dataDxfId="114">
      <calculatedColumnFormula>Table33345678910121121222324252728293031[[#This Row],[MTD Company]]-Table33345678910121121222324252728293031[[#This Row],[MTD Panel]]</calculatedColumnFormula>
    </tableColumn>
  </tableColumns>
  <tableStyleInfo name="TableStyleLight18" showFirstColumn="0" showLastColumn="0" showRowStripes="1" showColumnStripes="0"/>
</table>
</file>

<file path=xl/tables/table39.xml><?xml version="1.0" encoding="utf-8"?>
<table xmlns="http://schemas.openxmlformats.org/spreadsheetml/2006/main" id="31" name="Table3334567891012112122232425272829303132" displayName="Table3334567891012112122232425272829303132" ref="A2:I49" totalsRowShown="0" headerRowDxfId="107" headerRowBorderDxfId="106" tableBorderDxfId="105" totalsRowBorderDxfId="104">
  <tableColumns count="9">
    <tableColumn id="1" name="Carrier" dataDxfId="103"/>
    <tableColumn id="2" name="IP" dataDxfId="102">
      <calculatedColumnFormula>Table333456789101217[[#This Row],[IP]]</calculatedColumnFormula>
    </tableColumn>
    <tableColumn id="3" name="Carrier Code" dataDxfId="101">
      <calculatedColumnFormula>Table333456789101217[[#This Row],[Carrier Code]]</calculatedColumnFormula>
    </tableColumn>
    <tableColumn id="4" name="Company Panel" dataDxfId="100"/>
    <tableColumn id="8" name="Our panel" dataDxfId="99">
      <calculatedColumnFormula>Table3334567891012112122232425272829303132[[#This Row],[Company Panel]]+Table33345678[[#This Row],[Our Panel]]</calculatedColumnFormula>
    </tableColumn>
    <tableColumn id="5" name="MTD Company" dataDxfId="98">
      <calculatedColumnFormula>Table3334567891012112122232425272829303132[[#This Row],[Company Panel]]+Table33345678910121121222324252728293031[[#This Row],[MTD Company]]</calculatedColumnFormula>
    </tableColumn>
    <tableColumn id="7" name="MTD Panel" dataDxfId="97">
      <calculatedColumnFormula>Table3334567891012112122232425272829303132[[#This Row],[Our panel]]+Table33345678910121121222324252728293031[[#This Row],[MTD Panel]]</calculatedColumnFormula>
    </tableColumn>
    <tableColumn id="6" name="Difference" dataDxfId="96">
      <calculatedColumnFormula>Table3334567891012112122232425272829303132[[#This Row],[Company Panel]]-Table3334567891012112122232425272829303132[[#This Row],[Our panel]]</calculatedColumnFormula>
    </tableColumn>
    <tableColumn id="9" name="MTD Difference" dataDxfId="95">
      <calculatedColumnFormula>Table3334567891012112122232425272829303132[[#This Row],[MTD Company]]-Table3334567891012112122232425272829303132[[#This Row],[MTD Panel]]</calculatedColumnFormula>
    </tableColumn>
  </tableColumns>
  <tableStyleInfo name="TableStyleLight18" showFirstColumn="0" showLastColumn="0" showRowStripes="1" showColumnStripes="0"/>
</table>
</file>

<file path=xl/tables/table4.xml><?xml version="1.0" encoding="utf-8"?>
<table xmlns="http://schemas.openxmlformats.org/spreadsheetml/2006/main" id="43" name="Table43" displayName="Table43" ref="A27:A29" totalsRowShown="0" headerRowDxfId="722" dataDxfId="721">
  <tableColumns count="1">
    <tableColumn id="1" name="What You Need To Do:" dataDxfId="720"/>
  </tableColumns>
  <tableStyleInfo name="TableStyleMedium6" showFirstColumn="0" showLastColumn="0" showRowStripes="1" showColumnStripes="0"/>
</table>
</file>

<file path=xl/tables/table40.xml><?xml version="1.0" encoding="utf-8"?>
<table xmlns="http://schemas.openxmlformats.org/spreadsheetml/2006/main" id="32" name="Table333456789101211212223242527282930313233" displayName="Table333456789101211212223242527282930313233" ref="A2:I49" totalsRowShown="0" headerRowDxfId="88" headerRowBorderDxfId="87" tableBorderDxfId="86" totalsRowBorderDxfId="85">
  <tableColumns count="9">
    <tableColumn id="1" name="Carrier" dataDxfId="84"/>
    <tableColumn id="2" name="IP" dataDxfId="83">
      <calculatedColumnFormula>Table333456789101217[[#This Row],[IP]]</calculatedColumnFormula>
    </tableColumn>
    <tableColumn id="3" name="Carrier Code" dataDxfId="82">
      <calculatedColumnFormula>Table333456789101217[[#This Row],[Carrier Code]]</calculatedColumnFormula>
    </tableColumn>
    <tableColumn id="4" name="Company Panel" dataDxfId="81"/>
    <tableColumn id="8" name="Our panel" dataDxfId="80">
      <calculatedColumnFormula>Table333456789101211212223242527282930313233[[#This Row],[Company Panel]]+Table33345678[[#This Row],[Our Panel]]</calculatedColumnFormula>
    </tableColumn>
    <tableColumn id="5" name="MTD Company" dataDxfId="79">
      <calculatedColumnFormula>Table333456789101211212223242527282930313233[[#This Row],[Company Panel]]+Table3334567891012112122232425272829303132[[#This Row],[MTD Company]]</calculatedColumnFormula>
    </tableColumn>
    <tableColumn id="7" name="MTD Panel" dataDxfId="78">
      <calculatedColumnFormula>Table333456789101211212223242527282930313233[[#This Row],[Our panel]]+Table3334567891012112122232425272829303132[[#This Row],[MTD Panel]]</calculatedColumnFormula>
    </tableColumn>
    <tableColumn id="6" name="Difference" dataDxfId="77">
      <calculatedColumnFormula>Table333456789101211212223242527282930313233[[#This Row],[Company Panel]]-Table333456789101211212223242527282930313233[[#This Row],[Our panel]]</calculatedColumnFormula>
    </tableColumn>
    <tableColumn id="9" name="MTD Difference" dataDxfId="76">
      <calculatedColumnFormula>Table333456789101211212223242527282930313233[[#This Row],[MTD Company]]-Table333456789101211212223242527282930313233[[#This Row],[MTD Panel]]</calculatedColumnFormula>
    </tableColumn>
  </tableColumns>
  <tableStyleInfo name="TableStyleLight18" showFirstColumn="0" showLastColumn="0" showRowStripes="1" showColumnStripes="0"/>
</table>
</file>

<file path=xl/tables/table41.xml><?xml version="1.0" encoding="utf-8"?>
<table xmlns="http://schemas.openxmlformats.org/spreadsheetml/2006/main" id="33" name="Table333456789101211212223242527282930313234" displayName="Table333456789101211212223242527282930313234" ref="A2:I49" totalsRowShown="0" headerRowDxfId="69" headerRowBorderDxfId="68" tableBorderDxfId="67" totalsRowBorderDxfId="66">
  <tableColumns count="9">
    <tableColumn id="1" name="Carrier" dataDxfId="65"/>
    <tableColumn id="2" name="IP" dataDxfId="64">
      <calculatedColumnFormula>Table333456789101217[[#This Row],[IP]]</calculatedColumnFormula>
    </tableColumn>
    <tableColumn id="3" name="Carrier Code" dataDxfId="63">
      <calculatedColumnFormula>Table333456789101217[[#This Row],[Carrier Code]]</calculatedColumnFormula>
    </tableColumn>
    <tableColumn id="4" name="Company Panel" dataDxfId="62"/>
    <tableColumn id="8" name="Our panel" dataDxfId="61">
      <calculatedColumnFormula>Table333456789101211212223242527282930313234[[#This Row],[Company Panel]]+Table33345678[[#This Row],[Our Panel]]</calculatedColumnFormula>
    </tableColumn>
    <tableColumn id="5" name="MTD Company" dataDxfId="60">
      <calculatedColumnFormula>Table333456789101211212223242527282930313234[[#This Row],[Company Panel]]+Table333456789101211212223242527282930313233[[#This Row],[MTD Company]]</calculatedColumnFormula>
    </tableColumn>
    <tableColumn id="7" name="MTD Panel" dataDxfId="59">
      <calculatedColumnFormula>Table333456789101211212223242527282930313234[[#This Row],[Our panel]]+Table333456789101211212223242527282930313233[[#This Row],[MTD Panel]]</calculatedColumnFormula>
    </tableColumn>
    <tableColumn id="6" name="Difference" dataDxfId="58">
      <calculatedColumnFormula>Table333456789101211212223242527282930313234[[#This Row],[Company Panel]]-Table333456789101211212223242527282930313234[[#This Row],[Our panel]]</calculatedColumnFormula>
    </tableColumn>
    <tableColumn id="9" name="MTD Difference" dataDxfId="57">
      <calculatedColumnFormula>Table333456789101211212223242527282930313234[[#This Row],[MTD Company]]-Table333456789101211212223242527282930313234[[#This Row],[MTD Panel]]</calculatedColumnFormula>
    </tableColumn>
  </tableColumns>
  <tableStyleInfo name="TableStyleLight18" showFirstColumn="0" showLastColumn="0" showRowStripes="1" showColumnStripes="0"/>
</table>
</file>

<file path=xl/tables/table42.xml><?xml version="1.0" encoding="utf-8"?>
<table xmlns="http://schemas.openxmlformats.org/spreadsheetml/2006/main" id="34" name="Table33345678910121121222324252728293031323435" displayName="Table33345678910121121222324252728293031323435" ref="A2:I49" totalsRowShown="0" headerRowDxfId="50" headerRowBorderDxfId="49" tableBorderDxfId="48" totalsRowBorderDxfId="47">
  <tableColumns count="9">
    <tableColumn id="1" name="Carrier" dataDxfId="46"/>
    <tableColumn id="2" name="IP" dataDxfId="45">
      <calculatedColumnFormula>Table333456789101217[[#This Row],[IP]]</calculatedColumnFormula>
    </tableColumn>
    <tableColumn id="3" name="Carrier Code" dataDxfId="44">
      <calculatedColumnFormula>Table333456789101217[[#This Row],[Carrier Code]]</calculatedColumnFormula>
    </tableColumn>
    <tableColumn id="4" name="Company Panel" dataDxfId="43"/>
    <tableColumn id="8" name="Our panel" dataDxfId="42"/>
    <tableColumn id="5" name="MTD Company" dataDxfId="41">
      <calculatedColumnFormula>Table33345678910121121222324252728293031323435[[#This Row],[Company Panel]]+Table333456789101211212223242527282930313234[[#This Row],[MTD Company]]</calculatedColumnFormula>
    </tableColumn>
    <tableColumn id="7" name="MTD Panel" dataDxfId="40">
      <calculatedColumnFormula>Table33345678910121121222324252728293031323435[[#This Row],[Our panel]]+Table333456789101211212223242527282930313234[[#This Row],[MTD Panel]]</calculatedColumnFormula>
    </tableColumn>
    <tableColumn id="6" name="Difference" dataDxfId="39">
      <calculatedColumnFormula>Table33345678910121121222324252728293031323435[[#This Row],[Company Panel]]-Table33345678910121121222324252728293031323435[[#This Row],[Our panel]]</calculatedColumnFormula>
    </tableColumn>
    <tableColumn id="9" name="MTD Difference" dataDxfId="38">
      <calculatedColumnFormula>Table33345678910121121222324252728293031323435[[#This Row],[MTD Company]]-Table33345678910121121222324252728293031323435[[#This Row],[MTD Panel]]</calculatedColumnFormula>
    </tableColumn>
  </tableColumns>
  <tableStyleInfo name="TableStyleLight18" showFirstColumn="0" showLastColumn="0" showRowStripes="1" showColumnStripes="0"/>
</table>
</file>

<file path=xl/tables/table43.xml><?xml version="1.0" encoding="utf-8"?>
<table xmlns="http://schemas.openxmlformats.org/spreadsheetml/2006/main" id="35" name="Table33345678910121121222324252728293031323436" displayName="Table33345678910121121222324252728293031323436" ref="A2:I49" totalsRowShown="0" headerRowDxfId="31" headerRowBorderDxfId="30" tableBorderDxfId="29" totalsRowBorderDxfId="28">
  <tableColumns count="9">
    <tableColumn id="1" name="Carrier" dataDxfId="27"/>
    <tableColumn id="2" name="IP" dataDxfId="26">
      <calculatedColumnFormula>Table333456789101217[[#This Row],[IP]]</calculatedColumnFormula>
    </tableColumn>
    <tableColumn id="3" name="Carrier Code" dataDxfId="25">
      <calculatedColumnFormula>Table333456789101217[[#This Row],[Carrier Code]]</calculatedColumnFormula>
    </tableColumn>
    <tableColumn id="4" name="Company Panel" dataDxfId="24"/>
    <tableColumn id="8" name="Our panel" dataDxfId="23">
      <calculatedColumnFormula>Table33345678910121121222324252728293031323436[[#This Row],[Company Panel]]+Table33345678[[#This Row],[Our Panel]]</calculatedColumnFormula>
    </tableColumn>
    <tableColumn id="5" name="MTD Company" dataDxfId="22">
      <calculatedColumnFormula>Table33345678910121121222324252728293031323436[[#This Row],[Company Panel]]+Table33345678910121121222324252728293031323435[[#This Row],[MTD Company]]</calculatedColumnFormula>
    </tableColumn>
    <tableColumn id="7" name="MTD Panel" dataDxfId="21">
      <calculatedColumnFormula>Table33345678910121121222324252728293031323436[[#This Row],[Our panel]]+Table33345678910121121222324252728293031323435[[#This Row],[MTD Panel]]</calculatedColumnFormula>
    </tableColumn>
    <tableColumn id="6" name="Difference" dataDxfId="20">
      <calculatedColumnFormula>Table33345678910121121222324252728293031323436[[#This Row],[Company Panel]]-Table33345678910121121222324252728293031323436[[#This Row],[Our panel]]</calculatedColumnFormula>
    </tableColumn>
    <tableColumn id="9" name="MTD Difference" dataDxfId="19">
      <calculatedColumnFormula>Table33345678910121121222324252728293031323436[[#This Row],[MTD Company]]-Table33345678910121121222324252728293031323436[[#This Row],[MTD Panel]]</calculatedColumnFormula>
    </tableColumn>
  </tableColumns>
  <tableStyleInfo name="TableStyleLight18" showFirstColumn="0" showLastColumn="0" showRowStripes="1" showColumnStripes="0"/>
</table>
</file>

<file path=xl/tables/table44.xml><?xml version="1.0" encoding="utf-8"?>
<table xmlns="http://schemas.openxmlformats.org/spreadsheetml/2006/main" id="36" name="Table3334567891012112122232425272829303132343637" displayName="Table3334567891012112122232425272829303132343637" ref="A2:I49" totalsRowShown="0" headerRowDxfId="12" headerRowBorderDxfId="11" tableBorderDxfId="10" totalsRowBorderDxfId="9">
  <tableColumns count="9">
    <tableColumn id="1" name="Carrier" dataDxfId="8"/>
    <tableColumn id="2" name="IP" dataDxfId="7">
      <calculatedColumnFormula>Table333456789101217[[#This Row],[IP]]</calculatedColumnFormula>
    </tableColumn>
    <tableColumn id="3" name="Carrier Code" dataDxfId="6">
      <calculatedColumnFormula>Table333456789101217[[#This Row],[Carrier Code]]</calculatedColumnFormula>
    </tableColumn>
    <tableColumn id="4" name="Company Panel" dataDxfId="5"/>
    <tableColumn id="8" name="Our panel" dataDxfId="4"/>
    <tableColumn id="5" name="MTD Company" dataDxfId="3">
      <calculatedColumnFormula>Table3334567891012112122232425272829303132343637[[#This Row],[Company Panel]]+Table33345678910121121222324252728293031323436[[#This Row],[MTD Company]]</calculatedColumnFormula>
    </tableColumn>
    <tableColumn id="7" name="MTD Panel" dataDxfId="2">
      <calculatedColumnFormula>Table3334567891012112122232425272829303132343637[[#This Row],[Our panel]]+Table33345678910121121222324252728293031323436[[#This Row],[MTD Panel]]</calculatedColumnFormula>
    </tableColumn>
    <tableColumn id="6" name="Difference" dataDxfId="1">
      <calculatedColumnFormula>Table3334567891012112122232425272829303132343637[[#This Row],[Company Panel]]-Table3334567891012112122232425272829303132343637[[#This Row],[Our panel]]</calculatedColumnFormula>
    </tableColumn>
    <tableColumn id="9" name="MTD Difference" dataDxfId="0">
      <calculatedColumnFormula>Table3334567891012112122232425272829303132343637[[#This Row],[MTD Company]]-Table3334567891012112122232425272829303132343637[[#This Row],[MTD Panel]]</calculatedColumnFormula>
    </tableColumn>
  </tableColumns>
  <tableStyleInfo name="TableStyleLight18" showFirstColumn="0" showLastColumn="0" showRowStripes="1" showColumnStripes="0"/>
</table>
</file>

<file path=xl/tables/table5.xml><?xml version="1.0" encoding="utf-8"?>
<table xmlns="http://schemas.openxmlformats.org/spreadsheetml/2006/main" id="45" name="Table45" displayName="Table45" ref="A31:A35" totalsRowShown="0" headerRowDxfId="719" dataDxfId="718">
  <tableColumns count="1">
    <tableColumn id="1" name="Final Output:" dataDxfId="717"/>
  </tableColumns>
  <tableStyleInfo name="TableStyleMedium6" showFirstColumn="0" showLastColumn="0" showRowStripes="1" showColumnStripes="0"/>
</table>
</file>

<file path=xl/tables/table6.xml><?xml version="1.0" encoding="utf-8"?>
<table xmlns="http://schemas.openxmlformats.org/spreadsheetml/2006/main" id="39" name="Table39" displayName="Table39" ref="A1:F17" totalsRowShown="0" headerRowDxfId="716" headerRowBorderDxfId="715" tableBorderDxfId="714">
  <tableColumns count="6">
    <tableColumn id="1" name="Daily" dataDxfId="713" dataCellStyle="Hyperlink"/>
    <tableColumn id="6" name="Company" dataDxfId="712" dataCellStyle="Hyperlink">
      <calculatedColumnFormula>'1'!D49</calculatedColumnFormula>
    </tableColumn>
    <tableColumn id="2" name="Panel" dataDxfId="711"/>
    <tableColumn id="3" name="Daily2" dataDxfId="710" dataCellStyle="Hyperlink"/>
    <tableColumn id="7" name="Company2" dataDxfId="709" dataCellStyle="Hyperlink">
      <calculatedColumnFormula>'1'!D49</calculatedColumnFormula>
    </tableColumn>
    <tableColumn id="4" name="Panel2" dataDxfId="708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id="40" name="Table40" displayName="Table40" ref="G1:I6" totalsRowShown="0" headerRowDxfId="707" headerRowBorderDxfId="706" tableBorderDxfId="705">
  <tableColumns count="3">
    <tableColumn id="1" name="Weekly " dataDxfId="704" dataCellStyle="Hyperlink"/>
    <tableColumn id="4" name="Company" dataDxfId="703" dataCellStyle="Hyperlink">
      <calculatedColumnFormula>'1'!D49</calculatedColumnFormula>
    </tableColumn>
    <tableColumn id="2" name="Panel" dataDxfId="702"/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id="42" name="Table42" displayName="Table42" ref="J1:L2" totalsRowShown="0" tableBorderDxfId="701">
  <tableColumns count="3">
    <tableColumn id="1" name="Monthly " dataDxfId="700" dataCellStyle="Hyperlink"/>
    <tableColumn id="3" name="Company" dataDxfId="699" dataCellStyle="Hyperlink">
      <calculatedColumnFormula>M!D49</calculatedColumnFormula>
    </tableColumn>
    <tableColumn id="2" name="Panel" dataDxfId="698">
      <calculatedColumnFormula>M!E49</calculatedColumnFormula>
    </tableColumn>
  </tableColumns>
  <tableStyleInfo name="TableStyleLight13" showFirstColumn="0" showLastColumn="0" showRowStripes="1" showColumnStripes="0"/>
</table>
</file>

<file path=xl/tables/table9.xml><?xml version="1.0" encoding="utf-8"?>
<table xmlns="http://schemas.openxmlformats.org/spreadsheetml/2006/main" id="16" name="Table333456789101217" displayName="Table333456789101217" ref="A2:K49" totalsRowShown="0" headerRowDxfId="690" headerRowBorderDxfId="689" tableBorderDxfId="688" totalsRowBorderDxfId="687">
  <tableColumns count="11">
    <tableColumn id="1" name="Carrier" dataDxfId="686"/>
    <tableColumn id="2" name="IP" dataDxfId="685"/>
    <tableColumn id="3" name="Carrier Code" dataDxfId="684"/>
    <tableColumn id="4" name="Company Panel" dataDxfId="683"/>
    <tableColumn id="8" name="Our panel" dataDxfId="682"/>
    <tableColumn id="5" name="MTD Company" dataDxfId="681">
      <calculatedColumnFormula>SUM(Table333456789101217[[#This Row],[Company Panel]:[Our panel]])</calculatedColumnFormula>
    </tableColumn>
    <tableColumn id="7" name="MTD Panel" dataDxfId="680">
      <calculatedColumnFormula>#REF!</calculatedColumnFormula>
    </tableColumn>
    <tableColumn id="6" name="Difference" dataDxfId="679">
      <calculatedColumnFormula>Table333456789101217[[#This Row],[Company Panel]]-Table333456789101217[[#This Row],[Our panel]]</calculatedColumnFormula>
    </tableColumn>
    <tableColumn id="9" name="MTD Difference" dataDxfId="678">
      <calculatedColumnFormula>Table333456789101217[[#This Row],[MTD Company]]-Table333456789101217[[#This Row],[MTD Panel]]</calculatedColumnFormula>
    </tableColumn>
    <tableColumn id="10" name="Difference Company" dataDxfId="677">
      <calculatedColumnFormula>Table333456789101217[[#This Row],[Company Panel]]-Table333456789101217[[#This Row],[MTD Company]]</calculatedColumnFormula>
    </tableColumn>
    <tableColumn id="11" name="Difference Panel" dataDxfId="676">
      <calculatedColumnFormula>Table333456789101217[[#This Row],[Our panel]]-Table333456789101217[[#This Row],[MTD Panel]]</calculatedColumnFormula>
    </tableColumn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6.x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8.x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0.x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2.x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3.x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4.xml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5.xml"/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8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6.xml"/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7.xml"/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8.xml"/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9.xml"/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0.xml"/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1.xml"/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2.xml"/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3.xml"/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4.xml"/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5.xml"/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6.xml"/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7.xml"/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8.xml"/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1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9.xml"/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2.bin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0.xml"/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3.bin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1.xml"/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4.bin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2.xml"/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35.bin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3.xml"/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36.bin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4.xml"/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37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5"/>
  <sheetViews>
    <sheetView showGridLines="0" tabSelected="1" workbookViewId="0"/>
  </sheetViews>
  <sheetFormatPr defaultRowHeight="14.5"/>
  <cols>
    <col min="1" max="1" width="164.54296875" customWidth="1"/>
  </cols>
  <sheetData>
    <row r="1" spans="1:1">
      <c r="A1" t="s">
        <v>207</v>
      </c>
    </row>
    <row r="2" spans="1:1">
      <c r="A2" t="s">
        <v>235</v>
      </c>
    </row>
    <row r="4" spans="1:1">
      <c r="A4" t="s">
        <v>208</v>
      </c>
    </row>
    <row r="5" spans="1:1">
      <c r="A5" t="s">
        <v>209</v>
      </c>
    </row>
    <row r="6" spans="1:1">
      <c r="A6" t="s">
        <v>210</v>
      </c>
    </row>
    <row r="7" spans="1:1">
      <c r="A7" t="s">
        <v>211</v>
      </c>
    </row>
    <row r="8" spans="1:1">
      <c r="A8" t="s">
        <v>234</v>
      </c>
    </row>
    <row r="10" spans="1:1">
      <c r="A10" t="s">
        <v>212</v>
      </c>
    </row>
    <row r="11" spans="1:1">
      <c r="A11" t="s">
        <v>230</v>
      </c>
    </row>
    <row r="12" spans="1:1">
      <c r="A12" t="s">
        <v>231</v>
      </c>
    </row>
    <row r="13" spans="1:1">
      <c r="A13" t="s">
        <v>232</v>
      </c>
    </row>
    <row r="15" spans="1:1">
      <c r="A15" t="s">
        <v>213</v>
      </c>
    </row>
    <row r="16" spans="1:1">
      <c r="A16" t="s">
        <v>233</v>
      </c>
    </row>
    <row r="18" spans="1:1" ht="15.5">
      <c r="A18" s="101" t="s">
        <v>214</v>
      </c>
    </row>
    <row r="19" spans="1:1">
      <c r="A19" t="s">
        <v>215</v>
      </c>
    </row>
    <row r="20" spans="1:1">
      <c r="A20" t="s">
        <v>216</v>
      </c>
    </row>
    <row r="21" spans="1:1">
      <c r="A21" t="s">
        <v>217</v>
      </c>
    </row>
    <row r="22" spans="1:1">
      <c r="A22" t="s">
        <v>218</v>
      </c>
    </row>
    <row r="23" spans="1:1">
      <c r="A23" t="s">
        <v>219</v>
      </c>
    </row>
    <row r="24" spans="1:1">
      <c r="A24" t="s">
        <v>220</v>
      </c>
    </row>
    <row r="25" spans="1:1">
      <c r="A25" t="s">
        <v>221</v>
      </c>
    </row>
    <row r="27" spans="1:1" ht="17.5">
      <c r="A27" s="103" t="s">
        <v>222</v>
      </c>
    </row>
    <row r="28" spans="1:1">
      <c r="A28" s="102" t="s">
        <v>223</v>
      </c>
    </row>
    <row r="29" spans="1:1">
      <c r="A29" s="102" t="s">
        <v>224</v>
      </c>
    </row>
    <row r="31" spans="1:1" ht="17.5">
      <c r="A31" s="103" t="s">
        <v>225</v>
      </c>
    </row>
    <row r="32" spans="1:1">
      <c r="A32" s="102" t="s">
        <v>226</v>
      </c>
    </row>
    <row r="33" spans="1:1">
      <c r="A33" s="102" t="s">
        <v>227</v>
      </c>
    </row>
    <row r="34" spans="1:1">
      <c r="A34" s="102" t="s">
        <v>228</v>
      </c>
    </row>
    <row r="35" spans="1:1">
      <c r="A35" s="102" t="s">
        <v>229</v>
      </c>
    </row>
  </sheetData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2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D3" sqref="D3"/>
    </sheetView>
  </sheetViews>
  <sheetFormatPr defaultRowHeight="14.5"/>
  <cols>
    <col min="1" max="1" width="26.7265625" bestFit="1" customWidth="1"/>
    <col min="2" max="2" width="37" bestFit="1" customWidth="1"/>
    <col min="3" max="3" width="10.453125" customWidth="1"/>
    <col min="4" max="9" width="12.7265625" customWidth="1"/>
  </cols>
  <sheetData>
    <row r="1" spans="1:12" ht="18.5">
      <c r="A1" s="23" t="str">
        <f>H!A3</f>
        <v>2nd April 2025</v>
      </c>
      <c r="B1" s="24"/>
      <c r="C1" s="24"/>
      <c r="D1" s="22" t="s">
        <v>16</v>
      </c>
      <c r="E1" s="22" t="s">
        <v>9</v>
      </c>
      <c r="F1" s="22" t="s">
        <v>17</v>
      </c>
    </row>
    <row r="2" spans="1:12" ht="31">
      <c r="A2" s="1" t="s">
        <v>0</v>
      </c>
      <c r="B2" s="2" t="s">
        <v>1</v>
      </c>
      <c r="C2" s="2" t="s">
        <v>2</v>
      </c>
      <c r="D2" s="2" t="s">
        <v>3</v>
      </c>
      <c r="E2" s="2" t="s">
        <v>5</v>
      </c>
      <c r="F2" s="2" t="s">
        <v>15</v>
      </c>
      <c r="G2" s="3" t="s">
        <v>6</v>
      </c>
      <c r="H2" s="3" t="s">
        <v>7</v>
      </c>
      <c r="I2" s="4" t="s">
        <v>8</v>
      </c>
    </row>
    <row r="3" spans="1:12">
      <c r="A3" s="11" t="str">
        <f>Table333456789101217[[#This Row],[Carrier]]</f>
        <v>Blaze</v>
      </c>
      <c r="B3" s="5" t="str">
        <f>Table333456789101217[[#This Row],[IP]]</f>
        <v>8.12.34.56/48.163.17.845/60.502.86.203/191.45.28.14</v>
      </c>
      <c r="C3" s="6" t="str">
        <f>Table333456789101217[[#This Row],[Carrier Code]]</f>
        <v>BZ</v>
      </c>
      <c r="D3" s="53">
        <v>0</v>
      </c>
      <c r="E3" s="53">
        <v>0</v>
      </c>
      <c r="F3" s="18">
        <f>Table333[[#This Row],[Company Panel]]+Table33[[#This Row],[MTD Company]]</f>
        <v>0</v>
      </c>
      <c r="G3" s="18">
        <f>Table333[[#This Row],[Our Panel]]+Table33[[#This Row],[MTD Panel]]</f>
        <v>0</v>
      </c>
      <c r="H3" s="13">
        <f t="shared" ref="H3:H30" si="0">D3-E3</f>
        <v>0</v>
      </c>
      <c r="I3" s="8">
        <f t="shared" ref="I3:I30" si="1">F3-G3</f>
        <v>0</v>
      </c>
    </row>
    <row r="4" spans="1:12">
      <c r="A4" s="11" t="str">
        <f>Table333456789101217[[#This Row],[Carrier]]</f>
        <v>Titan</v>
      </c>
      <c r="B4" s="5" t="str">
        <f>Table333456789101217[[#This Row],[IP]]</f>
        <v>123.45.67.89/123.45.67.93/203.24.101.65</v>
      </c>
      <c r="C4" s="6" t="str">
        <f>Table333456789101217[[#This Row],[Carrier Code]]</f>
        <v>TI</v>
      </c>
      <c r="D4" s="53">
        <v>0.6333333333333333</v>
      </c>
      <c r="E4" s="53">
        <v>0.6333333333333333</v>
      </c>
      <c r="F4" s="18">
        <f>Table333[[#This Row],[Company Panel]]+Table33[[#This Row],[MTD Company]]</f>
        <v>1.3333333333333333</v>
      </c>
      <c r="G4" s="18">
        <f>Table333[[#This Row],[Our Panel]]+Table33[[#This Row],[MTD Panel]]</f>
        <v>1.3333333333333333</v>
      </c>
      <c r="H4" s="13">
        <f t="shared" si="0"/>
        <v>0</v>
      </c>
      <c r="I4" s="8">
        <f t="shared" si="1"/>
        <v>0</v>
      </c>
      <c r="L4" s="9"/>
    </row>
    <row r="5" spans="1:12">
      <c r="A5" s="11" t="str">
        <f>Table333456789101217[[#This Row],[Carrier]]</f>
        <v>Hollow</v>
      </c>
      <c r="B5" s="5" t="str">
        <f>Table333456789101217[[#This Row],[IP]]</f>
        <v>204.56.78.100/204.56.57.169/52.94.101.12</v>
      </c>
      <c r="C5" s="6" t="str">
        <f>Table333456789101217[[#This Row],[Carrier Code]]</f>
        <v>HO</v>
      </c>
      <c r="D5" s="53">
        <v>0</v>
      </c>
      <c r="E5" s="53">
        <v>0</v>
      </c>
      <c r="F5" s="18">
        <f>Table333[[#This Row],[Company Panel]]+Table33[[#This Row],[MTD Company]]</f>
        <v>0</v>
      </c>
      <c r="G5" s="18">
        <f>Table333[[#This Row],[Our Panel]]+Table33[[#This Row],[MTD Panel]]</f>
        <v>0</v>
      </c>
      <c r="H5" s="13">
        <f t="shared" si="0"/>
        <v>0</v>
      </c>
      <c r="I5" s="8">
        <f t="shared" si="1"/>
        <v>0</v>
      </c>
    </row>
    <row r="6" spans="1:12">
      <c r="A6" s="11" t="str">
        <f>Table333456789101217[[#This Row],[Carrier]]</f>
        <v>Prism</v>
      </c>
      <c r="B6" s="5" t="str">
        <f>Table333456789101217[[#This Row],[IP]]</f>
        <v>35.118.22.45/137.63.112.25</v>
      </c>
      <c r="C6" s="6" t="str">
        <f>Table333456789101217[[#This Row],[Carrier Code]]</f>
        <v>PS</v>
      </c>
      <c r="D6" s="53">
        <v>1073.2666666666667</v>
      </c>
      <c r="E6" s="53">
        <v>1073.2666666666667</v>
      </c>
      <c r="F6" s="18">
        <f>Table333[[#This Row],[Company Panel]]+Table33[[#This Row],[MTD Company]]</f>
        <v>1719.9666666666667</v>
      </c>
      <c r="G6" s="18">
        <f>Table333[[#This Row],[Our Panel]]+Table33[[#This Row],[MTD Panel]]</f>
        <v>1719.9666666666667</v>
      </c>
      <c r="H6" s="13">
        <f t="shared" si="0"/>
        <v>0</v>
      </c>
      <c r="I6" s="8">
        <f t="shared" si="1"/>
        <v>0</v>
      </c>
    </row>
    <row r="7" spans="1:12">
      <c r="A7" s="11" t="str">
        <f>Table333456789101217[[#This Row],[Carrier]]</f>
        <v>Echo</v>
      </c>
      <c r="B7" s="5" t="str">
        <f>Table333456789101217[[#This Row],[IP]]</f>
        <v>66.89.101.10/66.89.101.19/66.89.101.23/66.89.101.45/66.89.101.81/85.21.34.99</v>
      </c>
      <c r="C7" s="6" t="str">
        <f>Table333456789101217[[#This Row],[Carrier Code]]</f>
        <v>EC</v>
      </c>
      <c r="D7" s="53">
        <v>0.96666666666666667</v>
      </c>
      <c r="E7" s="53">
        <v>0.96666666666666667</v>
      </c>
      <c r="F7" s="18">
        <f>Table333[[#This Row],[Company Panel]]+Table33[[#This Row],[MTD Company]]</f>
        <v>1.5</v>
      </c>
      <c r="G7" s="18">
        <f>Table333[[#This Row],[Our Panel]]+Table33[[#This Row],[MTD Panel]]</f>
        <v>1.5</v>
      </c>
      <c r="H7" s="13">
        <f t="shared" si="0"/>
        <v>0</v>
      </c>
      <c r="I7" s="8">
        <f t="shared" si="1"/>
        <v>0</v>
      </c>
    </row>
    <row r="8" spans="1:12">
      <c r="A8" s="11" t="str">
        <f>Table333456789101217[[#This Row],[Carrier]]</f>
        <v>Strike</v>
      </c>
      <c r="B8" s="5" t="str">
        <f>Table333456789101217[[#This Row],[IP]]</f>
        <v>100.200.150.3/100.200.165.38/41.102.90.78</v>
      </c>
      <c r="C8" s="6" t="str">
        <f>Table333456789101217[[#This Row],[Carrier Code]]</f>
        <v>ST</v>
      </c>
      <c r="D8" s="53">
        <v>133.56666666666666</v>
      </c>
      <c r="E8" s="53">
        <v>133.56666666666666</v>
      </c>
      <c r="F8" s="18">
        <f>Table333[[#This Row],[Company Panel]]+Table33[[#This Row],[MTD Company]]</f>
        <v>230.13333333333333</v>
      </c>
      <c r="G8" s="18">
        <f>Table333[[#This Row],[Our Panel]]+Table33[[#This Row],[MTD Panel]]</f>
        <v>230.13333333333333</v>
      </c>
      <c r="H8" s="13">
        <f t="shared" si="0"/>
        <v>0</v>
      </c>
      <c r="I8" s="8">
        <f t="shared" si="1"/>
        <v>0</v>
      </c>
      <c r="L8" s="9"/>
    </row>
    <row r="9" spans="1:12">
      <c r="A9" s="11" t="str">
        <f>Table333456789101217[[#This Row],[Carrier]]</f>
        <v>Blunt</v>
      </c>
      <c r="B9" s="5" t="str">
        <f>Table333456789101217[[#This Row],[IP]]</f>
        <v>52.28.191.25/52.28.191.38/52.28.191.24/61.110.23.45</v>
      </c>
      <c r="C9" s="6" t="str">
        <f>Table333456789101217[[#This Row],[Carrier Code]]</f>
        <v>BL</v>
      </c>
      <c r="D9" s="53">
        <v>76.63333333333334</v>
      </c>
      <c r="E9" s="53">
        <v>76.63333333333334</v>
      </c>
      <c r="F9" s="18">
        <f>Table333[[#This Row],[Company Panel]]+Table33[[#This Row],[MTD Company]]</f>
        <v>133.91666666666669</v>
      </c>
      <c r="G9" s="18">
        <f>Table333[[#This Row],[Our Panel]]+Table33[[#This Row],[MTD Panel]]</f>
        <v>133.91666666666669</v>
      </c>
      <c r="H9" s="13">
        <f t="shared" si="0"/>
        <v>0</v>
      </c>
      <c r="I9" s="8">
        <f t="shared" si="1"/>
        <v>0</v>
      </c>
    </row>
    <row r="10" spans="1:12">
      <c r="A10" s="11" t="str">
        <f>Table333456789101217[[#This Row],[Carrier]]</f>
        <v>Law</v>
      </c>
      <c r="B10" s="5" t="str">
        <f>Table333456789101217[[#This Row],[IP]]</f>
        <v>77.88.99.21/77.88.99.88/77.88.99.94/110.56.211.7</v>
      </c>
      <c r="C10" s="6" t="str">
        <f>Table333456789101217[[#This Row],[Carrier Code]]</f>
        <v>LA</v>
      </c>
      <c r="D10" s="53">
        <v>0</v>
      </c>
      <c r="E10" s="53">
        <v>0</v>
      </c>
      <c r="F10" s="18">
        <f>Table333[[#This Row],[Company Panel]]+Table33[[#This Row],[MTD Company]]</f>
        <v>0</v>
      </c>
      <c r="G10" s="18">
        <f>Table333[[#This Row],[Our Panel]]+Table33[[#This Row],[MTD Panel]]</f>
        <v>0</v>
      </c>
      <c r="H10" s="13">
        <f t="shared" si="0"/>
        <v>0</v>
      </c>
      <c r="I10" s="8">
        <f t="shared" si="1"/>
        <v>0</v>
      </c>
    </row>
    <row r="11" spans="1:12">
      <c r="A11" s="11" t="str">
        <f>Table333456789101217[[#This Row],[Carrier]]</f>
        <v>Pulse</v>
      </c>
      <c r="B11" s="5" t="str">
        <f>Table333456789101217[[#This Row],[IP]]</f>
        <v>198.51.100.130/31.725.16.608/66.59.61.503/167.34.122.90</v>
      </c>
      <c r="C11" s="6" t="str">
        <f>Table333456789101217[[#This Row],[Carrier Code]]</f>
        <v>PU</v>
      </c>
      <c r="D11" s="53">
        <v>0</v>
      </c>
      <c r="E11" s="53">
        <v>0</v>
      </c>
      <c r="F11" s="18">
        <f>Table333[[#This Row],[Company Panel]]+Table33[[#This Row],[MTD Company]]</f>
        <v>0</v>
      </c>
      <c r="G11" s="18">
        <f>Table333[[#This Row],[Our Panel]]+Table33[[#This Row],[MTD Panel]]</f>
        <v>0</v>
      </c>
      <c r="H11" s="13">
        <f t="shared" si="0"/>
        <v>0</v>
      </c>
      <c r="I11" s="8">
        <f t="shared" si="1"/>
        <v>0</v>
      </c>
    </row>
    <row r="12" spans="1:12">
      <c r="A12" s="11" t="str">
        <f>Table333456789101217[[#This Row],[Carrier]]</f>
        <v>Phantom</v>
      </c>
      <c r="B12" s="5" t="str">
        <f>Table333456789101217[[#This Row],[IP]]</f>
        <v>141.15.210.67/141.15.42.82/179.62.211.4</v>
      </c>
      <c r="C12" s="6" t="str">
        <f>Table333456789101217[[#This Row],[Carrier Code]]</f>
        <v>PH</v>
      </c>
      <c r="D12" s="53">
        <v>11.35</v>
      </c>
      <c r="E12" s="53">
        <v>11.35</v>
      </c>
      <c r="F12" s="18">
        <f>Table333[[#This Row],[Company Panel]]+Table33[[#This Row],[MTD Company]]</f>
        <v>17.866666666666667</v>
      </c>
      <c r="G12" s="18">
        <f>Table333[[#This Row],[Our Panel]]+Table33[[#This Row],[MTD Panel]]</f>
        <v>17.866666666666667</v>
      </c>
      <c r="H12" s="13">
        <f t="shared" si="0"/>
        <v>0</v>
      </c>
      <c r="I12" s="8">
        <f t="shared" si="1"/>
        <v>0</v>
      </c>
    </row>
    <row r="13" spans="1:12">
      <c r="A13" s="11" t="str">
        <f>Table333456789101217[[#This Row],[Carrier]]</f>
        <v>Dragon</v>
      </c>
      <c r="B13" s="5" t="str">
        <f>Table333456789101217[[#This Row],[IP]]</f>
        <v>12.34.56.78/12.34.56.128/200.180.245.18</v>
      </c>
      <c r="C13" s="6" t="str">
        <f>Table333456789101217[[#This Row],[Carrier Code]]</f>
        <v>DG</v>
      </c>
      <c r="D13" s="53">
        <v>0</v>
      </c>
      <c r="E13" s="53">
        <v>0</v>
      </c>
      <c r="F13" s="18">
        <f>Table333[[#This Row],[Company Panel]]+Table33[[#This Row],[MTD Company]]</f>
        <v>0</v>
      </c>
      <c r="G13" s="18">
        <f>Table333[[#This Row],[Our Panel]]+Table33[[#This Row],[MTD Panel]]</f>
        <v>0</v>
      </c>
      <c r="H13" s="13">
        <f t="shared" si="0"/>
        <v>0</v>
      </c>
      <c r="I13" s="8">
        <f t="shared" si="1"/>
        <v>0</v>
      </c>
    </row>
    <row r="14" spans="1:12">
      <c r="A14" s="11" t="str">
        <f>Table333456789101217[[#This Row],[Carrier]]</f>
        <v>Tempest</v>
      </c>
      <c r="B14" s="5" t="str">
        <f>Table333456789101217[[#This Row],[IP]]</f>
        <v>59.144.223.88/55.39.99.60</v>
      </c>
      <c r="C14" s="6" t="str">
        <f>Table333456789101217[[#This Row],[Carrier Code]]</f>
        <v>TE</v>
      </c>
      <c r="D14" s="53">
        <v>0</v>
      </c>
      <c r="E14" s="53">
        <v>0</v>
      </c>
      <c r="F14" s="18">
        <f>Table333[[#This Row],[Company Panel]]+Table33[[#This Row],[MTD Company]]</f>
        <v>0</v>
      </c>
      <c r="G14" s="18">
        <f>Table333[[#This Row],[Our Panel]]+Table33[[#This Row],[MTD Panel]]</f>
        <v>0</v>
      </c>
      <c r="H14" s="13">
        <f t="shared" si="0"/>
        <v>0</v>
      </c>
      <c r="I14" s="8">
        <f t="shared" si="1"/>
        <v>0</v>
      </c>
    </row>
    <row r="15" spans="1:12">
      <c r="A15" s="11" t="str">
        <f>Table333456789101217[[#This Row],[Carrier]]</f>
        <v>Shadow</v>
      </c>
      <c r="B15" s="5" t="str">
        <f>Table333456789101217[[#This Row],[IP]]</f>
        <v>175.45.112.100/25.851.31.153/39.80.220.100</v>
      </c>
      <c r="C15" s="6" t="str">
        <f>Table333456789101217[[#This Row],[Carrier Code]]</f>
        <v>SH</v>
      </c>
      <c r="D15" s="53">
        <v>0</v>
      </c>
      <c r="E15" s="53">
        <v>0</v>
      </c>
      <c r="F15" s="18">
        <f>Table333[[#This Row],[Company Panel]]+Table33[[#This Row],[MTD Company]]</f>
        <v>0</v>
      </c>
      <c r="G15" s="18">
        <f>Table333[[#This Row],[Our Panel]]+Table33[[#This Row],[MTD Panel]]</f>
        <v>0</v>
      </c>
      <c r="H15" s="13">
        <f t="shared" si="0"/>
        <v>0</v>
      </c>
      <c r="I15" s="8">
        <f t="shared" si="1"/>
        <v>0</v>
      </c>
    </row>
    <row r="16" spans="1:12">
      <c r="A16" s="11" t="str">
        <f>Table333456789101217[[#This Row],[Carrier]]</f>
        <v>Cyclone</v>
      </c>
      <c r="B16" s="5" t="str">
        <f>Table333456789101217[[#This Row],[IP]]</f>
        <v>150.13.75.190/16.160.89.512/72.11.97.34</v>
      </c>
      <c r="C16" s="6" t="str">
        <f>Table333456789101217[[#This Row],[Carrier Code]]</f>
        <v>CY</v>
      </c>
      <c r="D16" s="53">
        <v>0</v>
      </c>
      <c r="E16" s="53">
        <v>0</v>
      </c>
      <c r="F16" s="18">
        <f>Table333[[#This Row],[Company Panel]]+Table33[[#This Row],[MTD Company]]</f>
        <v>0</v>
      </c>
      <c r="G16" s="18">
        <f>Table333[[#This Row],[Our Panel]]+Table33[[#This Row],[MTD Panel]]</f>
        <v>0</v>
      </c>
      <c r="H16" s="13">
        <f t="shared" si="0"/>
        <v>0</v>
      </c>
      <c r="I16" s="8">
        <f t="shared" si="1"/>
        <v>0</v>
      </c>
    </row>
    <row r="17" spans="1:9">
      <c r="A17" s="11" t="str">
        <f>Table333456789101217[[#This Row],[Carrier]]</f>
        <v>Reaver</v>
      </c>
      <c r="B17" s="5" t="str">
        <f>Table333456789101217[[#This Row],[IP]]</f>
        <v>203.0.113.44/188.17.56.210</v>
      </c>
      <c r="C17" s="6" t="str">
        <f>Table333456789101217[[#This Row],[Carrier Code]]</f>
        <v>RE</v>
      </c>
      <c r="D17" s="53">
        <v>0</v>
      </c>
      <c r="E17" s="53">
        <v>0</v>
      </c>
      <c r="F17" s="18">
        <f>Table333[[#This Row],[Company Panel]]+Table33[[#This Row],[MTD Company]]</f>
        <v>0</v>
      </c>
      <c r="G17" s="18">
        <f>Table333[[#This Row],[Our Panel]]+Table33[[#This Row],[MTD Panel]]</f>
        <v>0</v>
      </c>
      <c r="H17" s="13">
        <f t="shared" si="0"/>
        <v>0</v>
      </c>
      <c r="I17" s="8">
        <f t="shared" si="1"/>
        <v>0</v>
      </c>
    </row>
    <row r="18" spans="1:9">
      <c r="A18" s="11" t="str">
        <f>Table333456789101217[[#This Row],[Carrier]]</f>
        <v>Forge</v>
      </c>
      <c r="B18" s="5" t="str">
        <f>Table333456789101217[[#This Row],[IP]]</f>
        <v>112.54.89.168/112.54.89.138</v>
      </c>
      <c r="C18" s="6" t="str">
        <f>Table333456789101217[[#This Row],[Carrier Code]]</f>
        <v>FO</v>
      </c>
      <c r="D18" s="53">
        <v>22.666666666666668</v>
      </c>
      <c r="E18" s="53">
        <v>22.666666666666668</v>
      </c>
      <c r="F18" s="18">
        <f>Table333[[#This Row],[Company Panel]]+Table33[[#This Row],[MTD Company]]</f>
        <v>40.466666666666669</v>
      </c>
      <c r="G18" s="18">
        <f>Table333[[#This Row],[Our Panel]]+Table33[[#This Row],[MTD Panel]]</f>
        <v>40.466666666666669</v>
      </c>
      <c r="H18" s="13">
        <f t="shared" si="0"/>
        <v>0</v>
      </c>
      <c r="I18" s="8">
        <f t="shared" si="1"/>
        <v>0</v>
      </c>
    </row>
    <row r="19" spans="1:9">
      <c r="A19" s="11" t="str">
        <f>Table333456789101217[[#This Row],[Carrier]]</f>
        <v>Ember</v>
      </c>
      <c r="B19" s="5" t="str">
        <f>Table333456789101217[[#This Row],[IP]]</f>
        <v>78.34.90.24/328.56.122.44/142.150.75.22</v>
      </c>
      <c r="C19" s="6" t="str">
        <f>Table333456789101217[[#This Row],[Carrier Code]]</f>
        <v>EM</v>
      </c>
      <c r="D19" s="53">
        <v>0</v>
      </c>
      <c r="E19" s="53">
        <v>0</v>
      </c>
      <c r="F19" s="18">
        <f>Table333[[#This Row],[Company Panel]]+Table33[[#This Row],[MTD Company]]</f>
        <v>0</v>
      </c>
      <c r="G19" s="18">
        <f>Table333[[#This Row],[Our Panel]]+Table33[[#This Row],[MTD Panel]]</f>
        <v>0</v>
      </c>
      <c r="H19" s="13">
        <f t="shared" si="0"/>
        <v>0</v>
      </c>
      <c r="I19" s="8">
        <f t="shared" si="1"/>
        <v>0</v>
      </c>
    </row>
    <row r="20" spans="1:9">
      <c r="A20" s="11" t="str">
        <f>Table333456789101217[[#This Row],[Carrier]]</f>
        <v>Specter</v>
      </c>
      <c r="B20" s="5" t="str">
        <f>Table333456789101217[[#This Row],[IP]]</f>
        <v>205.60.34.150</v>
      </c>
      <c r="C20" s="6" t="str">
        <f>Table333456789101217[[#This Row],[Carrier Code]]</f>
        <v>SP</v>
      </c>
      <c r="D20" s="53">
        <v>8.75</v>
      </c>
      <c r="E20" s="53">
        <v>8.75</v>
      </c>
      <c r="F20" s="18">
        <f>Table333[[#This Row],[Company Panel]]+Table33[[#This Row],[MTD Company]]</f>
        <v>9.35</v>
      </c>
      <c r="G20" s="18">
        <f>Table333[[#This Row],[Our Panel]]+Table33[[#This Row],[MTD Panel]]</f>
        <v>9.35</v>
      </c>
      <c r="H20" s="13">
        <f t="shared" si="0"/>
        <v>0</v>
      </c>
      <c r="I20" s="8">
        <f t="shared" si="1"/>
        <v>0</v>
      </c>
    </row>
    <row r="21" spans="1:9">
      <c r="A21" s="11" t="str">
        <f>Table333456789101217[[#This Row],[Carrier]]</f>
        <v>Throne</v>
      </c>
      <c r="B21" s="5" t="str">
        <f>Table333456789101217[[#This Row],[IP]]</f>
        <v>54.32.11.90/27.758.27.201/125.150.58.20</v>
      </c>
      <c r="C21" s="6" t="str">
        <f>Table333456789101217[[#This Row],[Carrier Code]]</f>
        <v>TH</v>
      </c>
      <c r="D21" s="53">
        <v>0</v>
      </c>
      <c r="E21" s="53">
        <v>0</v>
      </c>
      <c r="F21" s="18">
        <f>Table333[[#This Row],[Company Panel]]+Table33[[#This Row],[MTD Company]]</f>
        <v>0</v>
      </c>
      <c r="G21" s="18">
        <f>Table333[[#This Row],[Our Panel]]+Table33[[#This Row],[MTD Panel]]</f>
        <v>0</v>
      </c>
      <c r="H21" s="13">
        <f t="shared" si="0"/>
        <v>0</v>
      </c>
      <c r="I21" s="8">
        <f t="shared" si="1"/>
        <v>0</v>
      </c>
    </row>
    <row r="22" spans="1:9">
      <c r="A22" s="11" t="str">
        <f>Table333456789101217[[#This Row],[Carrier]]</f>
        <v>Arcane</v>
      </c>
      <c r="B22" s="5" t="str">
        <f>Table333456789101217[[#This Row],[IP]]</f>
        <v>212.100.25.78/212.100.25.87</v>
      </c>
      <c r="C22" s="6" t="str">
        <f>Table333456789101217[[#This Row],[Carrier Code]]</f>
        <v>AR</v>
      </c>
      <c r="D22" s="53">
        <v>0</v>
      </c>
      <c r="E22" s="53">
        <v>0</v>
      </c>
      <c r="F22" s="18">
        <f>Table333[[#This Row],[Company Panel]]+Table33[[#This Row],[MTD Company]]</f>
        <v>0</v>
      </c>
      <c r="G22" s="18">
        <f>Table333[[#This Row],[Our Panel]]+Table33[[#This Row],[MTD Panel]]</f>
        <v>0</v>
      </c>
      <c r="H22" s="13">
        <f t="shared" si="0"/>
        <v>0</v>
      </c>
      <c r="I22" s="8">
        <f t="shared" si="1"/>
        <v>0</v>
      </c>
    </row>
    <row r="23" spans="1:9">
      <c r="A23" s="11" t="str">
        <f>Table333456789101217[[#This Row],[Carrier]]</f>
        <v>Glitch</v>
      </c>
      <c r="B23" s="5" t="str">
        <f>Table333456789101217[[#This Row],[IP]]</f>
        <v>198.204.100.12/198.204.100.34/198.204.100.51</v>
      </c>
      <c r="C23" s="6" t="str">
        <f>Table333456789101217[[#This Row],[Carrier Code]]</f>
        <v>GL</v>
      </c>
      <c r="D23" s="53">
        <v>0</v>
      </c>
      <c r="E23" s="53">
        <v>0</v>
      </c>
      <c r="F23" s="18">
        <f>Table333[[#This Row],[Company Panel]]+Table33[[#This Row],[MTD Company]]</f>
        <v>0</v>
      </c>
      <c r="G23" s="18">
        <f>Table333[[#This Row],[Our Panel]]+Table33[[#This Row],[MTD Panel]]</f>
        <v>0</v>
      </c>
      <c r="H23" s="13">
        <f t="shared" si="0"/>
        <v>0</v>
      </c>
      <c r="I23" s="8">
        <f t="shared" si="1"/>
        <v>0</v>
      </c>
    </row>
    <row r="24" spans="1:9">
      <c r="A24" s="11" t="str">
        <f>Table333456789101217[[#This Row],[Carrier]]</f>
        <v>Nitro</v>
      </c>
      <c r="B24" s="5" t="str">
        <f>Table333456789101217[[#This Row],[IP]]</f>
        <v>15.150.200.33/119.82.200.100</v>
      </c>
      <c r="C24" s="6" t="str">
        <f>Table333456789101217[[#This Row],[Carrier Code]]</f>
        <v>NI</v>
      </c>
      <c r="D24" s="53">
        <v>0</v>
      </c>
      <c r="E24" s="53">
        <v>0</v>
      </c>
      <c r="F24" s="18">
        <f>Table333[[#This Row],[Company Panel]]+Table33[[#This Row],[MTD Company]]</f>
        <v>0</v>
      </c>
      <c r="G24" s="18">
        <f>Table333[[#This Row],[Our Panel]]+Table33[[#This Row],[MTD Panel]]</f>
        <v>0</v>
      </c>
      <c r="H24" s="13">
        <f t="shared" si="0"/>
        <v>0</v>
      </c>
      <c r="I24" s="8">
        <f t="shared" si="1"/>
        <v>0</v>
      </c>
    </row>
    <row r="25" spans="1:9">
      <c r="A25" s="11" t="str">
        <f>Table333456789101217[[#This Row],[Carrier]]</f>
        <v>Drip</v>
      </c>
      <c r="B25" s="5" t="str">
        <f>Table333456789101217[[#This Row],[IP]]</f>
        <v>84.13.76.190/90.945.80.11/198.160.234.5</v>
      </c>
      <c r="C25" s="6" t="str">
        <f>Table333456789101217[[#This Row],[Carrier Code]]</f>
        <v>DR</v>
      </c>
      <c r="D25" s="53">
        <v>0</v>
      </c>
      <c r="E25" s="53">
        <v>0</v>
      </c>
      <c r="F25" s="18">
        <f>Table333[[#This Row],[Company Panel]]+Table33[[#This Row],[MTD Company]]</f>
        <v>0</v>
      </c>
      <c r="G25" s="18">
        <f>Table333[[#This Row],[Our Panel]]+Table33[[#This Row],[MTD Panel]]</f>
        <v>0</v>
      </c>
      <c r="H25" s="13">
        <f t="shared" si="0"/>
        <v>0</v>
      </c>
      <c r="I25" s="8">
        <f t="shared" si="1"/>
        <v>0</v>
      </c>
    </row>
    <row r="26" spans="1:9">
      <c r="A26" s="11" t="str">
        <f>Table333456789101217[[#This Row],[Carrier]]</f>
        <v>Glide</v>
      </c>
      <c r="B26" s="5" t="str">
        <f>Table333456789101217[[#This Row],[IP]]</f>
        <v>120.45.12.25/85.739.221.80/85.739.221.93</v>
      </c>
      <c r="C26" s="6" t="str">
        <f>Table333456789101217[[#This Row],[Carrier Code]]</f>
        <v>GI</v>
      </c>
      <c r="D26" s="53">
        <v>0</v>
      </c>
      <c r="E26" s="53">
        <v>0</v>
      </c>
      <c r="F26" s="18">
        <f>Table333[[#This Row],[Company Panel]]+Table33[[#This Row],[MTD Company]]</f>
        <v>0</v>
      </c>
      <c r="G26" s="18">
        <f>Table333[[#This Row],[Our Panel]]+Table33[[#This Row],[MTD Panel]]</f>
        <v>0</v>
      </c>
      <c r="H26" s="13">
        <f t="shared" si="0"/>
        <v>0</v>
      </c>
      <c r="I26" s="8">
        <f t="shared" si="1"/>
        <v>0</v>
      </c>
    </row>
    <row r="27" spans="1:9">
      <c r="A27" s="11" t="str">
        <f>Table333456789101217[[#This Row],[Carrier]]</f>
        <v>Orbit</v>
      </c>
      <c r="B27" s="5" t="str">
        <f>Table333456789101217[[#This Row],[IP]]</f>
        <v>176.98.54.112/60.110.154.91/60.110.155.162</v>
      </c>
      <c r="C27" s="6" t="str">
        <f>Table333456789101217[[#This Row],[Carrier Code]]</f>
        <v>OR</v>
      </c>
      <c r="D27" s="53">
        <v>0</v>
      </c>
      <c r="E27" s="53">
        <v>0</v>
      </c>
      <c r="F27" s="18">
        <f>Table333[[#This Row],[Company Panel]]+Table33[[#This Row],[MTD Company]]</f>
        <v>0</v>
      </c>
      <c r="G27" s="18">
        <f>Table333[[#This Row],[Our Panel]]+Table33[[#This Row],[MTD Panel]]</f>
        <v>0</v>
      </c>
      <c r="H27" s="13">
        <f t="shared" si="0"/>
        <v>0</v>
      </c>
      <c r="I27" s="8">
        <f t="shared" si="1"/>
        <v>0</v>
      </c>
    </row>
    <row r="28" spans="1:9">
      <c r="A28" s="11" t="str">
        <f>Table333456789101217[[#This Row],[Carrier]]</f>
        <v>Thunder</v>
      </c>
      <c r="B28" s="5" t="str">
        <f>Table333456789101217[[#This Row],[IP]]</f>
        <v>67.102.200.9/81.905.48.847/143.235.100.34</v>
      </c>
      <c r="C28" s="6" t="str">
        <f>Table333456789101217[[#This Row],[Carrier Code]]</f>
        <v>TU</v>
      </c>
      <c r="D28" s="53">
        <v>21.5</v>
      </c>
      <c r="E28" s="53">
        <v>21.5</v>
      </c>
      <c r="F28" s="18">
        <f>Table333[[#This Row],[Company Panel]]+Table33[[#This Row],[MTD Company]]</f>
        <v>36.583333333333336</v>
      </c>
      <c r="G28" s="18">
        <f>Table333[[#This Row],[Our Panel]]+Table33[[#This Row],[MTD Panel]]</f>
        <v>36.583333333333336</v>
      </c>
      <c r="H28" s="13">
        <f t="shared" si="0"/>
        <v>0</v>
      </c>
      <c r="I28" s="8">
        <f t="shared" si="1"/>
        <v>0</v>
      </c>
    </row>
    <row r="29" spans="1:9">
      <c r="A29" s="11" t="str">
        <f>Table333456789101217[[#This Row],[Carrier]]</f>
        <v>Glimmer</v>
      </c>
      <c r="B29" s="5" t="str">
        <f>Table333456789101217[[#This Row],[IP]]</f>
        <v>99.22.211.100/71.54.85.344/71.54.85.218</v>
      </c>
      <c r="C29" s="6" t="str">
        <f>Table333456789101217[[#This Row],[Carrier Code]]</f>
        <v>GM</v>
      </c>
      <c r="D29" s="53">
        <v>0</v>
      </c>
      <c r="E29" s="53">
        <v>0</v>
      </c>
      <c r="F29" s="18">
        <f>Table333[[#This Row],[Company Panel]]+Table33[[#This Row],[MTD Company]]</f>
        <v>0</v>
      </c>
      <c r="G29" s="18">
        <f>Table333[[#This Row],[Our Panel]]+Table33[[#This Row],[MTD Panel]]</f>
        <v>0</v>
      </c>
      <c r="H29" s="13">
        <f t="shared" si="0"/>
        <v>0</v>
      </c>
      <c r="I29" s="8">
        <f t="shared" si="1"/>
        <v>0</v>
      </c>
    </row>
    <row r="30" spans="1:9">
      <c r="A30" s="11" t="str">
        <f>Table333456789101217[[#This Row],[Carrier]]</f>
        <v>Fragment</v>
      </c>
      <c r="B30" s="5" t="str">
        <f>Table333456789101217[[#This Row],[IP]]</f>
        <v>203.0.113.56/195.56.101.10</v>
      </c>
      <c r="C30" s="6" t="str">
        <f>Table333456789101217[[#This Row],[Carrier Code]]</f>
        <v>FR</v>
      </c>
      <c r="D30" s="53">
        <v>0</v>
      </c>
      <c r="E30" s="53">
        <v>0</v>
      </c>
      <c r="F30" s="18">
        <f>Table333[[#This Row],[Company Panel]]+Table33[[#This Row],[MTD Company]]</f>
        <v>0</v>
      </c>
      <c r="G30" s="18">
        <f>Table333[[#This Row],[Our Panel]]+Table33[[#This Row],[MTD Panel]]</f>
        <v>0</v>
      </c>
      <c r="H30" s="13">
        <f t="shared" si="0"/>
        <v>0</v>
      </c>
      <c r="I30" s="8">
        <f t="shared" si="1"/>
        <v>0</v>
      </c>
    </row>
    <row r="31" spans="1:9">
      <c r="A31" s="11" t="str">
        <f>Table333456789101217[[#This Row],[Carrier]]</f>
        <v>Dusk</v>
      </c>
      <c r="B31" s="5" t="str">
        <f>Table333456789101217[[#This Row],[IP]]</f>
        <v>33.44.55.66/33.44.55.84/33.44.55.122/214.68.90.122</v>
      </c>
      <c r="C31" s="6" t="str">
        <f>Table333456789101217[[#This Row],[Carrier Code]]</f>
        <v>DK</v>
      </c>
      <c r="D31" s="53">
        <v>0</v>
      </c>
      <c r="E31" s="53">
        <v>0</v>
      </c>
      <c r="F31" s="18">
        <f>Table333[[#This Row],[Company Panel]]+Table33[[#This Row],[MTD Company]]</f>
        <v>0</v>
      </c>
      <c r="G31" s="18">
        <f>Table333[[#This Row],[Our Panel]]+Table33[[#This Row],[MTD Panel]]</f>
        <v>0</v>
      </c>
      <c r="H31" s="13">
        <f t="shared" ref="H31:H36" si="2">D31-E31</f>
        <v>0</v>
      </c>
      <c r="I31" s="8">
        <f t="shared" ref="I31:I36" si="3">F31-G31</f>
        <v>0</v>
      </c>
    </row>
    <row r="32" spans="1:9">
      <c r="A32" s="11" t="str">
        <f>Table333456789101217[[#This Row],[Carrier]]</f>
        <v>Breeze</v>
      </c>
      <c r="B32" s="5" t="str">
        <f>Table333456789101217[[#This Row],[IP]]</f>
        <v>199.123.87.45/199.123.34.52/77.189.22.56</v>
      </c>
      <c r="C32" s="6" t="str">
        <f>Table333456789101217[[#This Row],[Carrier Code]]</f>
        <v>BR</v>
      </c>
      <c r="D32" s="53">
        <v>0</v>
      </c>
      <c r="E32" s="53">
        <v>0</v>
      </c>
      <c r="F32" s="18">
        <f>Table333[[#This Row],[Company Panel]]+Table33[[#This Row],[MTD Company]]</f>
        <v>0</v>
      </c>
      <c r="G32" s="18">
        <f>Table333[[#This Row],[Our Panel]]+Table33[[#This Row],[MTD Panel]]</f>
        <v>0</v>
      </c>
      <c r="H32" s="13">
        <f t="shared" si="2"/>
        <v>0</v>
      </c>
      <c r="I32" s="8">
        <f t="shared" si="3"/>
        <v>0</v>
      </c>
    </row>
    <row r="33" spans="1:9">
      <c r="A33" s="11" t="str">
        <f>Table333456789101217[[#This Row],[Carrier]]</f>
        <v>Clutch</v>
      </c>
      <c r="B33" s="5" t="str">
        <f>Table333456789101217[[#This Row],[IP]]</f>
        <v>55.66.77.88/84.126.79.28/152.233.45.11</v>
      </c>
      <c r="C33" s="6" t="str">
        <f>Table333456789101217[[#This Row],[Carrier Code]]</f>
        <v>CL</v>
      </c>
      <c r="D33" s="53">
        <v>0</v>
      </c>
      <c r="E33" s="53">
        <v>0</v>
      </c>
      <c r="F33" s="18">
        <f>Table333[[#This Row],[Company Panel]]+Table33[[#This Row],[MTD Company]]</f>
        <v>0</v>
      </c>
      <c r="G33" s="18">
        <f>Table333[[#This Row],[Our Panel]]+Table33[[#This Row],[MTD Panel]]</f>
        <v>0</v>
      </c>
      <c r="H33" s="13">
        <f t="shared" si="2"/>
        <v>0</v>
      </c>
      <c r="I33" s="8">
        <f t="shared" si="3"/>
        <v>0</v>
      </c>
    </row>
    <row r="34" spans="1:9">
      <c r="A34" s="11" t="str">
        <f>Table333456789101217[[#This Row],[Carrier]]</f>
        <v>Haze</v>
      </c>
      <c r="B34" s="5" t="str">
        <f>Table333456789101217[[#This Row],[IP]]</f>
        <v>230.111.44.56</v>
      </c>
      <c r="C34" s="6" t="str">
        <f>Table333456789101217[[#This Row],[Carrier Code]]</f>
        <v>HZ</v>
      </c>
      <c r="D34" s="53">
        <v>0</v>
      </c>
      <c r="E34" s="53">
        <v>0</v>
      </c>
      <c r="F34" s="18">
        <f>Table333[[#This Row],[Company Panel]]+Table33[[#This Row],[MTD Company]]</f>
        <v>0</v>
      </c>
      <c r="G34" s="18">
        <f>Table333[[#This Row],[Our Panel]]+Table33[[#This Row],[MTD Panel]]</f>
        <v>0</v>
      </c>
      <c r="H34" s="13">
        <f t="shared" si="2"/>
        <v>0</v>
      </c>
      <c r="I34" s="8">
        <f t="shared" si="3"/>
        <v>0</v>
      </c>
    </row>
    <row r="35" spans="1:9">
      <c r="A35" s="11" t="str">
        <f>Table333456789101217[[#This Row],[Carrier]]</f>
        <v>Vault</v>
      </c>
      <c r="B35" s="5" t="str">
        <f>Table333456789101217[[#This Row],[IP]]</f>
        <v>213.189.94.5/213.189.94.7/111.180.64.222</v>
      </c>
      <c r="C35" s="6" t="str">
        <f>Table333456789101217[[#This Row],[Carrier Code]]</f>
        <v>VA</v>
      </c>
      <c r="D35" s="53">
        <v>0</v>
      </c>
      <c r="E35" s="53">
        <v>0</v>
      </c>
      <c r="F35" s="18">
        <f>Table333[[#This Row],[Company Panel]]+Table33[[#This Row],[MTD Company]]</f>
        <v>0</v>
      </c>
      <c r="G35" s="18">
        <f>Table333[[#This Row],[Our Panel]]+Table33[[#This Row],[MTD Panel]]</f>
        <v>0</v>
      </c>
      <c r="H35" s="63">
        <f t="shared" si="2"/>
        <v>0</v>
      </c>
      <c r="I35" s="66">
        <f t="shared" si="3"/>
        <v>0</v>
      </c>
    </row>
    <row r="36" spans="1:9">
      <c r="A36" s="11" t="str">
        <f>Table333456789101217[[#This Row],[Carrier]]</f>
        <v>Scatter</v>
      </c>
      <c r="B36" s="5" t="str">
        <f>Table333456789101217[[#This Row],[IP]]</f>
        <v>14.123.45.67/168.251.90.15</v>
      </c>
      <c r="C36" s="6" t="str">
        <f>Table333456789101217[[#This Row],[Carrier Code]]</f>
        <v>SC</v>
      </c>
      <c r="D36" s="53">
        <v>8.15</v>
      </c>
      <c r="E36" s="53">
        <v>8.15</v>
      </c>
      <c r="F36" s="18">
        <f>Table333[[#This Row],[Company Panel]]+Table33[[#This Row],[MTD Company]]</f>
        <v>15.366666666666667</v>
      </c>
      <c r="G36" s="18">
        <f>Table333[[#This Row],[Our Panel]]+Table33[[#This Row],[MTD Panel]]</f>
        <v>15.366666666666667</v>
      </c>
      <c r="H36" s="13">
        <f t="shared" si="2"/>
        <v>0</v>
      </c>
      <c r="I36" s="8">
        <f t="shared" si="3"/>
        <v>0</v>
      </c>
    </row>
    <row r="37" spans="1:9">
      <c r="A37" s="11" t="str">
        <f>Table333456789101217[[#This Row],[Carrier]]</f>
        <v>Hammer</v>
      </c>
      <c r="B37" s="5" t="str">
        <f>Table333456789101217[[#This Row],[IP]]</f>
        <v>200.111.78.9/200.111.236.62/200.111.823.89/137.79.48.56</v>
      </c>
      <c r="C37" s="6" t="str">
        <f>Table333456789101217[[#This Row],[Carrier Code]]</f>
        <v>HA</v>
      </c>
      <c r="D37" s="53">
        <v>0</v>
      </c>
      <c r="E37" s="53">
        <v>0</v>
      </c>
      <c r="F37" s="18">
        <f>Table333[[#This Row],[Company Panel]]+Table33[[#This Row],[MTD Company]]</f>
        <v>0</v>
      </c>
      <c r="G37" s="18">
        <f>Table333[[#This Row],[Our Panel]]+Table33[[#This Row],[MTD Panel]]</f>
        <v>0</v>
      </c>
      <c r="H37" s="72">
        <f t="shared" ref="H37:H44" si="4">D37-E37</f>
        <v>0</v>
      </c>
      <c r="I37" s="76">
        <f t="shared" ref="I37:I44" si="5">F37-G37</f>
        <v>0</v>
      </c>
    </row>
    <row r="38" spans="1:9">
      <c r="A38" s="11" t="str">
        <f>Table333456789101217[[#This Row],[Carrier]]</f>
        <v>Smudge</v>
      </c>
      <c r="B38" s="5" t="str">
        <f>Table333456789101217[[#This Row],[IP]]</f>
        <v>88.99.233.56/54.71.99.234</v>
      </c>
      <c r="C38" s="6" t="str">
        <f>Table333456789101217[[#This Row],[Carrier Code]]</f>
        <v>SM</v>
      </c>
      <c r="D38" s="53">
        <v>2.3333333333333335</v>
      </c>
      <c r="E38" s="53">
        <v>2.3333333333333335</v>
      </c>
      <c r="F38" s="18">
        <f>Table333[[#This Row],[Company Panel]]+Table33[[#This Row],[MTD Company]]</f>
        <v>8.8000000000000007</v>
      </c>
      <c r="G38" s="18">
        <f>Table333[[#This Row],[Our Panel]]+Table33[[#This Row],[MTD Panel]]</f>
        <v>8.8000000000000007</v>
      </c>
      <c r="H38" s="72">
        <f t="shared" si="4"/>
        <v>0</v>
      </c>
      <c r="I38" s="76">
        <f t="shared" si="5"/>
        <v>0</v>
      </c>
    </row>
    <row r="39" spans="1:9">
      <c r="A39" s="11" t="str">
        <f>Table333456789101217[[#This Row],[Carrier]]</f>
        <v>Quirk</v>
      </c>
      <c r="B39" s="5" t="str">
        <f>Table333456789101217[[#This Row],[IP]]</f>
        <v>62.45.100.31/62.45.100.15/62.45.100.65/211.95.102.6</v>
      </c>
      <c r="C39" s="6" t="str">
        <f>Table333456789101217[[#This Row],[Carrier Code]]</f>
        <v>QU</v>
      </c>
      <c r="D39" s="53">
        <v>1631.5</v>
      </c>
      <c r="E39" s="53">
        <v>1631.5</v>
      </c>
      <c r="F39" s="18">
        <f>Table333[[#This Row],[Company Panel]]+Table33[[#This Row],[MTD Company]]</f>
        <v>3400.083333333333</v>
      </c>
      <c r="G39" s="18">
        <f>Table333[[#This Row],[Our Panel]]+Table33[[#This Row],[MTD Panel]]</f>
        <v>3400.083333333333</v>
      </c>
      <c r="H39" s="13">
        <f t="shared" si="4"/>
        <v>0</v>
      </c>
      <c r="I39" s="8">
        <f t="shared" si="5"/>
        <v>0</v>
      </c>
    </row>
    <row r="40" spans="1:9">
      <c r="A40" s="11" t="str">
        <f>Table333456789101217[[#This Row],[Carrier]]</f>
        <v>Vortex</v>
      </c>
      <c r="B40" s="5" t="str">
        <f>Table333456789101217[[#This Row],[IP]]</f>
        <v>179.250.91.8/29.540.67.457/94.25.34.78/183.144.27.18</v>
      </c>
      <c r="C40" s="6" t="str">
        <f>Table333456789101217[[#This Row],[Carrier Code]]</f>
        <v>VT</v>
      </c>
      <c r="D40" s="53">
        <v>0</v>
      </c>
      <c r="E40" s="53">
        <v>0</v>
      </c>
      <c r="F40" s="18">
        <f>Table333[[#This Row],[Company Panel]]+Table33[[#This Row],[MTD Company]]</f>
        <v>0</v>
      </c>
      <c r="G40" s="18">
        <f>Table333[[#This Row],[Our Panel]]+Table33[[#This Row],[MTD Panel]]</f>
        <v>0</v>
      </c>
      <c r="H40" s="13">
        <f t="shared" si="4"/>
        <v>0</v>
      </c>
      <c r="I40" s="8">
        <f t="shared" si="5"/>
        <v>0</v>
      </c>
    </row>
    <row r="41" spans="1:9">
      <c r="A41" s="11" t="str">
        <f>Table333456789101217[[#This Row],[Carrier]]</f>
        <v>Void</v>
      </c>
      <c r="B41" s="5" t="str">
        <f>Table333456789101217[[#This Row],[IP]]</f>
        <v>156.34.123.11/156.34.123.25/156.34.123.62/92.44.233.110</v>
      </c>
      <c r="C41" s="6" t="str">
        <f>Table333456789101217[[#This Row],[Carrier Code]]</f>
        <v>VO</v>
      </c>
      <c r="D41" s="53">
        <v>68</v>
      </c>
      <c r="E41" s="53">
        <v>68</v>
      </c>
      <c r="F41" s="18">
        <f>Table333[[#This Row],[Company Panel]]+Table33[[#This Row],[MTD Company]]</f>
        <v>127.4</v>
      </c>
      <c r="G41" s="18">
        <f>Table333[[#This Row],[Our Panel]]+Table33[[#This Row],[MTD Panel]]</f>
        <v>127.4</v>
      </c>
      <c r="H41" s="72">
        <f t="shared" si="4"/>
        <v>0</v>
      </c>
      <c r="I41" s="76">
        <f t="shared" si="5"/>
        <v>0</v>
      </c>
    </row>
    <row r="42" spans="1:9">
      <c r="A42" s="11" t="str">
        <f>Table333456789101217[[#This Row],[Carrier]]</f>
        <v>Midnight</v>
      </c>
      <c r="B42" s="5" t="str">
        <f>Table333456789101217[[#This Row],[IP]]</f>
        <v>134.77.22.4/23.97.150.8</v>
      </c>
      <c r="C42" s="6" t="str">
        <f>Table333456789101217[[#This Row],[Carrier Code]]</f>
        <v>MI</v>
      </c>
      <c r="D42" s="53">
        <v>38.4</v>
      </c>
      <c r="E42" s="53">
        <v>38.4</v>
      </c>
      <c r="F42" s="18">
        <f>Table333[[#This Row],[Company Panel]]+Table33[[#This Row],[MTD Company]]</f>
        <v>113.56666666666666</v>
      </c>
      <c r="G42" s="18">
        <f>Table333[[#This Row],[Our Panel]]+Table33[[#This Row],[MTD Panel]]</f>
        <v>113.56666666666666</v>
      </c>
      <c r="H42" s="72">
        <f t="shared" si="4"/>
        <v>0</v>
      </c>
      <c r="I42" s="76">
        <f t="shared" si="5"/>
        <v>0</v>
      </c>
    </row>
    <row r="43" spans="1:9">
      <c r="A43" s="11" t="str">
        <f>Table333456789101217[[#This Row],[Carrier]]</f>
        <v>Autumn</v>
      </c>
      <c r="B43" s="5" t="str">
        <f>Table333456789101217[[#This Row],[IP]]</f>
        <v>202.54.210.88/12.331.94.73/64.19.28.175</v>
      </c>
      <c r="C43" s="6" t="str">
        <f>Table333456789101217[[#This Row],[Carrier Code]]</f>
        <v>AU</v>
      </c>
      <c r="D43" s="53">
        <v>26.316666666666666</v>
      </c>
      <c r="E43" s="53">
        <v>26.316666666666666</v>
      </c>
      <c r="F43" s="18">
        <f>Table333[[#This Row],[Company Panel]]+Table33[[#This Row],[MTD Company]]</f>
        <v>30.716666666666669</v>
      </c>
      <c r="G43" s="18">
        <f>Table333[[#This Row],[Our Panel]]+Table33[[#This Row],[MTD Panel]]</f>
        <v>30.716666666666669</v>
      </c>
      <c r="H43" s="72">
        <f t="shared" si="4"/>
        <v>0</v>
      </c>
      <c r="I43" s="76">
        <f t="shared" si="5"/>
        <v>0</v>
      </c>
    </row>
    <row r="44" spans="1:9">
      <c r="A44" s="11" t="str">
        <f>Table333456789101217[[#This Row],[Carrier]]</f>
        <v>Mystic</v>
      </c>
      <c r="B44" s="5" t="str">
        <f>Table333456789101217[[#This Row],[IP]]</f>
        <v>51.233.21.76/82.115.35.60/82.115.35.85</v>
      </c>
      <c r="C44" s="6" t="str">
        <f>Table333456789101217[[#This Row],[Carrier Code]]</f>
        <v>MY</v>
      </c>
      <c r="D44" s="53">
        <v>0</v>
      </c>
      <c r="E44" s="53">
        <v>0</v>
      </c>
      <c r="F44" s="18">
        <f>Table333[[#This Row],[Company Panel]]+Table33[[#This Row],[MTD Company]]</f>
        <v>0</v>
      </c>
      <c r="G44" s="18">
        <f>Table333[[#This Row],[Our Panel]]+Table33[[#This Row],[MTD Panel]]</f>
        <v>0</v>
      </c>
      <c r="H44" s="72">
        <f t="shared" si="4"/>
        <v>0</v>
      </c>
      <c r="I44" s="76">
        <f t="shared" si="5"/>
        <v>0</v>
      </c>
    </row>
    <row r="45" spans="1:9">
      <c r="A45" s="11" t="str">
        <f>Table333456789101217[[#This Row],[Carrier]]</f>
        <v>Clover</v>
      </c>
      <c r="B45" s="5" t="str">
        <f>Table333456789101217[[#This Row],[IP]]</f>
        <v>210.150.12.45/84.50.212.66/135.113.88.9</v>
      </c>
      <c r="C45" s="6" t="str">
        <f>Table333456789101217[[#This Row],[Carrier Code]]</f>
        <v>CO</v>
      </c>
      <c r="D45" s="53">
        <v>93.516666666666666</v>
      </c>
      <c r="E45" s="53">
        <v>93.516666666666666</v>
      </c>
      <c r="F45" s="18">
        <f>Table333[[#This Row],[Company Panel]]+Table33[[#This Row],[MTD Company]]</f>
        <v>234.25</v>
      </c>
      <c r="G45" s="18">
        <f>Table333[[#This Row],[Our Panel]]+Table33[[#This Row],[MTD Panel]]</f>
        <v>234.25</v>
      </c>
      <c r="H45" s="78">
        <f>D45-E45</f>
        <v>0</v>
      </c>
      <c r="I45" s="80">
        <f>F45-G45</f>
        <v>0</v>
      </c>
    </row>
    <row r="46" spans="1:9">
      <c r="A46" s="11" t="str">
        <f>Table333456789101217[[#This Row],[Carrier]]</f>
        <v>Hunter</v>
      </c>
      <c r="B46" s="5" t="str">
        <f>Table333456789101217[[#This Row],[IP]]</f>
        <v>170.199.20.87/13.693.39.280/78.30.123.47</v>
      </c>
      <c r="C46" s="6" t="str">
        <f>Table333456789101217[[#This Row],[Carrier Code]]</f>
        <v>HU</v>
      </c>
      <c r="D46" s="53">
        <v>364.88333333333333</v>
      </c>
      <c r="E46" s="53">
        <v>364.88333333333333</v>
      </c>
      <c r="F46" s="18">
        <f>Table333[[#This Row],[Company Panel]]+Table33[[#This Row],[MTD Company]]</f>
        <v>807.58333333333326</v>
      </c>
      <c r="G46" s="18">
        <f>Table333[[#This Row],[Our Panel]]+Table33[[#This Row],[MTD Panel]]</f>
        <v>807.58333333333326</v>
      </c>
      <c r="H46" s="13">
        <f>D46-E46</f>
        <v>0</v>
      </c>
      <c r="I46" s="8">
        <f>F46-G46</f>
        <v>0</v>
      </c>
    </row>
    <row r="47" spans="1:9">
      <c r="A47" s="11" t="str">
        <f>Table333456789101217[[#This Row],[Carrier]]</f>
        <v>Invaded</v>
      </c>
      <c r="B47" s="5" t="str">
        <f>Table333456789101217[[#This Row],[IP]]</f>
        <v>182.67.99.120/80.518.230.410/26.847.95.107/188.12.67.92</v>
      </c>
      <c r="C47" s="6" t="str">
        <f>Table333456789101217[[#This Row],[Carrier Code]]</f>
        <v>ID</v>
      </c>
      <c r="D47" s="53">
        <v>0</v>
      </c>
      <c r="E47" s="53">
        <v>0</v>
      </c>
      <c r="F47" s="18">
        <f>Table333[[#This Row],[Company Panel]]+Table33[[#This Row],[MTD Company]]</f>
        <v>0</v>
      </c>
      <c r="G47" s="18">
        <f>Table333[[#This Row],[Our Panel]]+Table33[[#This Row],[MTD Panel]]</f>
        <v>0</v>
      </c>
      <c r="H47" s="13">
        <f>D47-E47</f>
        <v>0</v>
      </c>
      <c r="I47" s="8">
        <f>F47-G47</f>
        <v>0</v>
      </c>
    </row>
    <row r="48" spans="1:9">
      <c r="A48" s="11" t="str">
        <f>Table333456789101217[[#This Row],[Carrier]]</f>
        <v>Delusion</v>
      </c>
      <c r="B48" s="5" t="str">
        <f>Table333456789101217[[#This Row],[IP]]</f>
        <v>198.51.100.72/69.887.74.738/39.153.110.645</v>
      </c>
      <c r="C48" s="6" t="str">
        <f>Table333456789101217[[#This Row],[Carrier Code]]</f>
        <v>DU</v>
      </c>
      <c r="D48" s="53">
        <v>0</v>
      </c>
      <c r="E48" s="53">
        <v>0</v>
      </c>
      <c r="F48" s="18">
        <f>Table333[[#This Row],[Company Panel]]+Table33[[#This Row],[MTD Company]]</f>
        <v>0</v>
      </c>
      <c r="G48" s="18">
        <f>Table333[[#This Row],[Our Panel]]+Table33[[#This Row],[MTD Panel]]</f>
        <v>0</v>
      </c>
      <c r="H48" s="13">
        <f>D48-E48</f>
        <v>0</v>
      </c>
      <c r="I48" s="8">
        <f>F48-G48</f>
        <v>0</v>
      </c>
    </row>
    <row r="49" spans="1:9" ht="15.5">
      <c r="A49" s="11" t="str">
        <f>Table333456789101217[[#This Row],[Carrier]]</f>
        <v>Total</v>
      </c>
      <c r="B49" s="5" t="str">
        <f>Table333456789101217[[#This Row],[IP]]</f>
        <v>Total (Mins)</v>
      </c>
      <c r="C49" s="6"/>
      <c r="D49" s="12">
        <f>SUM(D3:D48)</f>
        <v>3582.4333333333334</v>
      </c>
      <c r="E49" s="12">
        <f t="shared" ref="E49:G49" si="6">SUM(E3:E48)</f>
        <v>3582.4333333333334</v>
      </c>
      <c r="F49" s="12">
        <f t="shared" si="6"/>
        <v>6928.8833333333323</v>
      </c>
      <c r="G49" s="12">
        <f t="shared" si="6"/>
        <v>6928.8833333333323</v>
      </c>
      <c r="H49" s="12">
        <f>SUM(H3:H48)</f>
        <v>0</v>
      </c>
      <c r="I49" s="12">
        <f>SUM(I3:I48)</f>
        <v>0</v>
      </c>
    </row>
    <row r="51" spans="1:9">
      <c r="G51" s="52"/>
    </row>
    <row r="52" spans="1:9">
      <c r="E52" s="9"/>
      <c r="G52" s="9"/>
    </row>
  </sheetData>
  <conditionalFormatting sqref="H2:I48">
    <cfRule type="cellIs" dxfId="551" priority="67" operator="lessThan">
      <formula>0</formula>
    </cfRule>
  </conditionalFormatting>
  <conditionalFormatting sqref="I30:I48">
    <cfRule type="cellIs" dxfId="550" priority="66" operator="lessThan">
      <formula>0</formula>
    </cfRule>
  </conditionalFormatting>
  <conditionalFormatting sqref="H3:I48">
    <cfRule type="cellIs" dxfId="549" priority="64" operator="lessThan">
      <formula>0</formula>
    </cfRule>
  </conditionalFormatting>
  <conditionalFormatting sqref="I30:I48">
    <cfRule type="cellIs" dxfId="548" priority="60" operator="lessThan">
      <formula>0</formula>
    </cfRule>
  </conditionalFormatting>
  <conditionalFormatting sqref="I3:I48">
    <cfRule type="cellIs" dxfId="547" priority="50" operator="lessThan">
      <formula>0</formula>
    </cfRule>
    <cfRule type="cellIs" dxfId="546" priority="52" operator="lessThan">
      <formula>0</formula>
    </cfRule>
  </conditionalFormatting>
  <hyperlinks>
    <hyperlink ref="E1" location="H!A1" display="Home"/>
    <hyperlink ref="D1" location="'1'!D1" display="←"/>
    <hyperlink ref="F1" location="'3'!F1" display="→"/>
  </hyperlink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2"/>
  <sheetViews>
    <sheetView zoomScaleNormal="10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D3" sqref="D3"/>
    </sheetView>
  </sheetViews>
  <sheetFormatPr defaultRowHeight="14.5"/>
  <cols>
    <col min="1" max="1" width="26.7265625" bestFit="1" customWidth="1"/>
    <col min="2" max="2" width="37" bestFit="1" customWidth="1"/>
    <col min="3" max="3" width="10.453125" customWidth="1"/>
    <col min="4" max="9" width="12.7265625" customWidth="1"/>
  </cols>
  <sheetData>
    <row r="1" spans="1:12" ht="18.5">
      <c r="A1" s="23" t="str">
        <f>H!A4</f>
        <v>3rd April 2025</v>
      </c>
      <c r="B1" s="24"/>
      <c r="C1" s="24"/>
      <c r="D1" s="22" t="s">
        <v>16</v>
      </c>
      <c r="E1" s="22" t="s">
        <v>9</v>
      </c>
      <c r="F1" s="22" t="s">
        <v>17</v>
      </c>
    </row>
    <row r="2" spans="1:12" ht="31">
      <c r="A2" s="1" t="s">
        <v>0</v>
      </c>
      <c r="B2" s="2" t="s">
        <v>1</v>
      </c>
      <c r="C2" s="2" t="s">
        <v>2</v>
      </c>
      <c r="D2" s="2" t="s">
        <v>3</v>
      </c>
      <c r="E2" s="3" t="s">
        <v>5</v>
      </c>
      <c r="F2" s="3" t="s">
        <v>4</v>
      </c>
      <c r="G2" s="4" t="s">
        <v>6</v>
      </c>
      <c r="H2" s="4" t="s">
        <v>7</v>
      </c>
      <c r="I2" s="3" t="s">
        <v>8</v>
      </c>
      <c r="J2" s="20"/>
      <c r="K2" s="21"/>
      <c r="L2" s="20"/>
    </row>
    <row r="3" spans="1:12">
      <c r="A3" s="11" t="str">
        <f>Table333456789101217[[#This Row],[Carrier]]</f>
        <v>Blaze</v>
      </c>
      <c r="B3" s="5" t="str">
        <f>Table333456789101217[[#This Row],[IP]]</f>
        <v>8.12.34.56/48.163.17.845/60.502.86.203/191.45.28.14</v>
      </c>
      <c r="C3" s="6" t="str">
        <f>Table333456789101217[[#This Row],[Carrier Code]]</f>
        <v>BZ</v>
      </c>
      <c r="D3" s="53">
        <v>0</v>
      </c>
      <c r="E3" s="53">
        <v>0</v>
      </c>
      <c r="F3" s="18">
        <f>Table3334[[#This Row],[Company Panel]]+Table333[[#This Row],[MTD Company2]]</f>
        <v>0</v>
      </c>
      <c r="G3" s="18">
        <f>Table3334[[#This Row],[Our Panel]]+Table333[[#This Row],[MTD Panel]]</f>
        <v>0</v>
      </c>
      <c r="H3" s="13">
        <f t="shared" ref="H3:H30" si="0">D3-E3</f>
        <v>0</v>
      </c>
      <c r="I3" s="13">
        <f t="shared" ref="I3:I30" si="1">F3-G3</f>
        <v>0</v>
      </c>
    </row>
    <row r="4" spans="1:12">
      <c r="A4" s="11" t="str">
        <f>Table333456789101217[[#This Row],[Carrier]]</f>
        <v>Titan</v>
      </c>
      <c r="B4" s="5" t="str">
        <f>Table333456789101217[[#This Row],[IP]]</f>
        <v>123.45.67.89/123.45.67.93/203.24.101.65</v>
      </c>
      <c r="C4" s="6" t="str">
        <f>Table333456789101217[[#This Row],[Carrier Code]]</f>
        <v>TI</v>
      </c>
      <c r="D4" s="53">
        <v>1.2666666666666666</v>
      </c>
      <c r="E4" s="53">
        <v>1.2666666666666666</v>
      </c>
      <c r="F4" s="18">
        <f>Table3334[[#This Row],[Company Panel]]+Table333[[#This Row],[MTD Company2]]</f>
        <v>2.5999999999999996</v>
      </c>
      <c r="G4" s="18">
        <f>Table3334[[#This Row],[Our Panel]]+Table333[[#This Row],[MTD Panel]]</f>
        <v>2.5999999999999996</v>
      </c>
      <c r="H4" s="13">
        <f t="shared" si="0"/>
        <v>0</v>
      </c>
      <c r="I4" s="13">
        <f t="shared" si="1"/>
        <v>0</v>
      </c>
      <c r="L4" s="9"/>
    </row>
    <row r="5" spans="1:12">
      <c r="A5" s="11" t="str">
        <f>Table333456789101217[[#This Row],[Carrier]]</f>
        <v>Hollow</v>
      </c>
      <c r="B5" s="5" t="str">
        <f>Table333456789101217[[#This Row],[IP]]</f>
        <v>204.56.78.100/204.56.57.169/52.94.101.12</v>
      </c>
      <c r="C5" s="6" t="str">
        <f>Table333456789101217[[#This Row],[Carrier Code]]</f>
        <v>HO</v>
      </c>
      <c r="D5" s="53">
        <v>0</v>
      </c>
      <c r="E5" s="53">
        <v>0</v>
      </c>
      <c r="F5" s="18">
        <f>Table3334[[#This Row],[Company Panel]]+Table333[[#This Row],[MTD Company2]]</f>
        <v>0</v>
      </c>
      <c r="G5" s="18">
        <f>Table3334[[#This Row],[Our Panel]]+Table333[[#This Row],[MTD Panel]]</f>
        <v>0</v>
      </c>
      <c r="H5" s="13">
        <f t="shared" si="0"/>
        <v>0</v>
      </c>
      <c r="I5" s="13">
        <f t="shared" si="1"/>
        <v>0</v>
      </c>
    </row>
    <row r="6" spans="1:12">
      <c r="A6" s="11" t="str">
        <f>Table333456789101217[[#This Row],[Carrier]]</f>
        <v>Prism</v>
      </c>
      <c r="B6" s="5" t="str">
        <f>Table333456789101217[[#This Row],[IP]]</f>
        <v>35.118.22.45/137.63.112.25</v>
      </c>
      <c r="C6" s="6" t="str">
        <f>Table333456789101217[[#This Row],[Carrier Code]]</f>
        <v>PS</v>
      </c>
      <c r="D6" s="53">
        <v>799.25</v>
      </c>
      <c r="E6" s="53">
        <v>799.25</v>
      </c>
      <c r="F6" s="18">
        <f>Table3334[[#This Row],[Company Panel]]+Table333[[#This Row],[MTD Company2]]</f>
        <v>2519.2166666666667</v>
      </c>
      <c r="G6" s="18">
        <f>Table3334[[#This Row],[Our Panel]]+Table333[[#This Row],[MTD Panel]]</f>
        <v>2519.2166666666667</v>
      </c>
      <c r="H6" s="13">
        <f t="shared" si="0"/>
        <v>0</v>
      </c>
      <c r="I6" s="13">
        <f t="shared" si="1"/>
        <v>0</v>
      </c>
    </row>
    <row r="7" spans="1:12">
      <c r="A7" s="11" t="str">
        <f>Table333456789101217[[#This Row],[Carrier]]</f>
        <v>Echo</v>
      </c>
      <c r="B7" s="5" t="str">
        <f>Table333456789101217[[#This Row],[IP]]</f>
        <v>66.89.101.10/66.89.101.19/66.89.101.23/66.89.101.45/66.89.101.81/85.21.34.99</v>
      </c>
      <c r="C7" s="6" t="str">
        <f>Table333456789101217[[#This Row],[Carrier Code]]</f>
        <v>EC</v>
      </c>
      <c r="D7" s="53">
        <v>1.2833333333333334</v>
      </c>
      <c r="E7" s="53">
        <v>1.2833333333333334</v>
      </c>
      <c r="F7" s="18">
        <f>Table3334[[#This Row],[Company Panel]]+Table333[[#This Row],[MTD Company2]]</f>
        <v>2.7833333333333332</v>
      </c>
      <c r="G7" s="18">
        <f>Table3334[[#This Row],[Our Panel]]+Table333[[#This Row],[MTD Panel]]</f>
        <v>2.7833333333333332</v>
      </c>
      <c r="H7" s="13">
        <f t="shared" si="0"/>
        <v>0</v>
      </c>
      <c r="I7" s="13">
        <f t="shared" si="1"/>
        <v>0</v>
      </c>
    </row>
    <row r="8" spans="1:12">
      <c r="A8" s="11" t="str">
        <f>Table333456789101217[[#This Row],[Carrier]]</f>
        <v>Strike</v>
      </c>
      <c r="B8" s="5" t="str">
        <f>Table333456789101217[[#This Row],[IP]]</f>
        <v>100.200.150.3/100.200.165.38/41.102.90.78</v>
      </c>
      <c r="C8" s="6" t="str">
        <f>Table333456789101217[[#This Row],[Carrier Code]]</f>
        <v>ST</v>
      </c>
      <c r="D8" s="53">
        <v>132.94999999999999</v>
      </c>
      <c r="E8" s="53">
        <v>132.94999999999999</v>
      </c>
      <c r="F8" s="18">
        <f>Table3334[[#This Row],[Company Panel]]+Table333[[#This Row],[MTD Company2]]</f>
        <v>363.08333333333331</v>
      </c>
      <c r="G8" s="18">
        <f>Table3334[[#This Row],[Our Panel]]+Table333[[#This Row],[MTD Panel]]</f>
        <v>363.08333333333331</v>
      </c>
      <c r="H8" s="13">
        <f t="shared" si="0"/>
        <v>0</v>
      </c>
      <c r="I8" s="13">
        <f t="shared" si="1"/>
        <v>0</v>
      </c>
      <c r="L8" s="9"/>
    </row>
    <row r="9" spans="1:12">
      <c r="A9" s="11" t="str">
        <f>Table333456789101217[[#This Row],[Carrier]]</f>
        <v>Blunt</v>
      </c>
      <c r="B9" s="5" t="str">
        <f>Table333456789101217[[#This Row],[IP]]</f>
        <v>52.28.191.25/52.28.191.38/52.28.191.24/61.110.23.45</v>
      </c>
      <c r="C9" s="6" t="str">
        <f>Table333456789101217[[#This Row],[Carrier Code]]</f>
        <v>BL</v>
      </c>
      <c r="D9" s="53">
        <v>80.166666666666671</v>
      </c>
      <c r="E9" s="53">
        <v>80.166666666666671</v>
      </c>
      <c r="F9" s="18">
        <f>Table3334[[#This Row],[Company Panel]]+Table333[[#This Row],[MTD Company2]]</f>
        <v>214.08333333333337</v>
      </c>
      <c r="G9" s="18">
        <f>Table3334[[#This Row],[Our Panel]]+Table333[[#This Row],[MTD Panel]]</f>
        <v>214.08333333333337</v>
      </c>
      <c r="H9" s="13">
        <f t="shared" si="0"/>
        <v>0</v>
      </c>
      <c r="I9" s="13">
        <f t="shared" si="1"/>
        <v>0</v>
      </c>
    </row>
    <row r="10" spans="1:12">
      <c r="A10" s="11" t="str">
        <f>Table333456789101217[[#This Row],[Carrier]]</f>
        <v>Law</v>
      </c>
      <c r="B10" s="5" t="str">
        <f>Table333456789101217[[#This Row],[IP]]</f>
        <v>77.88.99.21/77.88.99.88/77.88.99.94/110.56.211.7</v>
      </c>
      <c r="C10" s="6" t="str">
        <f>Table333456789101217[[#This Row],[Carrier Code]]</f>
        <v>LA</v>
      </c>
      <c r="D10" s="53">
        <v>0</v>
      </c>
      <c r="E10" s="53">
        <v>0</v>
      </c>
      <c r="F10" s="18">
        <f>Table3334[[#This Row],[Company Panel]]+Table333[[#This Row],[MTD Company2]]</f>
        <v>0</v>
      </c>
      <c r="G10" s="18">
        <f>Table3334[[#This Row],[Our Panel]]+Table333[[#This Row],[MTD Panel]]</f>
        <v>0</v>
      </c>
      <c r="H10" s="13">
        <f t="shared" si="0"/>
        <v>0</v>
      </c>
      <c r="I10" s="13">
        <f t="shared" si="1"/>
        <v>0</v>
      </c>
    </row>
    <row r="11" spans="1:12">
      <c r="A11" s="11" t="str">
        <f>Table333456789101217[[#This Row],[Carrier]]</f>
        <v>Pulse</v>
      </c>
      <c r="B11" s="5" t="str">
        <f>Table333456789101217[[#This Row],[IP]]</f>
        <v>198.51.100.130/31.725.16.608/66.59.61.503/167.34.122.90</v>
      </c>
      <c r="C11" s="6" t="str">
        <f>Table333456789101217[[#This Row],[Carrier Code]]</f>
        <v>PU</v>
      </c>
      <c r="D11" s="53">
        <v>0</v>
      </c>
      <c r="E11" s="53">
        <v>0</v>
      </c>
      <c r="F11" s="18">
        <f>Table3334[[#This Row],[Company Panel]]+Table333[[#This Row],[MTD Company2]]</f>
        <v>0</v>
      </c>
      <c r="G11" s="18">
        <f>Table3334[[#This Row],[Our Panel]]+Table333[[#This Row],[MTD Panel]]</f>
        <v>0</v>
      </c>
      <c r="H11" s="13">
        <f t="shared" si="0"/>
        <v>0</v>
      </c>
      <c r="I11" s="13">
        <f t="shared" si="1"/>
        <v>0</v>
      </c>
    </row>
    <row r="12" spans="1:12">
      <c r="A12" s="11" t="str">
        <f>Table333456789101217[[#This Row],[Carrier]]</f>
        <v>Phantom</v>
      </c>
      <c r="B12" s="5" t="str">
        <f>Table333456789101217[[#This Row],[IP]]</f>
        <v>141.15.210.67/141.15.42.82/179.62.211.4</v>
      </c>
      <c r="C12" s="6" t="str">
        <f>Table333456789101217[[#This Row],[Carrier Code]]</f>
        <v>PH</v>
      </c>
      <c r="D12" s="53">
        <v>4.7833333333333332</v>
      </c>
      <c r="E12" s="53">
        <v>4.7833333333333332</v>
      </c>
      <c r="F12" s="18">
        <f>Table3334[[#This Row],[Company Panel]]+Table333[[#This Row],[MTD Company2]]</f>
        <v>22.65</v>
      </c>
      <c r="G12" s="18">
        <f>Table3334[[#This Row],[Our Panel]]+Table333[[#This Row],[MTD Panel]]</f>
        <v>22.65</v>
      </c>
      <c r="H12" s="13">
        <f t="shared" si="0"/>
        <v>0</v>
      </c>
      <c r="I12" s="13">
        <f t="shared" si="1"/>
        <v>0</v>
      </c>
    </row>
    <row r="13" spans="1:12">
      <c r="A13" s="11" t="str">
        <f>Table333456789101217[[#This Row],[Carrier]]</f>
        <v>Dragon</v>
      </c>
      <c r="B13" s="5" t="str">
        <f>Table333456789101217[[#This Row],[IP]]</f>
        <v>12.34.56.78/12.34.56.128/200.180.245.18</v>
      </c>
      <c r="C13" s="6" t="str">
        <f>Table333456789101217[[#This Row],[Carrier Code]]</f>
        <v>DG</v>
      </c>
      <c r="D13" s="53">
        <v>0</v>
      </c>
      <c r="E13" s="53">
        <v>0</v>
      </c>
      <c r="F13" s="18">
        <f>Table3334[[#This Row],[Company Panel]]+Table333[[#This Row],[MTD Company2]]</f>
        <v>0</v>
      </c>
      <c r="G13" s="18">
        <f>Table3334[[#This Row],[Our Panel]]+Table333[[#This Row],[MTD Panel]]</f>
        <v>0</v>
      </c>
      <c r="H13" s="13">
        <f t="shared" si="0"/>
        <v>0</v>
      </c>
      <c r="I13" s="13">
        <f t="shared" si="1"/>
        <v>0</v>
      </c>
    </row>
    <row r="14" spans="1:12">
      <c r="A14" s="11" t="str">
        <f>Table333456789101217[[#This Row],[Carrier]]</f>
        <v>Tempest</v>
      </c>
      <c r="B14" s="5" t="str">
        <f>Table333456789101217[[#This Row],[IP]]</f>
        <v>59.144.223.88/55.39.99.60</v>
      </c>
      <c r="C14" s="6" t="str">
        <f>Table333456789101217[[#This Row],[Carrier Code]]</f>
        <v>TE</v>
      </c>
      <c r="D14" s="53">
        <v>0</v>
      </c>
      <c r="E14" s="53">
        <v>0</v>
      </c>
      <c r="F14" s="18">
        <f>Table3334[[#This Row],[Company Panel]]+Table333[[#This Row],[MTD Company2]]</f>
        <v>0</v>
      </c>
      <c r="G14" s="18">
        <f>Table3334[[#This Row],[Our Panel]]+Table333[[#This Row],[MTD Panel]]</f>
        <v>0</v>
      </c>
      <c r="H14" s="13">
        <f t="shared" si="0"/>
        <v>0</v>
      </c>
      <c r="I14" s="13">
        <f t="shared" si="1"/>
        <v>0</v>
      </c>
    </row>
    <row r="15" spans="1:12">
      <c r="A15" s="11" t="str">
        <f>Table333456789101217[[#This Row],[Carrier]]</f>
        <v>Shadow</v>
      </c>
      <c r="B15" s="5" t="str">
        <f>Table333456789101217[[#This Row],[IP]]</f>
        <v>175.45.112.100/25.851.31.153/39.80.220.100</v>
      </c>
      <c r="C15" s="6" t="str">
        <f>Table333456789101217[[#This Row],[Carrier Code]]</f>
        <v>SH</v>
      </c>
      <c r="D15" s="53">
        <v>0</v>
      </c>
      <c r="E15" s="53">
        <v>0</v>
      </c>
      <c r="F15" s="18">
        <f>Table3334[[#This Row],[Company Panel]]+Table333[[#This Row],[MTD Company2]]</f>
        <v>0</v>
      </c>
      <c r="G15" s="18">
        <f>Table3334[[#This Row],[Our Panel]]+Table333[[#This Row],[MTD Panel]]</f>
        <v>0</v>
      </c>
      <c r="H15" s="13">
        <f t="shared" si="0"/>
        <v>0</v>
      </c>
      <c r="I15" s="13">
        <f t="shared" si="1"/>
        <v>0</v>
      </c>
    </row>
    <row r="16" spans="1:12">
      <c r="A16" s="11" t="str">
        <f>Table333456789101217[[#This Row],[Carrier]]</f>
        <v>Cyclone</v>
      </c>
      <c r="B16" s="5" t="str">
        <f>Table333456789101217[[#This Row],[IP]]</f>
        <v>150.13.75.190/16.160.89.512/72.11.97.34</v>
      </c>
      <c r="C16" s="6" t="str">
        <f>Table333456789101217[[#This Row],[Carrier Code]]</f>
        <v>CY</v>
      </c>
      <c r="D16" s="53">
        <v>0</v>
      </c>
      <c r="E16" s="53">
        <v>0</v>
      </c>
      <c r="F16" s="18">
        <f>Table3334[[#This Row],[Company Panel]]+Table333[[#This Row],[MTD Company2]]</f>
        <v>0</v>
      </c>
      <c r="G16" s="18">
        <f>Table3334[[#This Row],[Our Panel]]+Table333[[#This Row],[MTD Panel]]</f>
        <v>0</v>
      </c>
      <c r="H16" s="13">
        <f t="shared" si="0"/>
        <v>0</v>
      </c>
      <c r="I16" s="13">
        <f t="shared" si="1"/>
        <v>0</v>
      </c>
    </row>
    <row r="17" spans="1:9">
      <c r="A17" s="11" t="str">
        <f>Table333456789101217[[#This Row],[Carrier]]</f>
        <v>Reaver</v>
      </c>
      <c r="B17" s="5" t="str">
        <f>Table333456789101217[[#This Row],[IP]]</f>
        <v>203.0.113.44/188.17.56.210</v>
      </c>
      <c r="C17" s="6" t="str">
        <f>Table333456789101217[[#This Row],[Carrier Code]]</f>
        <v>RE</v>
      </c>
      <c r="D17" s="53">
        <v>0</v>
      </c>
      <c r="E17" s="53">
        <v>0</v>
      </c>
      <c r="F17" s="18">
        <f>Table3334[[#This Row],[Company Panel]]+Table333[[#This Row],[MTD Company2]]</f>
        <v>0</v>
      </c>
      <c r="G17" s="18">
        <f>Table3334[[#This Row],[Our Panel]]+Table333[[#This Row],[MTD Panel]]</f>
        <v>0</v>
      </c>
      <c r="H17" s="13">
        <f t="shared" si="0"/>
        <v>0</v>
      </c>
      <c r="I17" s="13">
        <f t="shared" si="1"/>
        <v>0</v>
      </c>
    </row>
    <row r="18" spans="1:9">
      <c r="A18" s="11" t="str">
        <f>Table333456789101217[[#This Row],[Carrier]]</f>
        <v>Forge</v>
      </c>
      <c r="B18" s="5" t="str">
        <f>Table333456789101217[[#This Row],[IP]]</f>
        <v>112.54.89.168/112.54.89.138</v>
      </c>
      <c r="C18" s="6" t="str">
        <f>Table333456789101217[[#This Row],[Carrier Code]]</f>
        <v>FO</v>
      </c>
      <c r="D18" s="53">
        <v>61.8</v>
      </c>
      <c r="E18" s="53">
        <v>61.8</v>
      </c>
      <c r="F18" s="18">
        <f>Table3334[[#This Row],[Company Panel]]+Table333[[#This Row],[MTD Company2]]</f>
        <v>102.26666666666667</v>
      </c>
      <c r="G18" s="18">
        <f>Table3334[[#This Row],[Our Panel]]+Table333[[#This Row],[MTD Panel]]</f>
        <v>102.26666666666667</v>
      </c>
      <c r="H18" s="13">
        <f t="shared" si="0"/>
        <v>0</v>
      </c>
      <c r="I18" s="13">
        <f t="shared" si="1"/>
        <v>0</v>
      </c>
    </row>
    <row r="19" spans="1:9">
      <c r="A19" s="11" t="str">
        <f>Table333456789101217[[#This Row],[Carrier]]</f>
        <v>Ember</v>
      </c>
      <c r="B19" s="5" t="str">
        <f>Table333456789101217[[#This Row],[IP]]</f>
        <v>78.34.90.24/328.56.122.44/142.150.75.22</v>
      </c>
      <c r="C19" s="6" t="str">
        <f>Table333456789101217[[#This Row],[Carrier Code]]</f>
        <v>EM</v>
      </c>
      <c r="D19" s="53">
        <v>0</v>
      </c>
      <c r="E19" s="53">
        <v>0</v>
      </c>
      <c r="F19" s="18">
        <f>Table3334[[#This Row],[Company Panel]]+Table333[[#This Row],[MTD Company2]]</f>
        <v>0</v>
      </c>
      <c r="G19" s="18">
        <f>Table3334[[#This Row],[Our Panel]]+Table333[[#This Row],[MTD Panel]]</f>
        <v>0</v>
      </c>
      <c r="H19" s="13">
        <f t="shared" si="0"/>
        <v>0</v>
      </c>
      <c r="I19" s="13">
        <f t="shared" si="1"/>
        <v>0</v>
      </c>
    </row>
    <row r="20" spans="1:9">
      <c r="A20" s="11" t="str">
        <f>Table333456789101217[[#This Row],[Carrier]]</f>
        <v>Specter</v>
      </c>
      <c r="B20" s="5" t="str">
        <f>Table333456789101217[[#This Row],[IP]]</f>
        <v>205.60.34.150</v>
      </c>
      <c r="C20" s="6" t="str">
        <f>Table333456789101217[[#This Row],[Carrier Code]]</f>
        <v>SP</v>
      </c>
      <c r="D20" s="53">
        <v>0.36666666666666664</v>
      </c>
      <c r="E20" s="53">
        <v>0.36666666666666664</v>
      </c>
      <c r="F20" s="18">
        <f>Table3334[[#This Row],[Company Panel]]+Table333[[#This Row],[MTD Company2]]</f>
        <v>9.7166666666666668</v>
      </c>
      <c r="G20" s="18">
        <f>Table3334[[#This Row],[Our Panel]]+Table333[[#This Row],[MTD Panel]]</f>
        <v>9.7166666666666668</v>
      </c>
      <c r="H20" s="13">
        <f t="shared" si="0"/>
        <v>0</v>
      </c>
      <c r="I20" s="13">
        <f t="shared" si="1"/>
        <v>0</v>
      </c>
    </row>
    <row r="21" spans="1:9">
      <c r="A21" s="11" t="str">
        <f>Table333456789101217[[#This Row],[Carrier]]</f>
        <v>Throne</v>
      </c>
      <c r="B21" s="5" t="str">
        <f>Table333456789101217[[#This Row],[IP]]</f>
        <v>54.32.11.90/27.758.27.201/125.150.58.20</v>
      </c>
      <c r="C21" s="6" t="str">
        <f>Table333456789101217[[#This Row],[Carrier Code]]</f>
        <v>TH</v>
      </c>
      <c r="D21" s="53">
        <v>0</v>
      </c>
      <c r="E21" s="53">
        <v>0</v>
      </c>
      <c r="F21" s="18">
        <f>Table3334[[#This Row],[Company Panel]]+Table333[[#This Row],[MTD Company2]]</f>
        <v>0</v>
      </c>
      <c r="G21" s="18">
        <f>Table3334[[#This Row],[Our Panel]]+Table333[[#This Row],[MTD Panel]]</f>
        <v>0</v>
      </c>
      <c r="H21" s="13">
        <f>D21-E21</f>
        <v>0</v>
      </c>
      <c r="I21" s="13">
        <f t="shared" si="1"/>
        <v>0</v>
      </c>
    </row>
    <row r="22" spans="1:9">
      <c r="A22" s="11" t="str">
        <f>Table333456789101217[[#This Row],[Carrier]]</f>
        <v>Arcane</v>
      </c>
      <c r="B22" s="5" t="str">
        <f>Table333456789101217[[#This Row],[IP]]</f>
        <v>212.100.25.78/212.100.25.87</v>
      </c>
      <c r="C22" s="6" t="str">
        <f>Table333456789101217[[#This Row],[Carrier Code]]</f>
        <v>AR</v>
      </c>
      <c r="D22" s="53">
        <v>0</v>
      </c>
      <c r="E22" s="53">
        <v>0</v>
      </c>
      <c r="F22" s="18">
        <f>Table3334[[#This Row],[Company Panel]]+Table333[[#This Row],[MTD Company2]]</f>
        <v>0</v>
      </c>
      <c r="G22" s="18">
        <f>Table3334[[#This Row],[Our Panel]]+Table333[[#This Row],[MTD Panel]]</f>
        <v>0</v>
      </c>
      <c r="H22" s="13">
        <f t="shared" si="0"/>
        <v>0</v>
      </c>
      <c r="I22" s="13">
        <f t="shared" si="1"/>
        <v>0</v>
      </c>
    </row>
    <row r="23" spans="1:9">
      <c r="A23" s="11" t="str">
        <f>Table333456789101217[[#This Row],[Carrier]]</f>
        <v>Glitch</v>
      </c>
      <c r="B23" s="5" t="str">
        <f>Table333456789101217[[#This Row],[IP]]</f>
        <v>198.204.100.12/198.204.100.34/198.204.100.51</v>
      </c>
      <c r="C23" s="6" t="str">
        <f>Table333456789101217[[#This Row],[Carrier Code]]</f>
        <v>GL</v>
      </c>
      <c r="D23" s="53">
        <v>0</v>
      </c>
      <c r="E23" s="53">
        <v>0</v>
      </c>
      <c r="F23" s="18">
        <f>Table3334[[#This Row],[Company Panel]]+Table333[[#This Row],[MTD Company2]]</f>
        <v>0</v>
      </c>
      <c r="G23" s="18">
        <f>Table3334[[#This Row],[Our Panel]]+Table333[[#This Row],[MTD Panel]]</f>
        <v>0</v>
      </c>
      <c r="H23" s="13">
        <f t="shared" si="0"/>
        <v>0</v>
      </c>
      <c r="I23" s="13">
        <f t="shared" si="1"/>
        <v>0</v>
      </c>
    </row>
    <row r="24" spans="1:9">
      <c r="A24" s="11" t="str">
        <f>Table333456789101217[[#This Row],[Carrier]]</f>
        <v>Nitro</v>
      </c>
      <c r="B24" s="5" t="str">
        <f>Table333456789101217[[#This Row],[IP]]</f>
        <v>15.150.200.33/119.82.200.100</v>
      </c>
      <c r="C24" s="6" t="str">
        <f>Table333456789101217[[#This Row],[Carrier Code]]</f>
        <v>NI</v>
      </c>
      <c r="D24" s="53">
        <v>0</v>
      </c>
      <c r="E24" s="53">
        <v>0</v>
      </c>
      <c r="F24" s="18">
        <f>Table3334[[#This Row],[Company Panel]]+Table333[[#This Row],[MTD Company2]]</f>
        <v>0</v>
      </c>
      <c r="G24" s="18">
        <f>Table3334[[#This Row],[Our Panel]]+Table333[[#This Row],[MTD Panel]]</f>
        <v>0</v>
      </c>
      <c r="H24" s="13">
        <f t="shared" si="0"/>
        <v>0</v>
      </c>
      <c r="I24" s="13">
        <f t="shared" si="1"/>
        <v>0</v>
      </c>
    </row>
    <row r="25" spans="1:9">
      <c r="A25" s="11" t="str">
        <f>Table333456789101217[[#This Row],[Carrier]]</f>
        <v>Drip</v>
      </c>
      <c r="B25" s="5" t="str">
        <f>Table333456789101217[[#This Row],[IP]]</f>
        <v>84.13.76.190/90.945.80.11/198.160.234.5</v>
      </c>
      <c r="C25" s="6" t="str">
        <f>Table333456789101217[[#This Row],[Carrier Code]]</f>
        <v>DR</v>
      </c>
      <c r="D25" s="53">
        <v>0</v>
      </c>
      <c r="E25" s="53">
        <v>0</v>
      </c>
      <c r="F25" s="18">
        <f>Table3334[[#This Row],[Company Panel]]+Table333[[#This Row],[MTD Company2]]</f>
        <v>0</v>
      </c>
      <c r="G25" s="18">
        <f>Table3334[[#This Row],[Our Panel]]+Table333[[#This Row],[MTD Panel]]</f>
        <v>0</v>
      </c>
      <c r="H25" s="13">
        <f t="shared" si="0"/>
        <v>0</v>
      </c>
      <c r="I25" s="13">
        <f t="shared" si="1"/>
        <v>0</v>
      </c>
    </row>
    <row r="26" spans="1:9">
      <c r="A26" s="11" t="str">
        <f>Table333456789101217[[#This Row],[Carrier]]</f>
        <v>Glide</v>
      </c>
      <c r="B26" s="5" t="str">
        <f>Table333456789101217[[#This Row],[IP]]</f>
        <v>120.45.12.25/85.739.221.80/85.739.221.93</v>
      </c>
      <c r="C26" s="6" t="str">
        <f>Table333456789101217[[#This Row],[Carrier Code]]</f>
        <v>GI</v>
      </c>
      <c r="D26" s="53">
        <v>0</v>
      </c>
      <c r="E26" s="53">
        <v>0</v>
      </c>
      <c r="F26" s="18">
        <f>Table3334[[#This Row],[Company Panel]]+Table333[[#This Row],[MTD Company2]]</f>
        <v>0</v>
      </c>
      <c r="G26" s="18">
        <f>Table3334[[#This Row],[Our Panel]]+Table333[[#This Row],[MTD Panel]]</f>
        <v>0</v>
      </c>
      <c r="H26" s="13">
        <f t="shared" si="0"/>
        <v>0</v>
      </c>
      <c r="I26" s="13">
        <f t="shared" si="1"/>
        <v>0</v>
      </c>
    </row>
    <row r="27" spans="1:9">
      <c r="A27" s="11" t="str">
        <f>Table333456789101217[[#This Row],[Carrier]]</f>
        <v>Orbit</v>
      </c>
      <c r="B27" s="5" t="str">
        <f>Table333456789101217[[#This Row],[IP]]</f>
        <v>176.98.54.112/60.110.154.91/60.110.155.162</v>
      </c>
      <c r="C27" s="6" t="str">
        <f>Table333456789101217[[#This Row],[Carrier Code]]</f>
        <v>OR</v>
      </c>
      <c r="D27" s="53">
        <v>0</v>
      </c>
      <c r="E27" s="53">
        <v>0</v>
      </c>
      <c r="F27" s="18">
        <f>Table3334[[#This Row],[Company Panel]]+Table333[[#This Row],[MTD Company2]]</f>
        <v>0</v>
      </c>
      <c r="G27" s="18">
        <f>Table3334[[#This Row],[Our Panel]]+Table333[[#This Row],[MTD Panel]]</f>
        <v>0</v>
      </c>
      <c r="H27" s="13">
        <f t="shared" si="0"/>
        <v>0</v>
      </c>
      <c r="I27" s="13">
        <f t="shared" si="1"/>
        <v>0</v>
      </c>
    </row>
    <row r="28" spans="1:9">
      <c r="A28" s="11" t="str">
        <f>Table333456789101217[[#This Row],[Carrier]]</f>
        <v>Thunder</v>
      </c>
      <c r="B28" s="5" t="str">
        <f>Table333456789101217[[#This Row],[IP]]</f>
        <v>67.102.200.9/81.905.48.847/143.235.100.34</v>
      </c>
      <c r="C28" s="6" t="str">
        <f>Table333456789101217[[#This Row],[Carrier Code]]</f>
        <v>TU</v>
      </c>
      <c r="D28" s="53">
        <v>13.25</v>
      </c>
      <c r="E28" s="53">
        <v>13.25</v>
      </c>
      <c r="F28" s="18">
        <f>Table3334[[#This Row],[Company Panel]]+Table333[[#This Row],[MTD Company2]]</f>
        <v>49.833333333333336</v>
      </c>
      <c r="G28" s="18">
        <f>Table3334[[#This Row],[Our Panel]]+Table333[[#This Row],[MTD Panel]]</f>
        <v>49.833333333333336</v>
      </c>
      <c r="H28" s="13">
        <f t="shared" si="0"/>
        <v>0</v>
      </c>
      <c r="I28" s="13">
        <f t="shared" si="1"/>
        <v>0</v>
      </c>
    </row>
    <row r="29" spans="1:9">
      <c r="A29" s="11" t="str">
        <f>Table333456789101217[[#This Row],[Carrier]]</f>
        <v>Glimmer</v>
      </c>
      <c r="B29" s="5" t="str">
        <f>Table333456789101217[[#This Row],[IP]]</f>
        <v>99.22.211.100/71.54.85.344/71.54.85.218</v>
      </c>
      <c r="C29" s="6" t="str">
        <f>Table333456789101217[[#This Row],[Carrier Code]]</f>
        <v>GM</v>
      </c>
      <c r="D29" s="53">
        <v>0</v>
      </c>
      <c r="E29" s="53">
        <v>0</v>
      </c>
      <c r="F29" s="18">
        <f>Table3334[[#This Row],[Company Panel]]+Table333[[#This Row],[MTD Company2]]</f>
        <v>0</v>
      </c>
      <c r="G29" s="18">
        <f>Table3334[[#This Row],[Our Panel]]+Table333[[#This Row],[MTD Panel]]</f>
        <v>0</v>
      </c>
      <c r="H29" s="13">
        <f t="shared" si="0"/>
        <v>0</v>
      </c>
      <c r="I29" s="13">
        <f t="shared" si="1"/>
        <v>0</v>
      </c>
    </row>
    <row r="30" spans="1:9">
      <c r="A30" s="11" t="str">
        <f>Table333456789101217[[#This Row],[Carrier]]</f>
        <v>Fragment</v>
      </c>
      <c r="B30" s="5" t="str">
        <f>Table333456789101217[[#This Row],[IP]]</f>
        <v>203.0.113.56/195.56.101.10</v>
      </c>
      <c r="C30" s="6" t="str">
        <f>Table333456789101217[[#This Row],[Carrier Code]]</f>
        <v>FR</v>
      </c>
      <c r="D30" s="53">
        <v>0</v>
      </c>
      <c r="E30" s="53">
        <v>0</v>
      </c>
      <c r="F30" s="18">
        <f>Table3334[[#This Row],[Company Panel]]+Table333[[#This Row],[MTD Company2]]</f>
        <v>0</v>
      </c>
      <c r="G30" s="18">
        <f>Table3334[[#This Row],[Our Panel]]+Table333[[#This Row],[MTD Panel]]</f>
        <v>0</v>
      </c>
      <c r="H30" s="13">
        <f t="shared" si="0"/>
        <v>0</v>
      </c>
      <c r="I30" s="13">
        <f t="shared" si="1"/>
        <v>0</v>
      </c>
    </row>
    <row r="31" spans="1:9">
      <c r="A31" s="11" t="str">
        <f>Table333456789101217[[#This Row],[Carrier]]</f>
        <v>Dusk</v>
      </c>
      <c r="B31" s="5" t="str">
        <f>Table333456789101217[[#This Row],[IP]]</f>
        <v>33.44.55.66/33.44.55.84/33.44.55.122/214.68.90.122</v>
      </c>
      <c r="C31" s="6" t="str">
        <f>Table333456789101217[[#This Row],[Carrier Code]]</f>
        <v>DK</v>
      </c>
      <c r="D31" s="53">
        <v>0</v>
      </c>
      <c r="E31" s="53">
        <v>0</v>
      </c>
      <c r="F31" s="57">
        <f>Table3334[[#This Row],[Company Panel]]+Table333[[#This Row],[MTD Company2]]</f>
        <v>0</v>
      </c>
      <c r="G31" s="18">
        <f>Table3334[[#This Row],[Our Panel]]+Table333[[#This Row],[MTD Panel]]</f>
        <v>0</v>
      </c>
      <c r="H31" s="56">
        <f t="shared" ref="H31:H36" si="2">D31-E31</f>
        <v>0</v>
      </c>
      <c r="I31" s="13">
        <f t="shared" ref="I31:I36" si="3">F31-G31</f>
        <v>0</v>
      </c>
    </row>
    <row r="32" spans="1:9">
      <c r="A32" s="11" t="str">
        <f>Table333456789101217[[#This Row],[Carrier]]</f>
        <v>Breeze</v>
      </c>
      <c r="B32" s="5" t="str">
        <f>Table333456789101217[[#This Row],[IP]]</f>
        <v>199.123.87.45/199.123.34.52/77.189.22.56</v>
      </c>
      <c r="C32" s="6" t="str">
        <f>Table333456789101217[[#This Row],[Carrier Code]]</f>
        <v>BR</v>
      </c>
      <c r="D32" s="53">
        <v>0</v>
      </c>
      <c r="E32" s="53">
        <v>0</v>
      </c>
      <c r="F32" s="57">
        <f>Table3334[[#This Row],[Company Panel]]+Table333[[#This Row],[MTD Company2]]</f>
        <v>0</v>
      </c>
      <c r="G32" s="18">
        <f>Table3334[[#This Row],[Our Panel]]+Table333[[#This Row],[MTD Panel]]</f>
        <v>0</v>
      </c>
      <c r="H32" s="56">
        <f t="shared" si="2"/>
        <v>0</v>
      </c>
      <c r="I32" s="13">
        <f t="shared" si="3"/>
        <v>0</v>
      </c>
    </row>
    <row r="33" spans="1:9">
      <c r="A33" s="11" t="str">
        <f>Table333456789101217[[#This Row],[Carrier]]</f>
        <v>Clutch</v>
      </c>
      <c r="B33" s="5" t="str">
        <f>Table333456789101217[[#This Row],[IP]]</f>
        <v>55.66.77.88/84.126.79.28/152.233.45.11</v>
      </c>
      <c r="C33" s="6" t="str">
        <f>Table333456789101217[[#This Row],[Carrier Code]]</f>
        <v>CL</v>
      </c>
      <c r="D33" s="53">
        <v>0</v>
      </c>
      <c r="E33" s="53">
        <v>0</v>
      </c>
      <c r="F33" s="57">
        <f>Table3334[[#This Row],[Company Panel]]+Table333[[#This Row],[MTD Company2]]</f>
        <v>0</v>
      </c>
      <c r="G33" s="18">
        <f>Table3334[[#This Row],[Our Panel]]+Table333[[#This Row],[MTD Panel]]</f>
        <v>0</v>
      </c>
      <c r="H33" s="56">
        <f t="shared" si="2"/>
        <v>0</v>
      </c>
      <c r="I33" s="13">
        <f t="shared" si="3"/>
        <v>0</v>
      </c>
    </row>
    <row r="34" spans="1:9">
      <c r="A34" s="11" t="str">
        <f>Table333456789101217[[#This Row],[Carrier]]</f>
        <v>Haze</v>
      </c>
      <c r="B34" s="5" t="str">
        <f>Table333456789101217[[#This Row],[IP]]</f>
        <v>230.111.44.56</v>
      </c>
      <c r="C34" s="6" t="str">
        <f>Table333456789101217[[#This Row],[Carrier Code]]</f>
        <v>HZ</v>
      </c>
      <c r="D34" s="53">
        <v>0</v>
      </c>
      <c r="E34" s="53">
        <v>0</v>
      </c>
      <c r="F34" s="57">
        <f>Table3334[[#This Row],[Company Panel]]+Table333[[#This Row],[MTD Company2]]</f>
        <v>0</v>
      </c>
      <c r="G34" s="18">
        <f>Table3334[[#This Row],[Our Panel]]+Table333[[#This Row],[MTD Panel]]</f>
        <v>0</v>
      </c>
      <c r="H34" s="56">
        <f t="shared" si="2"/>
        <v>0</v>
      </c>
      <c r="I34" s="13">
        <f t="shared" si="3"/>
        <v>0</v>
      </c>
    </row>
    <row r="35" spans="1:9">
      <c r="A35" s="11" t="str">
        <f>Table333456789101217[[#This Row],[Carrier]]</f>
        <v>Vault</v>
      </c>
      <c r="B35" s="5" t="str">
        <f>Table333456789101217[[#This Row],[IP]]</f>
        <v>213.189.94.5/213.189.94.7/111.180.64.222</v>
      </c>
      <c r="C35" s="6" t="str">
        <f>Table333456789101217[[#This Row],[Carrier Code]]</f>
        <v>VA</v>
      </c>
      <c r="D35" s="53">
        <v>0</v>
      </c>
      <c r="E35" s="53">
        <v>0</v>
      </c>
      <c r="F35" s="57">
        <f>Table3334[[#This Row],[Company Panel]]+Table333[[#This Row],[MTD Company2]]</f>
        <v>0</v>
      </c>
      <c r="G35" s="18">
        <f>Table3334[[#This Row],[Our Panel]]+Table333[[#This Row],[MTD Panel]]</f>
        <v>0</v>
      </c>
      <c r="H35" s="64">
        <f t="shared" si="2"/>
        <v>0</v>
      </c>
      <c r="I35" s="63">
        <f t="shared" si="3"/>
        <v>0</v>
      </c>
    </row>
    <row r="36" spans="1:9">
      <c r="A36" s="11" t="str">
        <f>Table333456789101217[[#This Row],[Carrier]]</f>
        <v>Scatter</v>
      </c>
      <c r="B36" s="5" t="str">
        <f>Table333456789101217[[#This Row],[IP]]</f>
        <v>14.123.45.67/168.251.90.15</v>
      </c>
      <c r="C36" s="6" t="str">
        <f>Table333456789101217[[#This Row],[Carrier Code]]</f>
        <v>SC</v>
      </c>
      <c r="D36" s="53">
        <v>7.1166666666666663</v>
      </c>
      <c r="E36" s="53">
        <v>7.1166666666666663</v>
      </c>
      <c r="F36" s="57">
        <f>Table3334[[#This Row],[Company Panel]]+Table333[[#This Row],[MTD Company2]]</f>
        <v>22.483333333333334</v>
      </c>
      <c r="G36" s="18">
        <f>Table3334[[#This Row],[Our Panel]]+Table333[[#This Row],[MTD Panel]]</f>
        <v>22.483333333333334</v>
      </c>
      <c r="H36" s="56">
        <f t="shared" si="2"/>
        <v>0</v>
      </c>
      <c r="I36" s="13">
        <f t="shared" si="3"/>
        <v>0</v>
      </c>
    </row>
    <row r="37" spans="1:9">
      <c r="A37" s="11" t="str">
        <f>Table333456789101217[[#This Row],[Carrier]]</f>
        <v>Hammer</v>
      </c>
      <c r="B37" s="5" t="str">
        <f>Table333456789101217[[#This Row],[IP]]</f>
        <v>200.111.78.9/200.111.236.62/200.111.823.89/137.79.48.56</v>
      </c>
      <c r="C37" s="6" t="str">
        <f>Table333456789101217[[#This Row],[Carrier Code]]</f>
        <v>HA</v>
      </c>
      <c r="D37" s="53">
        <v>0</v>
      </c>
      <c r="E37" s="53">
        <v>0</v>
      </c>
      <c r="F37" s="57">
        <f>Table3334[[#This Row],[Company Panel]]+Table333[[#This Row],[MTD Company2]]</f>
        <v>0</v>
      </c>
      <c r="G37" s="18">
        <f>Table3334[[#This Row],[Our Panel]]+Table333[[#This Row],[MTD Panel]]</f>
        <v>0</v>
      </c>
      <c r="H37" s="75">
        <f t="shared" ref="H37:H44" si="4">D37-E37</f>
        <v>0</v>
      </c>
      <c r="I37" s="72">
        <f t="shared" ref="I37:I44" si="5">F37-G37</f>
        <v>0</v>
      </c>
    </row>
    <row r="38" spans="1:9">
      <c r="A38" s="11" t="str">
        <f>Table333456789101217[[#This Row],[Carrier]]</f>
        <v>Smudge</v>
      </c>
      <c r="B38" s="5" t="str">
        <f>Table333456789101217[[#This Row],[IP]]</f>
        <v>88.99.233.56/54.71.99.234</v>
      </c>
      <c r="C38" s="6" t="str">
        <f>Table333456789101217[[#This Row],[Carrier Code]]</f>
        <v>SM</v>
      </c>
      <c r="D38" s="53">
        <v>9.0333333333333332</v>
      </c>
      <c r="E38" s="53">
        <v>9.0333333333333332</v>
      </c>
      <c r="F38" s="57">
        <f>Table3334[[#This Row],[Company Panel]]+Table333[[#This Row],[MTD Company2]]</f>
        <v>17.833333333333336</v>
      </c>
      <c r="G38" s="18">
        <f>Table3334[[#This Row],[Our Panel]]+Table333[[#This Row],[MTD Panel]]</f>
        <v>17.833333333333336</v>
      </c>
      <c r="H38" s="75">
        <f t="shared" si="4"/>
        <v>0</v>
      </c>
      <c r="I38" s="72">
        <f t="shared" si="5"/>
        <v>0</v>
      </c>
    </row>
    <row r="39" spans="1:9">
      <c r="A39" s="11" t="str">
        <f>Table333456789101217[[#This Row],[Carrier]]</f>
        <v>Quirk</v>
      </c>
      <c r="B39" s="5" t="str">
        <f>Table333456789101217[[#This Row],[IP]]</f>
        <v>62.45.100.31/62.45.100.15/62.45.100.65/211.95.102.6</v>
      </c>
      <c r="C39" s="6" t="str">
        <f>Table333456789101217[[#This Row],[Carrier Code]]</f>
        <v>QU</v>
      </c>
      <c r="D39" s="53">
        <v>1072.4333333333334</v>
      </c>
      <c r="E39" s="53">
        <v>1072.4333333333334</v>
      </c>
      <c r="F39" s="57">
        <f>Table3334[[#This Row],[Company Panel]]+Table333[[#This Row],[MTD Company2]]</f>
        <v>4472.5166666666664</v>
      </c>
      <c r="G39" s="18">
        <f>Table3334[[#This Row],[Our Panel]]+Table333[[#This Row],[MTD Panel]]</f>
        <v>4472.5166666666664</v>
      </c>
      <c r="H39" s="56">
        <f t="shared" si="4"/>
        <v>0</v>
      </c>
      <c r="I39" s="13">
        <f t="shared" si="5"/>
        <v>0</v>
      </c>
    </row>
    <row r="40" spans="1:9">
      <c r="A40" s="11" t="str">
        <f>Table333456789101217[[#This Row],[Carrier]]</f>
        <v>Vortex</v>
      </c>
      <c r="B40" s="5" t="str">
        <f>Table333456789101217[[#This Row],[IP]]</f>
        <v>179.250.91.8/29.540.67.457/94.25.34.78/183.144.27.18</v>
      </c>
      <c r="C40" s="6" t="str">
        <f>Table333456789101217[[#This Row],[Carrier Code]]</f>
        <v>VT</v>
      </c>
      <c r="D40" s="53">
        <v>0</v>
      </c>
      <c r="E40" s="53">
        <v>0</v>
      </c>
      <c r="F40" s="57">
        <f>Table3334[[#This Row],[Company Panel]]+Table333[[#This Row],[MTD Company2]]</f>
        <v>0</v>
      </c>
      <c r="G40" s="18">
        <f>Table3334[[#This Row],[Our Panel]]+Table333[[#This Row],[MTD Panel]]</f>
        <v>0</v>
      </c>
      <c r="H40" s="75">
        <f t="shared" si="4"/>
        <v>0</v>
      </c>
      <c r="I40" s="72">
        <f t="shared" si="5"/>
        <v>0</v>
      </c>
    </row>
    <row r="41" spans="1:9">
      <c r="A41" s="11" t="str">
        <f>Table333456789101217[[#This Row],[Carrier]]</f>
        <v>Void</v>
      </c>
      <c r="B41" s="5" t="str">
        <f>Table333456789101217[[#This Row],[IP]]</f>
        <v>156.34.123.11/156.34.123.25/156.34.123.62/92.44.233.110</v>
      </c>
      <c r="C41" s="6" t="str">
        <f>Table333456789101217[[#This Row],[Carrier Code]]</f>
        <v>VO</v>
      </c>
      <c r="D41" s="53">
        <v>59.68333333333333</v>
      </c>
      <c r="E41" s="53">
        <v>59.68333333333333</v>
      </c>
      <c r="F41" s="57">
        <f>Table3334[[#This Row],[Company Panel]]+Table333[[#This Row],[MTD Company2]]</f>
        <v>187.08333333333334</v>
      </c>
      <c r="G41" s="18">
        <f>Table3334[[#This Row],[Our Panel]]+Table333[[#This Row],[MTD Panel]]</f>
        <v>187.08333333333334</v>
      </c>
      <c r="H41" s="56">
        <f t="shared" si="4"/>
        <v>0</v>
      </c>
      <c r="I41" s="13">
        <f t="shared" si="5"/>
        <v>0</v>
      </c>
    </row>
    <row r="42" spans="1:9">
      <c r="A42" s="11" t="str">
        <f>Table333456789101217[[#This Row],[Carrier]]</f>
        <v>Midnight</v>
      </c>
      <c r="B42" s="5" t="str">
        <f>Table333456789101217[[#This Row],[IP]]</f>
        <v>134.77.22.4/23.97.150.8</v>
      </c>
      <c r="C42" s="6" t="str">
        <f>Table333456789101217[[#This Row],[Carrier Code]]</f>
        <v>MI</v>
      </c>
      <c r="D42" s="53">
        <v>81.349999999999994</v>
      </c>
      <c r="E42" s="53">
        <v>81.349999999999994</v>
      </c>
      <c r="F42" s="57">
        <f>Table3334[[#This Row],[Company Panel]]+Table333[[#This Row],[MTD Company2]]</f>
        <v>194.91666666666666</v>
      </c>
      <c r="G42" s="18">
        <f>Table3334[[#This Row],[Our Panel]]+Table333[[#This Row],[MTD Panel]]</f>
        <v>194.91666666666666</v>
      </c>
      <c r="H42" s="75">
        <f t="shared" si="4"/>
        <v>0</v>
      </c>
      <c r="I42" s="72">
        <f t="shared" si="5"/>
        <v>0</v>
      </c>
    </row>
    <row r="43" spans="1:9">
      <c r="A43" s="11" t="str">
        <f>Table333456789101217[[#This Row],[Carrier]]</f>
        <v>Autumn</v>
      </c>
      <c r="B43" s="5" t="str">
        <f>Table333456789101217[[#This Row],[IP]]</f>
        <v>202.54.210.88/12.331.94.73/64.19.28.175</v>
      </c>
      <c r="C43" s="6" t="str">
        <f>Table333456789101217[[#This Row],[Carrier Code]]</f>
        <v>AU</v>
      </c>
      <c r="D43" s="53">
        <v>12.583333333333334</v>
      </c>
      <c r="E43" s="53">
        <v>12.583333333333334</v>
      </c>
      <c r="F43" s="57">
        <f>Table3334[[#This Row],[Company Panel]]+Table333[[#This Row],[MTD Company2]]</f>
        <v>43.300000000000004</v>
      </c>
      <c r="G43" s="18">
        <f>Table3334[[#This Row],[Our Panel]]+Table333[[#This Row],[MTD Panel]]</f>
        <v>43.300000000000004</v>
      </c>
      <c r="H43" s="75">
        <f t="shared" si="4"/>
        <v>0</v>
      </c>
      <c r="I43" s="72">
        <f t="shared" si="5"/>
        <v>0</v>
      </c>
    </row>
    <row r="44" spans="1:9">
      <c r="A44" s="11" t="str">
        <f>Table333456789101217[[#This Row],[Carrier]]</f>
        <v>Mystic</v>
      </c>
      <c r="B44" s="5" t="str">
        <f>Table333456789101217[[#This Row],[IP]]</f>
        <v>51.233.21.76/82.115.35.60/82.115.35.85</v>
      </c>
      <c r="C44" s="6" t="str">
        <f>Table333456789101217[[#This Row],[Carrier Code]]</f>
        <v>MY</v>
      </c>
      <c r="D44" s="53">
        <v>0</v>
      </c>
      <c r="E44" s="53">
        <v>0</v>
      </c>
      <c r="F44" s="57">
        <f>Table3334[[#This Row],[Company Panel]]+Table333[[#This Row],[MTD Company2]]</f>
        <v>0</v>
      </c>
      <c r="G44" s="18">
        <f>Table3334[[#This Row],[Our Panel]]+Table333[[#This Row],[MTD Panel]]</f>
        <v>0</v>
      </c>
      <c r="H44" s="75">
        <f t="shared" si="4"/>
        <v>0</v>
      </c>
      <c r="I44" s="72">
        <f t="shared" si="5"/>
        <v>0</v>
      </c>
    </row>
    <row r="45" spans="1:9">
      <c r="A45" s="11" t="str">
        <f>Table333456789101217[[#This Row],[Carrier]]</f>
        <v>Clover</v>
      </c>
      <c r="B45" s="5" t="str">
        <f>Table333456789101217[[#This Row],[IP]]</f>
        <v>210.150.12.45/84.50.212.66/135.113.88.9</v>
      </c>
      <c r="C45" s="6" t="str">
        <f>Table333456789101217[[#This Row],[Carrier Code]]</f>
        <v>CO</v>
      </c>
      <c r="D45" s="53">
        <v>97.233333333333334</v>
      </c>
      <c r="E45" s="53">
        <v>97.233333333333334</v>
      </c>
      <c r="F45" s="57">
        <f>Table3334[[#This Row],[Company Panel]]+Table333[[#This Row],[MTD Company2]]</f>
        <v>331.48333333333335</v>
      </c>
      <c r="G45" s="18">
        <f>Table3334[[#This Row],[Our Panel]]+Table333[[#This Row],[MTD Panel]]</f>
        <v>331.48333333333335</v>
      </c>
      <c r="H45" s="79">
        <f>D45-E45</f>
        <v>0</v>
      </c>
      <c r="I45" s="78">
        <f>F45-G45</f>
        <v>0</v>
      </c>
    </row>
    <row r="46" spans="1:9">
      <c r="A46" s="11" t="str">
        <f>Table333456789101217[[#This Row],[Carrier]]</f>
        <v>Hunter</v>
      </c>
      <c r="B46" s="5" t="str">
        <f>Table333456789101217[[#This Row],[IP]]</f>
        <v>170.199.20.87/13.693.39.280/78.30.123.47</v>
      </c>
      <c r="C46" s="6" t="str">
        <f>Table333456789101217[[#This Row],[Carrier Code]]</f>
        <v>HU</v>
      </c>
      <c r="D46" s="53">
        <v>418.46666666666664</v>
      </c>
      <c r="E46" s="53">
        <v>418.46666666666664</v>
      </c>
      <c r="F46" s="57">
        <f>Table3334[[#This Row],[Company Panel]]+Table333[[#This Row],[MTD Company2]]</f>
        <v>1226.05</v>
      </c>
      <c r="G46" s="18">
        <f>Table3334[[#This Row],[Our Panel]]+Table333[[#This Row],[MTD Panel]]</f>
        <v>1226.05</v>
      </c>
      <c r="H46" s="56">
        <f>D46-E46</f>
        <v>0</v>
      </c>
      <c r="I46" s="13">
        <f>F46-G46</f>
        <v>0</v>
      </c>
    </row>
    <row r="47" spans="1:9">
      <c r="A47" s="11" t="str">
        <f>Table333456789101217[[#This Row],[Carrier]]</f>
        <v>Invaded</v>
      </c>
      <c r="B47" s="5" t="str">
        <f>Table333456789101217[[#This Row],[IP]]</f>
        <v>182.67.99.120/80.518.230.410/26.847.95.107/188.12.67.92</v>
      </c>
      <c r="C47" s="6" t="str">
        <f>Table333456789101217[[#This Row],[Carrier Code]]</f>
        <v>ID</v>
      </c>
      <c r="D47" s="53">
        <v>0</v>
      </c>
      <c r="E47" s="53">
        <v>0</v>
      </c>
      <c r="F47" s="57">
        <f>Table3334[[#This Row],[Company Panel]]+Table333[[#This Row],[MTD Company2]]</f>
        <v>0</v>
      </c>
      <c r="G47" s="18">
        <f>Table3334[[#This Row],[Our Panel]]+Table333[[#This Row],[MTD Panel]]</f>
        <v>0</v>
      </c>
      <c r="H47" s="56">
        <f>D47-E47</f>
        <v>0</v>
      </c>
      <c r="I47" s="13">
        <f>F47-G47</f>
        <v>0</v>
      </c>
    </row>
    <row r="48" spans="1:9">
      <c r="A48" s="11" t="str">
        <f>Table333456789101217[[#This Row],[Carrier]]</f>
        <v>Delusion</v>
      </c>
      <c r="B48" s="5" t="str">
        <f>Table333456789101217[[#This Row],[IP]]</f>
        <v>198.51.100.72/69.887.74.738/39.153.110.645</v>
      </c>
      <c r="C48" s="6" t="str">
        <f>Table333456789101217[[#This Row],[Carrier Code]]</f>
        <v>DU</v>
      </c>
      <c r="D48" s="53">
        <v>0</v>
      </c>
      <c r="E48" s="53">
        <v>0</v>
      </c>
      <c r="F48" s="57">
        <f>Table3334[[#This Row],[Company Panel]]+Table333[[#This Row],[MTD Company2]]</f>
        <v>0</v>
      </c>
      <c r="G48" s="18">
        <f>Table3334[[#This Row],[Our Panel]]+Table333[[#This Row],[MTD Panel]]</f>
        <v>0</v>
      </c>
      <c r="H48" s="56">
        <f>D48-E48</f>
        <v>0</v>
      </c>
      <c r="I48" s="13">
        <f>F48-G48</f>
        <v>0</v>
      </c>
    </row>
    <row r="49" spans="1:9" ht="15.5">
      <c r="A49" s="11" t="str">
        <f>Table333456789101217[[#This Row],[Carrier]]</f>
        <v>Total</v>
      </c>
      <c r="B49" s="14"/>
      <c r="C49" s="15"/>
      <c r="D49" s="16">
        <f>SUM(D3:D48)</f>
        <v>2853.0166666666664</v>
      </c>
      <c r="E49" s="16">
        <f t="shared" ref="E49:I49" si="6">SUM(E3:E48)</f>
        <v>2853.0166666666664</v>
      </c>
      <c r="F49" s="16">
        <f t="shared" si="6"/>
        <v>9781.9</v>
      </c>
      <c r="G49" s="16">
        <f t="shared" si="6"/>
        <v>9781.9</v>
      </c>
      <c r="H49" s="16">
        <f t="shared" si="6"/>
        <v>0</v>
      </c>
      <c r="I49" s="16">
        <f t="shared" si="6"/>
        <v>0</v>
      </c>
    </row>
    <row r="51" spans="1:9">
      <c r="G51" s="52"/>
    </row>
    <row r="52" spans="1:9">
      <c r="E52" s="9"/>
      <c r="G52" s="9"/>
    </row>
  </sheetData>
  <conditionalFormatting sqref="H2:I48">
    <cfRule type="cellIs" dxfId="532" priority="69" operator="lessThan">
      <formula>0</formula>
    </cfRule>
  </conditionalFormatting>
  <conditionalFormatting sqref="I30:I48">
    <cfRule type="cellIs" dxfId="531" priority="68" operator="lessThan">
      <formula>0</formula>
    </cfRule>
  </conditionalFormatting>
  <conditionalFormatting sqref="H3:I48">
    <cfRule type="cellIs" dxfId="530" priority="66" operator="lessThan">
      <formula>0</formula>
    </cfRule>
  </conditionalFormatting>
  <conditionalFormatting sqref="I30:I48">
    <cfRule type="cellIs" dxfId="529" priority="62" operator="lessThan">
      <formula>0</formula>
    </cfRule>
  </conditionalFormatting>
  <conditionalFormatting sqref="I3:I48">
    <cfRule type="cellIs" dxfId="528" priority="53" operator="lessThan">
      <formula>0</formula>
    </cfRule>
    <cfRule type="cellIs" dxfId="527" priority="54" operator="lessThan">
      <formula>0</formula>
    </cfRule>
  </conditionalFormatting>
  <hyperlinks>
    <hyperlink ref="E1" location="H!A1" display="Home"/>
    <hyperlink ref="D1" location="'2'!D1" display="←"/>
    <hyperlink ref="F1" location="'4'!F1" display="→"/>
  </hyperlink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2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D3" sqref="D3"/>
    </sheetView>
  </sheetViews>
  <sheetFormatPr defaultRowHeight="14.5"/>
  <cols>
    <col min="1" max="1" width="26.7265625" bestFit="1" customWidth="1"/>
    <col min="2" max="2" width="37" bestFit="1" customWidth="1"/>
    <col min="3" max="3" width="10.453125" customWidth="1"/>
    <col min="4" max="9" width="12.7265625" customWidth="1"/>
  </cols>
  <sheetData>
    <row r="1" spans="1:12" ht="18.5">
      <c r="A1" s="23" t="str">
        <f>H!A5</f>
        <v>4th April 2025</v>
      </c>
      <c r="B1" s="24"/>
      <c r="C1" s="24"/>
      <c r="D1" s="22" t="s">
        <v>16</v>
      </c>
      <c r="E1" s="22" t="s">
        <v>9</v>
      </c>
      <c r="F1" s="22" t="s">
        <v>17</v>
      </c>
    </row>
    <row r="2" spans="1:12" ht="31">
      <c r="A2" s="1" t="s">
        <v>0</v>
      </c>
      <c r="B2" s="2" t="s">
        <v>1</v>
      </c>
      <c r="C2" s="2" t="s">
        <v>2</v>
      </c>
      <c r="D2" s="2" t="s">
        <v>3</v>
      </c>
      <c r="E2" s="3" t="s">
        <v>5</v>
      </c>
      <c r="F2" s="3" t="s">
        <v>4</v>
      </c>
      <c r="G2" s="4" t="s">
        <v>6</v>
      </c>
      <c r="H2" s="4" t="s">
        <v>7</v>
      </c>
      <c r="I2" s="3" t="s">
        <v>8</v>
      </c>
    </row>
    <row r="3" spans="1:12">
      <c r="A3" s="11" t="str">
        <f>Table333456789101217[[#This Row],[Carrier]]</f>
        <v>Blaze</v>
      </c>
      <c r="B3" s="5" t="str">
        <f>Table333456789101217[[#This Row],[IP]]</f>
        <v>8.12.34.56/48.163.17.845/60.502.86.203/191.45.28.14</v>
      </c>
      <c r="C3" s="6" t="str">
        <f>Table333456789101217[[#This Row],[Carrier Code]]</f>
        <v>BZ</v>
      </c>
      <c r="D3" s="53">
        <v>0</v>
      </c>
      <c r="E3" s="53">
        <v>0</v>
      </c>
      <c r="F3" s="18">
        <f>Table33345[[#This Row],[Company Panel]]+Table3334[[#This Row],[MTD Company]]</f>
        <v>0</v>
      </c>
      <c r="G3" s="18">
        <f>Table33345[[#This Row],[Our Panel]]+Table3334[[#This Row],[MTD Panel]]</f>
        <v>0</v>
      </c>
      <c r="H3" s="13">
        <f t="shared" ref="H3:H30" si="0">D3-E3</f>
        <v>0</v>
      </c>
      <c r="I3" s="13">
        <f t="shared" ref="I3:I30" si="1">F3-G3</f>
        <v>0</v>
      </c>
    </row>
    <row r="4" spans="1:12">
      <c r="A4" s="11" t="str">
        <f>Table333456789101217[[#This Row],[Carrier]]</f>
        <v>Titan</v>
      </c>
      <c r="B4" s="5" t="str">
        <f>Table333456789101217[[#This Row],[IP]]</f>
        <v>123.45.67.89/123.45.67.93/203.24.101.65</v>
      </c>
      <c r="C4" s="6" t="str">
        <f>Table333456789101217[[#This Row],[Carrier Code]]</f>
        <v>TI</v>
      </c>
      <c r="D4" s="53">
        <v>21.983333333333334</v>
      </c>
      <c r="E4" s="53">
        <v>21.983333333333334</v>
      </c>
      <c r="F4" s="18">
        <f>Table33345[[#This Row],[Company Panel]]+Table3334[[#This Row],[MTD Company]]</f>
        <v>24.583333333333336</v>
      </c>
      <c r="G4" s="18">
        <f>Table33345[[#This Row],[Our Panel]]+Table3334[[#This Row],[MTD Panel]]</f>
        <v>24.583333333333336</v>
      </c>
      <c r="H4" s="13">
        <f t="shared" si="0"/>
        <v>0</v>
      </c>
      <c r="I4" s="13">
        <f t="shared" si="1"/>
        <v>0</v>
      </c>
      <c r="L4" s="9"/>
    </row>
    <row r="5" spans="1:12">
      <c r="A5" s="11" t="str">
        <f>Table333456789101217[[#This Row],[Carrier]]</f>
        <v>Hollow</v>
      </c>
      <c r="B5" s="5" t="str">
        <f>Table333456789101217[[#This Row],[IP]]</f>
        <v>204.56.78.100/204.56.57.169/52.94.101.12</v>
      </c>
      <c r="C5" s="6" t="str">
        <f>Table333456789101217[[#This Row],[Carrier Code]]</f>
        <v>HO</v>
      </c>
      <c r="D5" s="53">
        <v>0</v>
      </c>
      <c r="E5" s="53">
        <v>0</v>
      </c>
      <c r="F5" s="18">
        <f>Table33345[[#This Row],[Company Panel]]+Table3334[[#This Row],[MTD Company]]</f>
        <v>0</v>
      </c>
      <c r="G5" s="18">
        <f>Table33345[[#This Row],[Our Panel]]+Table3334[[#This Row],[MTD Panel]]</f>
        <v>0</v>
      </c>
      <c r="H5" s="13">
        <f t="shared" si="0"/>
        <v>0</v>
      </c>
      <c r="I5" s="13">
        <f t="shared" si="1"/>
        <v>0</v>
      </c>
    </row>
    <row r="6" spans="1:12">
      <c r="A6" s="11" t="str">
        <f>Table333456789101217[[#This Row],[Carrier]]</f>
        <v>Prism</v>
      </c>
      <c r="B6" s="5" t="str">
        <f>Table333456789101217[[#This Row],[IP]]</f>
        <v>35.118.22.45/137.63.112.25</v>
      </c>
      <c r="C6" s="6" t="str">
        <f>Table333456789101217[[#This Row],[Carrier Code]]</f>
        <v>PS</v>
      </c>
      <c r="D6" s="53">
        <v>8721.85</v>
      </c>
      <c r="E6" s="53">
        <v>8721.85</v>
      </c>
      <c r="F6" s="18">
        <f>Table33345[[#This Row],[Company Panel]]+Table3334[[#This Row],[MTD Company]]</f>
        <v>11241.066666666668</v>
      </c>
      <c r="G6" s="18">
        <f>Table33345[[#This Row],[Our Panel]]+Table3334[[#This Row],[MTD Panel]]</f>
        <v>11241.066666666668</v>
      </c>
      <c r="H6" s="13">
        <f t="shared" si="0"/>
        <v>0</v>
      </c>
      <c r="I6" s="13">
        <f t="shared" si="1"/>
        <v>0</v>
      </c>
    </row>
    <row r="7" spans="1:12">
      <c r="A7" s="11" t="str">
        <f>Table333456789101217[[#This Row],[Carrier]]</f>
        <v>Echo</v>
      </c>
      <c r="B7" s="5" t="str">
        <f>Table333456789101217[[#This Row],[IP]]</f>
        <v>66.89.101.10/66.89.101.19/66.89.101.23/66.89.101.45/66.89.101.81/85.21.34.99</v>
      </c>
      <c r="C7" s="6" t="str">
        <f>Table333456789101217[[#This Row],[Carrier Code]]</f>
        <v>EC</v>
      </c>
      <c r="D7" s="53">
        <v>2.9</v>
      </c>
      <c r="E7" s="53">
        <v>2.9</v>
      </c>
      <c r="F7" s="18">
        <f>Table33345[[#This Row],[Company Panel]]+Table3334[[#This Row],[MTD Company]]</f>
        <v>5.6833333333333336</v>
      </c>
      <c r="G7" s="18">
        <f>Table33345[[#This Row],[Our Panel]]+Table3334[[#This Row],[MTD Panel]]</f>
        <v>5.6833333333333336</v>
      </c>
      <c r="H7" s="13">
        <f t="shared" si="0"/>
        <v>0</v>
      </c>
      <c r="I7" s="13">
        <f t="shared" si="1"/>
        <v>0</v>
      </c>
    </row>
    <row r="8" spans="1:12">
      <c r="A8" s="11" t="str">
        <f>Table333456789101217[[#This Row],[Carrier]]</f>
        <v>Strike</v>
      </c>
      <c r="B8" s="5" t="str">
        <f>Table333456789101217[[#This Row],[IP]]</f>
        <v>100.200.150.3/100.200.165.38/41.102.90.78</v>
      </c>
      <c r="C8" s="6" t="str">
        <f>Table333456789101217[[#This Row],[Carrier Code]]</f>
        <v>ST</v>
      </c>
      <c r="D8" s="53">
        <v>46.133333333333333</v>
      </c>
      <c r="E8" s="53">
        <v>46.133333333333333</v>
      </c>
      <c r="F8" s="18">
        <f>Table33345[[#This Row],[Company Panel]]+Table3334[[#This Row],[MTD Company]]</f>
        <v>409.21666666666664</v>
      </c>
      <c r="G8" s="18">
        <f>Table33345[[#This Row],[Our Panel]]+Table3334[[#This Row],[MTD Panel]]</f>
        <v>409.21666666666664</v>
      </c>
      <c r="H8" s="13">
        <f t="shared" si="0"/>
        <v>0</v>
      </c>
      <c r="I8" s="13">
        <f t="shared" si="1"/>
        <v>0</v>
      </c>
      <c r="L8" s="9"/>
    </row>
    <row r="9" spans="1:12">
      <c r="A9" s="11" t="str">
        <f>Table333456789101217[[#This Row],[Carrier]]</f>
        <v>Blunt</v>
      </c>
      <c r="B9" s="5" t="str">
        <f>Table333456789101217[[#This Row],[IP]]</f>
        <v>52.28.191.25/52.28.191.38/52.28.191.24/61.110.23.45</v>
      </c>
      <c r="C9" s="6" t="str">
        <f>Table333456789101217[[#This Row],[Carrier Code]]</f>
        <v>BL</v>
      </c>
      <c r="D9" s="53">
        <v>72.650000000000006</v>
      </c>
      <c r="E9" s="53">
        <v>72.650000000000006</v>
      </c>
      <c r="F9" s="18">
        <f>Table33345[[#This Row],[Company Panel]]+Table3334[[#This Row],[MTD Company]]</f>
        <v>286.73333333333335</v>
      </c>
      <c r="G9" s="18">
        <f>Table33345[[#This Row],[Our Panel]]+Table3334[[#This Row],[MTD Panel]]</f>
        <v>286.73333333333335</v>
      </c>
      <c r="H9" s="13">
        <f t="shared" si="0"/>
        <v>0</v>
      </c>
      <c r="I9" s="13">
        <f t="shared" si="1"/>
        <v>0</v>
      </c>
    </row>
    <row r="10" spans="1:12">
      <c r="A10" s="11" t="str">
        <f>Table333456789101217[[#This Row],[Carrier]]</f>
        <v>Law</v>
      </c>
      <c r="B10" s="5" t="str">
        <f>Table333456789101217[[#This Row],[IP]]</f>
        <v>77.88.99.21/77.88.99.88/77.88.99.94/110.56.211.7</v>
      </c>
      <c r="C10" s="6" t="str">
        <f>Table333456789101217[[#This Row],[Carrier Code]]</f>
        <v>LA</v>
      </c>
      <c r="D10" s="53">
        <v>0</v>
      </c>
      <c r="E10" s="53">
        <v>0</v>
      </c>
      <c r="F10" s="18">
        <f>Table33345[[#This Row],[Company Panel]]+Table3334[[#This Row],[MTD Company]]</f>
        <v>0</v>
      </c>
      <c r="G10" s="18">
        <f>Table33345[[#This Row],[Our Panel]]+Table3334[[#This Row],[MTD Panel]]</f>
        <v>0</v>
      </c>
      <c r="H10" s="13">
        <f t="shared" si="0"/>
        <v>0</v>
      </c>
      <c r="I10" s="13">
        <f t="shared" si="1"/>
        <v>0</v>
      </c>
    </row>
    <row r="11" spans="1:12">
      <c r="A11" s="11" t="str">
        <f>Table333456789101217[[#This Row],[Carrier]]</f>
        <v>Pulse</v>
      </c>
      <c r="B11" s="5" t="str">
        <f>Table333456789101217[[#This Row],[IP]]</f>
        <v>198.51.100.130/31.725.16.608/66.59.61.503/167.34.122.90</v>
      </c>
      <c r="C11" s="6" t="str">
        <f>Table333456789101217[[#This Row],[Carrier Code]]</f>
        <v>PU</v>
      </c>
      <c r="D11" s="53">
        <v>0</v>
      </c>
      <c r="E11" s="53">
        <v>0</v>
      </c>
      <c r="F11" s="18">
        <f>Table33345[[#This Row],[Company Panel]]+Table3334[[#This Row],[MTD Company]]</f>
        <v>0</v>
      </c>
      <c r="G11" s="18">
        <f>Table33345[[#This Row],[Our Panel]]+Table3334[[#This Row],[MTD Panel]]</f>
        <v>0</v>
      </c>
      <c r="H11" s="13">
        <f t="shared" si="0"/>
        <v>0</v>
      </c>
      <c r="I11" s="13">
        <f t="shared" si="1"/>
        <v>0</v>
      </c>
    </row>
    <row r="12" spans="1:12">
      <c r="A12" s="11" t="str">
        <f>Table333456789101217[[#This Row],[Carrier]]</f>
        <v>Phantom</v>
      </c>
      <c r="B12" s="5" t="str">
        <f>Table333456789101217[[#This Row],[IP]]</f>
        <v>141.15.210.67/141.15.42.82/179.62.211.4</v>
      </c>
      <c r="C12" s="6" t="str">
        <f>Table333456789101217[[#This Row],[Carrier Code]]</f>
        <v>PH</v>
      </c>
      <c r="D12" s="53">
        <v>4.2333333333333334</v>
      </c>
      <c r="E12" s="53">
        <v>4.2333333333333334</v>
      </c>
      <c r="F12" s="18">
        <f>Table33345[[#This Row],[Company Panel]]+Table3334[[#This Row],[MTD Company]]</f>
        <v>26.883333333333333</v>
      </c>
      <c r="G12" s="18">
        <f>Table33345[[#This Row],[Our Panel]]+Table3334[[#This Row],[MTD Panel]]</f>
        <v>26.883333333333333</v>
      </c>
      <c r="H12" s="13">
        <f t="shared" si="0"/>
        <v>0</v>
      </c>
      <c r="I12" s="13">
        <f t="shared" si="1"/>
        <v>0</v>
      </c>
    </row>
    <row r="13" spans="1:12">
      <c r="A13" s="11" t="str">
        <f>Table333456789101217[[#This Row],[Carrier]]</f>
        <v>Dragon</v>
      </c>
      <c r="B13" s="5" t="str">
        <f>Table333456789101217[[#This Row],[IP]]</f>
        <v>12.34.56.78/12.34.56.128/200.180.245.18</v>
      </c>
      <c r="C13" s="6" t="str">
        <f>Table333456789101217[[#This Row],[Carrier Code]]</f>
        <v>DG</v>
      </c>
      <c r="D13" s="53">
        <v>0</v>
      </c>
      <c r="E13" s="53">
        <v>0</v>
      </c>
      <c r="F13" s="18">
        <f>Table33345[[#This Row],[Company Panel]]+Table3334[[#This Row],[MTD Company]]</f>
        <v>0</v>
      </c>
      <c r="G13" s="18">
        <f>Table33345[[#This Row],[Our Panel]]+Table3334[[#This Row],[MTD Panel]]</f>
        <v>0</v>
      </c>
      <c r="H13" s="13">
        <f t="shared" si="0"/>
        <v>0</v>
      </c>
      <c r="I13" s="13">
        <f>F13-G13</f>
        <v>0</v>
      </c>
    </row>
    <row r="14" spans="1:12">
      <c r="A14" s="11" t="str">
        <f>Table333456789101217[[#This Row],[Carrier]]</f>
        <v>Tempest</v>
      </c>
      <c r="B14" s="5" t="str">
        <f>Table333456789101217[[#This Row],[IP]]</f>
        <v>59.144.223.88/55.39.99.60</v>
      </c>
      <c r="C14" s="6" t="str">
        <f>Table333456789101217[[#This Row],[Carrier Code]]</f>
        <v>TE</v>
      </c>
      <c r="D14" s="53">
        <v>0</v>
      </c>
      <c r="E14" s="53">
        <v>0</v>
      </c>
      <c r="F14" s="18">
        <f>Table33345[[#This Row],[Company Panel]]+Table3334[[#This Row],[MTD Company]]</f>
        <v>0</v>
      </c>
      <c r="G14" s="18">
        <f>Table33345[[#This Row],[Our Panel]]+Table3334[[#This Row],[MTD Panel]]</f>
        <v>0</v>
      </c>
      <c r="H14" s="13">
        <f t="shared" si="0"/>
        <v>0</v>
      </c>
      <c r="I14" s="13">
        <f t="shared" si="1"/>
        <v>0</v>
      </c>
    </row>
    <row r="15" spans="1:12">
      <c r="A15" s="11" t="str">
        <f>Table333456789101217[[#This Row],[Carrier]]</f>
        <v>Shadow</v>
      </c>
      <c r="B15" s="5" t="str">
        <f>Table333456789101217[[#This Row],[IP]]</f>
        <v>175.45.112.100/25.851.31.153/39.80.220.100</v>
      </c>
      <c r="C15" s="6" t="str">
        <f>Table333456789101217[[#This Row],[Carrier Code]]</f>
        <v>SH</v>
      </c>
      <c r="D15" s="53">
        <v>0</v>
      </c>
      <c r="E15" s="53">
        <v>0</v>
      </c>
      <c r="F15" s="18">
        <f>Table33345[[#This Row],[Company Panel]]+Table3334[[#This Row],[MTD Company]]</f>
        <v>0</v>
      </c>
      <c r="G15" s="18">
        <f>Table33345[[#This Row],[Our Panel]]+Table3334[[#This Row],[MTD Panel]]</f>
        <v>0</v>
      </c>
      <c r="H15" s="13">
        <f t="shared" si="0"/>
        <v>0</v>
      </c>
      <c r="I15" s="13">
        <f t="shared" si="1"/>
        <v>0</v>
      </c>
    </row>
    <row r="16" spans="1:12">
      <c r="A16" s="11" t="str">
        <f>Table333456789101217[[#This Row],[Carrier]]</f>
        <v>Cyclone</v>
      </c>
      <c r="B16" s="5" t="str">
        <f>Table333456789101217[[#This Row],[IP]]</f>
        <v>150.13.75.190/16.160.89.512/72.11.97.34</v>
      </c>
      <c r="C16" s="6" t="str">
        <f>Table333456789101217[[#This Row],[Carrier Code]]</f>
        <v>CY</v>
      </c>
      <c r="D16" s="53">
        <v>0</v>
      </c>
      <c r="E16" s="53">
        <v>0</v>
      </c>
      <c r="F16" s="18">
        <f>Table33345[[#This Row],[Company Panel]]+Table3334[[#This Row],[MTD Company]]</f>
        <v>0</v>
      </c>
      <c r="G16" s="18">
        <f>Table33345[[#This Row],[Our Panel]]+Table3334[[#This Row],[MTD Panel]]</f>
        <v>0</v>
      </c>
      <c r="H16" s="13">
        <f t="shared" si="0"/>
        <v>0</v>
      </c>
      <c r="I16" s="13">
        <f t="shared" si="1"/>
        <v>0</v>
      </c>
    </row>
    <row r="17" spans="1:9">
      <c r="A17" s="11" t="str">
        <f>Table333456789101217[[#This Row],[Carrier]]</f>
        <v>Reaver</v>
      </c>
      <c r="B17" s="5" t="str">
        <f>Table333456789101217[[#This Row],[IP]]</f>
        <v>203.0.113.44/188.17.56.210</v>
      </c>
      <c r="C17" s="6" t="str">
        <f>Table333456789101217[[#This Row],[Carrier Code]]</f>
        <v>RE</v>
      </c>
      <c r="D17" s="53">
        <v>0</v>
      </c>
      <c r="E17" s="53">
        <v>0</v>
      </c>
      <c r="F17" s="18">
        <f>Table33345[[#This Row],[Company Panel]]+Table3334[[#This Row],[MTD Company]]</f>
        <v>0</v>
      </c>
      <c r="G17" s="18">
        <f>Table33345[[#This Row],[Our Panel]]+Table3334[[#This Row],[MTD Panel]]</f>
        <v>0</v>
      </c>
      <c r="H17" s="13">
        <f t="shared" si="0"/>
        <v>0</v>
      </c>
      <c r="I17" s="13">
        <f t="shared" si="1"/>
        <v>0</v>
      </c>
    </row>
    <row r="18" spans="1:9">
      <c r="A18" s="11" t="str">
        <f>Table333456789101217[[#This Row],[Carrier]]</f>
        <v>Forge</v>
      </c>
      <c r="B18" s="5" t="str">
        <f>Table333456789101217[[#This Row],[IP]]</f>
        <v>112.54.89.168/112.54.89.138</v>
      </c>
      <c r="C18" s="6" t="str">
        <f>Table333456789101217[[#This Row],[Carrier Code]]</f>
        <v>FO</v>
      </c>
      <c r="D18" s="53">
        <v>30.35</v>
      </c>
      <c r="E18" s="53">
        <v>30.35</v>
      </c>
      <c r="F18" s="18">
        <f>Table33345[[#This Row],[Company Panel]]+Table3334[[#This Row],[MTD Company]]</f>
        <v>132.61666666666667</v>
      </c>
      <c r="G18" s="18">
        <f>Table33345[[#This Row],[Our Panel]]+Table3334[[#This Row],[MTD Panel]]</f>
        <v>132.61666666666667</v>
      </c>
      <c r="H18" s="13">
        <f t="shared" si="0"/>
        <v>0</v>
      </c>
      <c r="I18" s="13">
        <f t="shared" si="1"/>
        <v>0</v>
      </c>
    </row>
    <row r="19" spans="1:9">
      <c r="A19" s="11" t="str">
        <f>Table333456789101217[[#This Row],[Carrier]]</f>
        <v>Ember</v>
      </c>
      <c r="B19" s="5" t="str">
        <f>Table333456789101217[[#This Row],[IP]]</f>
        <v>78.34.90.24/328.56.122.44/142.150.75.22</v>
      </c>
      <c r="C19" s="6" t="str">
        <f>Table333456789101217[[#This Row],[Carrier Code]]</f>
        <v>EM</v>
      </c>
      <c r="D19" s="53">
        <v>0</v>
      </c>
      <c r="E19" s="53">
        <v>0</v>
      </c>
      <c r="F19" s="18">
        <f>Table33345[[#This Row],[Company Panel]]+Table3334[[#This Row],[MTD Company]]</f>
        <v>0</v>
      </c>
      <c r="G19" s="18">
        <f>Table33345[[#This Row],[Our Panel]]+Table3334[[#This Row],[MTD Panel]]</f>
        <v>0</v>
      </c>
      <c r="H19" s="13">
        <f t="shared" si="0"/>
        <v>0</v>
      </c>
      <c r="I19" s="13">
        <f t="shared" si="1"/>
        <v>0</v>
      </c>
    </row>
    <row r="20" spans="1:9">
      <c r="A20" s="11" t="str">
        <f>Table333456789101217[[#This Row],[Carrier]]</f>
        <v>Specter</v>
      </c>
      <c r="B20" s="5" t="str">
        <f>Table333456789101217[[#This Row],[IP]]</f>
        <v>205.60.34.150</v>
      </c>
      <c r="C20" s="6" t="str">
        <f>Table333456789101217[[#This Row],[Carrier Code]]</f>
        <v>SP</v>
      </c>
      <c r="D20" s="53">
        <v>3.3333333333333333E-2</v>
      </c>
      <c r="E20" s="53">
        <v>3.3333333333333333E-2</v>
      </c>
      <c r="F20" s="18">
        <f>Table33345[[#This Row],[Company Panel]]+Table3334[[#This Row],[MTD Company]]</f>
        <v>9.75</v>
      </c>
      <c r="G20" s="18">
        <f>Table33345[[#This Row],[Our Panel]]+Table3334[[#This Row],[MTD Panel]]</f>
        <v>9.75</v>
      </c>
      <c r="H20" s="13">
        <f t="shared" si="0"/>
        <v>0</v>
      </c>
      <c r="I20" s="13">
        <f t="shared" si="1"/>
        <v>0</v>
      </c>
    </row>
    <row r="21" spans="1:9">
      <c r="A21" s="11" t="str">
        <f>Table333456789101217[[#This Row],[Carrier]]</f>
        <v>Throne</v>
      </c>
      <c r="B21" s="5" t="str">
        <f>Table333456789101217[[#This Row],[IP]]</f>
        <v>54.32.11.90/27.758.27.201/125.150.58.20</v>
      </c>
      <c r="C21" s="6" t="str">
        <f>Table333456789101217[[#This Row],[Carrier Code]]</f>
        <v>TH</v>
      </c>
      <c r="D21" s="53">
        <v>0</v>
      </c>
      <c r="E21" s="53">
        <v>0</v>
      </c>
      <c r="F21" s="18">
        <f>Table33345[[#This Row],[Company Panel]]+Table3334[[#This Row],[MTD Company]]</f>
        <v>0</v>
      </c>
      <c r="G21" s="18">
        <f>Table33345[[#This Row],[Our Panel]]+Table3334[[#This Row],[MTD Panel]]</f>
        <v>0</v>
      </c>
      <c r="H21" s="13">
        <f t="shared" si="0"/>
        <v>0</v>
      </c>
      <c r="I21" s="13">
        <f t="shared" si="1"/>
        <v>0</v>
      </c>
    </row>
    <row r="22" spans="1:9">
      <c r="A22" s="11" t="str">
        <f>Table333456789101217[[#This Row],[Carrier]]</f>
        <v>Arcane</v>
      </c>
      <c r="B22" s="5" t="str">
        <f>Table333456789101217[[#This Row],[IP]]</f>
        <v>212.100.25.78/212.100.25.87</v>
      </c>
      <c r="C22" s="6" t="str">
        <f>Table333456789101217[[#This Row],[Carrier Code]]</f>
        <v>AR</v>
      </c>
      <c r="D22" s="53">
        <v>0</v>
      </c>
      <c r="E22" s="53">
        <v>0</v>
      </c>
      <c r="F22" s="18">
        <f>Table33345[[#This Row],[Company Panel]]+Table3334[[#This Row],[MTD Company]]</f>
        <v>0</v>
      </c>
      <c r="G22" s="18">
        <f>Table33345[[#This Row],[Our Panel]]+Table3334[[#This Row],[MTD Panel]]</f>
        <v>0</v>
      </c>
      <c r="H22" s="13">
        <f t="shared" si="0"/>
        <v>0</v>
      </c>
      <c r="I22" s="13">
        <f t="shared" si="1"/>
        <v>0</v>
      </c>
    </row>
    <row r="23" spans="1:9">
      <c r="A23" s="11" t="str">
        <f>Table333456789101217[[#This Row],[Carrier]]</f>
        <v>Glitch</v>
      </c>
      <c r="B23" s="5" t="str">
        <f>Table333456789101217[[#This Row],[IP]]</f>
        <v>198.204.100.12/198.204.100.34/198.204.100.51</v>
      </c>
      <c r="C23" s="6" t="str">
        <f>Table333456789101217[[#This Row],[Carrier Code]]</f>
        <v>GL</v>
      </c>
      <c r="D23" s="53">
        <v>0</v>
      </c>
      <c r="E23" s="53">
        <v>0</v>
      </c>
      <c r="F23" s="18">
        <f>Table33345[[#This Row],[Company Panel]]+Table3334[[#This Row],[MTD Company]]</f>
        <v>0</v>
      </c>
      <c r="G23" s="18">
        <f>Table33345[[#This Row],[Our Panel]]+Table3334[[#This Row],[MTD Panel]]</f>
        <v>0</v>
      </c>
      <c r="H23" s="13">
        <f t="shared" si="0"/>
        <v>0</v>
      </c>
      <c r="I23" s="13">
        <f t="shared" si="1"/>
        <v>0</v>
      </c>
    </row>
    <row r="24" spans="1:9">
      <c r="A24" s="11" t="str">
        <f>Table333456789101217[[#This Row],[Carrier]]</f>
        <v>Nitro</v>
      </c>
      <c r="B24" s="5" t="str">
        <f>Table333456789101217[[#This Row],[IP]]</f>
        <v>15.150.200.33/119.82.200.100</v>
      </c>
      <c r="C24" s="6" t="str">
        <f>Table333456789101217[[#This Row],[Carrier Code]]</f>
        <v>NI</v>
      </c>
      <c r="D24" s="53">
        <v>0</v>
      </c>
      <c r="E24" s="53">
        <v>0</v>
      </c>
      <c r="F24" s="18">
        <f>Table33345[[#This Row],[Company Panel]]+Table3334[[#This Row],[MTD Company]]</f>
        <v>0</v>
      </c>
      <c r="G24" s="18">
        <f>Table33345[[#This Row],[Our Panel]]+Table3334[[#This Row],[MTD Panel]]</f>
        <v>0</v>
      </c>
      <c r="H24" s="13">
        <f t="shared" si="0"/>
        <v>0</v>
      </c>
      <c r="I24" s="13">
        <f t="shared" si="1"/>
        <v>0</v>
      </c>
    </row>
    <row r="25" spans="1:9">
      <c r="A25" s="11" t="str">
        <f>Table333456789101217[[#This Row],[Carrier]]</f>
        <v>Drip</v>
      </c>
      <c r="B25" s="5" t="str">
        <f>Table333456789101217[[#This Row],[IP]]</f>
        <v>84.13.76.190/90.945.80.11/198.160.234.5</v>
      </c>
      <c r="C25" s="6" t="str">
        <f>Table333456789101217[[#This Row],[Carrier Code]]</f>
        <v>DR</v>
      </c>
      <c r="D25" s="53">
        <v>0</v>
      </c>
      <c r="E25" s="53">
        <v>0</v>
      </c>
      <c r="F25" s="18">
        <f>Table33345[[#This Row],[Company Panel]]+Table3334[[#This Row],[MTD Company]]</f>
        <v>0</v>
      </c>
      <c r="G25" s="18">
        <f>Table33345[[#This Row],[Our Panel]]+Table3334[[#This Row],[MTD Panel]]</f>
        <v>0</v>
      </c>
      <c r="H25" s="13">
        <f t="shared" si="0"/>
        <v>0</v>
      </c>
      <c r="I25" s="13">
        <f t="shared" si="1"/>
        <v>0</v>
      </c>
    </row>
    <row r="26" spans="1:9">
      <c r="A26" s="11" t="str">
        <f>Table333456789101217[[#This Row],[Carrier]]</f>
        <v>Glide</v>
      </c>
      <c r="B26" s="5" t="str">
        <f>Table333456789101217[[#This Row],[IP]]</f>
        <v>120.45.12.25/85.739.221.80/85.739.221.93</v>
      </c>
      <c r="C26" s="6" t="str">
        <f>Table333456789101217[[#This Row],[Carrier Code]]</f>
        <v>GI</v>
      </c>
      <c r="D26" s="53">
        <v>0</v>
      </c>
      <c r="E26" s="53">
        <v>0</v>
      </c>
      <c r="F26" s="18">
        <f>Table33345[[#This Row],[Company Panel]]+Table3334[[#This Row],[MTD Company]]</f>
        <v>0</v>
      </c>
      <c r="G26" s="18">
        <f>Table33345[[#This Row],[Our Panel]]+Table3334[[#This Row],[MTD Panel]]</f>
        <v>0</v>
      </c>
      <c r="H26" s="13">
        <f t="shared" si="0"/>
        <v>0</v>
      </c>
      <c r="I26" s="13">
        <f t="shared" si="1"/>
        <v>0</v>
      </c>
    </row>
    <row r="27" spans="1:9">
      <c r="A27" s="11" t="str">
        <f>Table333456789101217[[#This Row],[Carrier]]</f>
        <v>Orbit</v>
      </c>
      <c r="B27" s="5" t="str">
        <f>Table333456789101217[[#This Row],[IP]]</f>
        <v>176.98.54.112/60.110.154.91/60.110.155.162</v>
      </c>
      <c r="C27" s="6" t="str">
        <f>Table333456789101217[[#This Row],[Carrier Code]]</f>
        <v>OR</v>
      </c>
      <c r="D27" s="53">
        <v>0</v>
      </c>
      <c r="E27" s="53">
        <v>0</v>
      </c>
      <c r="F27" s="18">
        <f>Table33345[[#This Row],[Company Panel]]+Table3334[[#This Row],[MTD Company]]</f>
        <v>0</v>
      </c>
      <c r="G27" s="18">
        <f>Table33345[[#This Row],[Our Panel]]+Table3334[[#This Row],[MTD Panel]]</f>
        <v>0</v>
      </c>
      <c r="H27" s="13">
        <f t="shared" si="0"/>
        <v>0</v>
      </c>
      <c r="I27" s="13">
        <f t="shared" si="1"/>
        <v>0</v>
      </c>
    </row>
    <row r="28" spans="1:9">
      <c r="A28" s="11" t="str">
        <f>Table333456789101217[[#This Row],[Carrier]]</f>
        <v>Thunder</v>
      </c>
      <c r="B28" s="5" t="str">
        <f>Table333456789101217[[#This Row],[IP]]</f>
        <v>67.102.200.9/81.905.48.847/143.235.100.34</v>
      </c>
      <c r="C28" s="6" t="str">
        <f>Table333456789101217[[#This Row],[Carrier Code]]</f>
        <v>TU</v>
      </c>
      <c r="D28" s="53">
        <v>23.133333333333333</v>
      </c>
      <c r="E28" s="53">
        <v>23.133333333333333</v>
      </c>
      <c r="F28" s="18">
        <f>Table33345[[#This Row],[Company Panel]]+Table3334[[#This Row],[MTD Company]]</f>
        <v>72.966666666666669</v>
      </c>
      <c r="G28" s="18">
        <f>Table33345[[#This Row],[Our Panel]]+Table3334[[#This Row],[MTD Panel]]</f>
        <v>72.966666666666669</v>
      </c>
      <c r="H28" s="13">
        <f t="shared" si="0"/>
        <v>0</v>
      </c>
      <c r="I28" s="13">
        <f t="shared" si="1"/>
        <v>0</v>
      </c>
    </row>
    <row r="29" spans="1:9">
      <c r="A29" s="11" t="str">
        <f>Table333456789101217[[#This Row],[Carrier]]</f>
        <v>Glimmer</v>
      </c>
      <c r="B29" s="5" t="str">
        <f>Table333456789101217[[#This Row],[IP]]</f>
        <v>99.22.211.100/71.54.85.344/71.54.85.218</v>
      </c>
      <c r="C29" s="6" t="str">
        <f>Table333456789101217[[#This Row],[Carrier Code]]</f>
        <v>GM</v>
      </c>
      <c r="D29" s="53">
        <v>0</v>
      </c>
      <c r="E29" s="53">
        <v>0</v>
      </c>
      <c r="F29" s="18">
        <f>Table33345[[#This Row],[Company Panel]]+Table3334[[#This Row],[MTD Company]]</f>
        <v>0</v>
      </c>
      <c r="G29" s="18">
        <f>Table33345[[#This Row],[Our Panel]]+Table3334[[#This Row],[MTD Panel]]</f>
        <v>0</v>
      </c>
      <c r="H29" s="13">
        <f t="shared" si="0"/>
        <v>0</v>
      </c>
      <c r="I29" s="13">
        <f t="shared" si="1"/>
        <v>0</v>
      </c>
    </row>
    <row r="30" spans="1:9">
      <c r="A30" s="11" t="str">
        <f>Table333456789101217[[#This Row],[Carrier]]</f>
        <v>Fragment</v>
      </c>
      <c r="B30" s="5" t="str">
        <f>Table333456789101217[[#This Row],[IP]]</f>
        <v>203.0.113.56/195.56.101.10</v>
      </c>
      <c r="C30" s="6" t="str">
        <f>Table333456789101217[[#This Row],[Carrier Code]]</f>
        <v>FR</v>
      </c>
      <c r="D30" s="53">
        <v>0</v>
      </c>
      <c r="E30" s="53">
        <v>0</v>
      </c>
      <c r="F30" s="18">
        <f>Table33345[[#This Row],[Company Panel]]+Table3334[[#This Row],[MTD Company]]</f>
        <v>0</v>
      </c>
      <c r="G30" s="18">
        <f>Table33345[[#This Row],[Our Panel]]+Table3334[[#This Row],[MTD Panel]]</f>
        <v>0</v>
      </c>
      <c r="H30" s="13">
        <f t="shared" si="0"/>
        <v>0</v>
      </c>
      <c r="I30" s="13">
        <f t="shared" si="1"/>
        <v>0</v>
      </c>
    </row>
    <row r="31" spans="1:9">
      <c r="A31" s="11" t="str">
        <f>Table333456789101217[[#This Row],[Carrier]]</f>
        <v>Dusk</v>
      </c>
      <c r="B31" s="5" t="str">
        <f>Table333456789101217[[#This Row],[IP]]</f>
        <v>33.44.55.66/33.44.55.84/33.44.55.122/214.68.90.122</v>
      </c>
      <c r="C31" s="6" t="str">
        <f>Table333456789101217[[#This Row],[Carrier Code]]</f>
        <v>DK</v>
      </c>
      <c r="D31" s="53">
        <v>0</v>
      </c>
      <c r="E31" s="53">
        <v>0</v>
      </c>
      <c r="F31" s="18">
        <f>Table33345[[#This Row],[Company Panel]]+Table3334[[#This Row],[MTD Company]]</f>
        <v>0</v>
      </c>
      <c r="G31" s="18">
        <f>Table33345[[#This Row],[Our Panel]]+Table3334[[#This Row],[MTD Panel]]</f>
        <v>0</v>
      </c>
      <c r="H31" s="13">
        <f t="shared" ref="H31:H36" si="2">D31-E31</f>
        <v>0</v>
      </c>
      <c r="I31" s="13">
        <f t="shared" ref="I31:I36" si="3">F31-G31</f>
        <v>0</v>
      </c>
    </row>
    <row r="32" spans="1:9">
      <c r="A32" s="11" t="str">
        <f>Table333456789101217[[#This Row],[Carrier]]</f>
        <v>Breeze</v>
      </c>
      <c r="B32" s="5" t="str">
        <f>Table333456789101217[[#This Row],[IP]]</f>
        <v>199.123.87.45/199.123.34.52/77.189.22.56</v>
      </c>
      <c r="C32" s="6" t="str">
        <f>Table333456789101217[[#This Row],[Carrier Code]]</f>
        <v>BR</v>
      </c>
      <c r="D32" s="53">
        <v>0</v>
      </c>
      <c r="E32" s="53">
        <v>0</v>
      </c>
      <c r="F32" s="18">
        <f>Table33345[[#This Row],[Company Panel]]+Table3334[[#This Row],[MTD Company]]</f>
        <v>0</v>
      </c>
      <c r="G32" s="18">
        <f>Table33345[[#This Row],[Our Panel]]+Table3334[[#This Row],[MTD Panel]]</f>
        <v>0</v>
      </c>
      <c r="H32" s="13">
        <f t="shared" si="2"/>
        <v>0</v>
      </c>
      <c r="I32" s="13">
        <f t="shared" si="3"/>
        <v>0</v>
      </c>
    </row>
    <row r="33" spans="1:9">
      <c r="A33" s="11" t="str">
        <f>Table333456789101217[[#This Row],[Carrier]]</f>
        <v>Clutch</v>
      </c>
      <c r="B33" s="5" t="str">
        <f>Table333456789101217[[#This Row],[IP]]</f>
        <v>55.66.77.88/84.126.79.28/152.233.45.11</v>
      </c>
      <c r="C33" s="6" t="str">
        <f>Table333456789101217[[#This Row],[Carrier Code]]</f>
        <v>CL</v>
      </c>
      <c r="D33" s="53">
        <v>0</v>
      </c>
      <c r="E33" s="53">
        <v>0</v>
      </c>
      <c r="F33" s="18">
        <f>Table33345[[#This Row],[Company Panel]]+Table3334[[#This Row],[MTD Company]]</f>
        <v>0</v>
      </c>
      <c r="G33" s="18">
        <f>Table33345[[#This Row],[Our Panel]]+Table3334[[#This Row],[MTD Panel]]</f>
        <v>0</v>
      </c>
      <c r="H33" s="13">
        <f t="shared" si="2"/>
        <v>0</v>
      </c>
      <c r="I33" s="13">
        <f t="shared" si="3"/>
        <v>0</v>
      </c>
    </row>
    <row r="34" spans="1:9">
      <c r="A34" s="11" t="str">
        <f>Table333456789101217[[#This Row],[Carrier]]</f>
        <v>Haze</v>
      </c>
      <c r="B34" s="5" t="str">
        <f>Table333456789101217[[#This Row],[IP]]</f>
        <v>230.111.44.56</v>
      </c>
      <c r="C34" s="6" t="str">
        <f>Table333456789101217[[#This Row],[Carrier Code]]</f>
        <v>HZ</v>
      </c>
      <c r="D34" s="53">
        <v>0</v>
      </c>
      <c r="E34" s="53">
        <v>0</v>
      </c>
      <c r="F34" s="18">
        <f>Table33345[[#This Row],[Company Panel]]+Table3334[[#This Row],[MTD Company]]</f>
        <v>0</v>
      </c>
      <c r="G34" s="18">
        <f>Table33345[[#This Row],[Our Panel]]+Table3334[[#This Row],[MTD Panel]]</f>
        <v>0</v>
      </c>
      <c r="H34" s="13">
        <f t="shared" si="2"/>
        <v>0</v>
      </c>
      <c r="I34" s="13">
        <f t="shared" si="3"/>
        <v>0</v>
      </c>
    </row>
    <row r="35" spans="1:9">
      <c r="A35" s="11" t="str">
        <f>Table333456789101217[[#This Row],[Carrier]]</f>
        <v>Vault</v>
      </c>
      <c r="B35" s="5" t="str">
        <f>Table333456789101217[[#This Row],[IP]]</f>
        <v>213.189.94.5/213.189.94.7/111.180.64.222</v>
      </c>
      <c r="C35" s="6" t="str">
        <f>Table333456789101217[[#This Row],[Carrier Code]]</f>
        <v>VA</v>
      </c>
      <c r="D35" s="53">
        <v>0</v>
      </c>
      <c r="E35" s="53">
        <v>0</v>
      </c>
      <c r="F35" s="18">
        <f>Table33345[[#This Row],[Company Panel]]+Table3334[[#This Row],[MTD Company]]</f>
        <v>0</v>
      </c>
      <c r="G35" s="18">
        <f>Table33345[[#This Row],[Our Panel]]+Table3334[[#This Row],[MTD Panel]]</f>
        <v>0</v>
      </c>
      <c r="H35" s="13">
        <f t="shared" si="2"/>
        <v>0</v>
      </c>
      <c r="I35" s="13">
        <f t="shared" si="3"/>
        <v>0</v>
      </c>
    </row>
    <row r="36" spans="1:9">
      <c r="A36" s="11" t="str">
        <f>Table333456789101217[[#This Row],[Carrier]]</f>
        <v>Scatter</v>
      </c>
      <c r="B36" s="5" t="str">
        <f>Table333456789101217[[#This Row],[IP]]</f>
        <v>14.123.45.67/168.251.90.15</v>
      </c>
      <c r="C36" s="6" t="str">
        <f>Table333456789101217[[#This Row],[Carrier Code]]</f>
        <v>SC</v>
      </c>
      <c r="D36" s="53">
        <v>8.3833333333333329</v>
      </c>
      <c r="E36" s="53">
        <v>8.3833333333333329</v>
      </c>
      <c r="F36" s="18">
        <f>Table33345[[#This Row],[Company Panel]]+Table3334[[#This Row],[MTD Company]]</f>
        <v>30.866666666666667</v>
      </c>
      <c r="G36" s="18">
        <f>Table33345[[#This Row],[Our Panel]]+Table3334[[#This Row],[MTD Panel]]</f>
        <v>30.866666666666667</v>
      </c>
      <c r="H36" s="13">
        <f t="shared" si="2"/>
        <v>0</v>
      </c>
      <c r="I36" s="13">
        <f t="shared" si="3"/>
        <v>0</v>
      </c>
    </row>
    <row r="37" spans="1:9">
      <c r="A37" s="11" t="str">
        <f>Table333456789101217[[#This Row],[Carrier]]</f>
        <v>Hammer</v>
      </c>
      <c r="B37" s="5" t="str">
        <f>Table333456789101217[[#This Row],[IP]]</f>
        <v>200.111.78.9/200.111.236.62/200.111.823.89/137.79.48.56</v>
      </c>
      <c r="C37" s="6" t="str">
        <f>Table333456789101217[[#This Row],[Carrier Code]]</f>
        <v>HA</v>
      </c>
      <c r="D37" s="53">
        <v>0</v>
      </c>
      <c r="E37" s="53">
        <v>0</v>
      </c>
      <c r="F37" s="18">
        <f>Table33345[[#This Row],[Company Panel]]+Table3334[[#This Row],[MTD Company]]</f>
        <v>0</v>
      </c>
      <c r="G37" s="18">
        <f>Table33345[[#This Row],[Our Panel]]+Table3334[[#This Row],[MTD Panel]]</f>
        <v>0</v>
      </c>
      <c r="H37" s="72">
        <f t="shared" ref="H37:H44" si="4">D37-E37</f>
        <v>0</v>
      </c>
      <c r="I37" s="72">
        <f t="shared" ref="I37:I44" si="5">F37-G37</f>
        <v>0</v>
      </c>
    </row>
    <row r="38" spans="1:9">
      <c r="A38" s="11" t="str">
        <f>Table333456789101217[[#This Row],[Carrier]]</f>
        <v>Smudge</v>
      </c>
      <c r="B38" s="5" t="str">
        <f>Table333456789101217[[#This Row],[IP]]</f>
        <v>88.99.233.56/54.71.99.234</v>
      </c>
      <c r="C38" s="6" t="str">
        <f>Table333456789101217[[#This Row],[Carrier Code]]</f>
        <v>SM</v>
      </c>
      <c r="D38" s="53">
        <v>3.2</v>
      </c>
      <c r="E38" s="53">
        <v>3.2</v>
      </c>
      <c r="F38" s="18">
        <f>Table33345[[#This Row],[Company Panel]]+Table3334[[#This Row],[MTD Company]]</f>
        <v>21.033333333333335</v>
      </c>
      <c r="G38" s="18">
        <f>Table33345[[#This Row],[Our Panel]]+Table3334[[#This Row],[MTD Panel]]</f>
        <v>21.033333333333335</v>
      </c>
      <c r="H38" s="72">
        <f t="shared" si="4"/>
        <v>0</v>
      </c>
      <c r="I38" s="72">
        <f t="shared" si="5"/>
        <v>0</v>
      </c>
    </row>
    <row r="39" spans="1:9">
      <c r="A39" s="11" t="str">
        <f>Table333456789101217[[#This Row],[Carrier]]</f>
        <v>Quirk</v>
      </c>
      <c r="B39" s="5" t="str">
        <f>Table333456789101217[[#This Row],[IP]]</f>
        <v>62.45.100.31/62.45.100.15/62.45.100.65/211.95.102.6</v>
      </c>
      <c r="C39" s="6" t="str">
        <f>Table333456789101217[[#This Row],[Carrier Code]]</f>
        <v>QU</v>
      </c>
      <c r="D39" s="53">
        <v>4992.9666666666662</v>
      </c>
      <c r="E39" s="53">
        <v>4992.9666666666662</v>
      </c>
      <c r="F39" s="18">
        <f>Table33345[[#This Row],[Company Panel]]+Table3334[[#This Row],[MTD Company]]</f>
        <v>9465.4833333333336</v>
      </c>
      <c r="G39" s="18">
        <f>Table33345[[#This Row],[Our Panel]]+Table3334[[#This Row],[MTD Panel]]</f>
        <v>9465.4833333333336</v>
      </c>
      <c r="H39" s="13">
        <f t="shared" si="4"/>
        <v>0</v>
      </c>
      <c r="I39" s="13">
        <f t="shared" si="5"/>
        <v>0</v>
      </c>
    </row>
    <row r="40" spans="1:9">
      <c r="A40" s="11" t="str">
        <f>Table333456789101217[[#This Row],[Carrier]]</f>
        <v>Vortex</v>
      </c>
      <c r="B40" s="5" t="str">
        <f>Table333456789101217[[#This Row],[IP]]</f>
        <v>179.250.91.8/29.540.67.457/94.25.34.78/183.144.27.18</v>
      </c>
      <c r="C40" s="6" t="str">
        <f>Table333456789101217[[#This Row],[Carrier Code]]</f>
        <v>VT</v>
      </c>
      <c r="D40" s="53">
        <v>0</v>
      </c>
      <c r="E40" s="53">
        <v>0</v>
      </c>
      <c r="F40" s="18">
        <f>Table33345[[#This Row],[Company Panel]]+Table3334[[#This Row],[MTD Company]]</f>
        <v>0</v>
      </c>
      <c r="G40" s="18">
        <f>Table33345[[#This Row],[Our Panel]]+Table3334[[#This Row],[MTD Panel]]</f>
        <v>0</v>
      </c>
      <c r="H40" s="72">
        <f t="shared" si="4"/>
        <v>0</v>
      </c>
      <c r="I40" s="72">
        <f t="shared" si="5"/>
        <v>0</v>
      </c>
    </row>
    <row r="41" spans="1:9">
      <c r="A41" s="11" t="str">
        <f>Table333456789101217[[#This Row],[Carrier]]</f>
        <v>Void</v>
      </c>
      <c r="B41" s="5" t="str">
        <f>Table333456789101217[[#This Row],[IP]]</f>
        <v>156.34.123.11/156.34.123.25/156.34.123.62/92.44.233.110</v>
      </c>
      <c r="C41" s="6" t="str">
        <f>Table333456789101217[[#This Row],[Carrier Code]]</f>
        <v>VO</v>
      </c>
      <c r="D41" s="53">
        <v>30.883333333333333</v>
      </c>
      <c r="E41" s="53">
        <v>30.883333333333333</v>
      </c>
      <c r="F41" s="18">
        <f>Table33345[[#This Row],[Company Panel]]+Table3334[[#This Row],[MTD Company]]</f>
        <v>217.96666666666667</v>
      </c>
      <c r="G41" s="18">
        <f>Table33345[[#This Row],[Our Panel]]+Table3334[[#This Row],[MTD Panel]]</f>
        <v>217.96666666666667</v>
      </c>
      <c r="H41" s="13">
        <f t="shared" si="4"/>
        <v>0</v>
      </c>
      <c r="I41" s="13">
        <f t="shared" si="5"/>
        <v>0</v>
      </c>
    </row>
    <row r="42" spans="1:9">
      <c r="A42" s="11" t="str">
        <f>Table333456789101217[[#This Row],[Carrier]]</f>
        <v>Midnight</v>
      </c>
      <c r="B42" s="5" t="str">
        <f>Table333456789101217[[#This Row],[IP]]</f>
        <v>134.77.22.4/23.97.150.8</v>
      </c>
      <c r="C42" s="6" t="str">
        <f>Table333456789101217[[#This Row],[Carrier Code]]</f>
        <v>MI</v>
      </c>
      <c r="D42" s="53">
        <v>51.4</v>
      </c>
      <c r="E42" s="53">
        <v>51.4</v>
      </c>
      <c r="F42" s="18">
        <f>Table33345[[#This Row],[Company Panel]]+Table3334[[#This Row],[MTD Company]]</f>
        <v>246.31666666666666</v>
      </c>
      <c r="G42" s="18">
        <f>Table33345[[#This Row],[Our Panel]]+Table3334[[#This Row],[MTD Panel]]</f>
        <v>246.31666666666666</v>
      </c>
      <c r="H42" s="72">
        <f t="shared" si="4"/>
        <v>0</v>
      </c>
      <c r="I42" s="72">
        <f t="shared" si="5"/>
        <v>0</v>
      </c>
    </row>
    <row r="43" spans="1:9">
      <c r="A43" s="11" t="str">
        <f>Table333456789101217[[#This Row],[Carrier]]</f>
        <v>Autumn</v>
      </c>
      <c r="B43" s="5" t="str">
        <f>Table333456789101217[[#This Row],[IP]]</f>
        <v>202.54.210.88/12.331.94.73/64.19.28.175</v>
      </c>
      <c r="C43" s="6" t="str">
        <f>Table333456789101217[[#This Row],[Carrier Code]]</f>
        <v>AU</v>
      </c>
      <c r="D43" s="53">
        <v>6.6666666666666666E-2</v>
      </c>
      <c r="E43" s="53">
        <v>6.6666666666666666E-2</v>
      </c>
      <c r="F43" s="18">
        <f>Table33345[[#This Row],[Company Panel]]+Table3334[[#This Row],[MTD Company]]</f>
        <v>43.366666666666674</v>
      </c>
      <c r="G43" s="18">
        <f>Table33345[[#This Row],[Our Panel]]+Table3334[[#This Row],[MTD Panel]]</f>
        <v>43.366666666666674</v>
      </c>
      <c r="H43" s="72">
        <f t="shared" si="4"/>
        <v>0</v>
      </c>
      <c r="I43" s="72">
        <f t="shared" si="5"/>
        <v>0</v>
      </c>
    </row>
    <row r="44" spans="1:9">
      <c r="A44" s="11" t="str">
        <f>Table333456789101217[[#This Row],[Carrier]]</f>
        <v>Mystic</v>
      </c>
      <c r="B44" s="5" t="str">
        <f>Table333456789101217[[#This Row],[IP]]</f>
        <v>51.233.21.76/82.115.35.60/82.115.35.85</v>
      </c>
      <c r="C44" s="6" t="str">
        <f>Table333456789101217[[#This Row],[Carrier Code]]</f>
        <v>MY</v>
      </c>
      <c r="D44" s="53">
        <v>0</v>
      </c>
      <c r="E44" s="53">
        <v>0</v>
      </c>
      <c r="F44" s="18">
        <f>Table33345[[#This Row],[Company Panel]]+Table3334[[#This Row],[MTD Company]]</f>
        <v>0</v>
      </c>
      <c r="G44" s="18">
        <f>Table33345[[#This Row],[Our Panel]]+Table3334[[#This Row],[MTD Panel]]</f>
        <v>0</v>
      </c>
      <c r="H44" s="72">
        <f t="shared" si="4"/>
        <v>0</v>
      </c>
      <c r="I44" s="72">
        <f t="shared" si="5"/>
        <v>0</v>
      </c>
    </row>
    <row r="45" spans="1:9">
      <c r="A45" s="11" t="str">
        <f>Table333456789101217[[#This Row],[Carrier]]</f>
        <v>Clover</v>
      </c>
      <c r="B45" s="5" t="str">
        <f>Table333456789101217[[#This Row],[IP]]</f>
        <v>210.150.12.45/84.50.212.66/135.113.88.9</v>
      </c>
      <c r="C45" s="6" t="str">
        <f>Table333456789101217[[#This Row],[Carrier Code]]</f>
        <v>CO</v>
      </c>
      <c r="D45" s="53">
        <v>49.06666666666667</v>
      </c>
      <c r="E45" s="53">
        <v>49.06666666666667</v>
      </c>
      <c r="F45" s="18">
        <f>Table33345[[#This Row],[Company Panel]]+Table3334[[#This Row],[MTD Company]]</f>
        <v>380.55</v>
      </c>
      <c r="G45" s="18">
        <f>Table33345[[#This Row],[Our Panel]]+Table3334[[#This Row],[MTD Panel]]</f>
        <v>380.55</v>
      </c>
      <c r="H45" s="78">
        <f>D45-E45</f>
        <v>0</v>
      </c>
      <c r="I45" s="78">
        <f>F45-G45</f>
        <v>0</v>
      </c>
    </row>
    <row r="46" spans="1:9">
      <c r="A46" s="11" t="str">
        <f>Table333456789101217[[#This Row],[Carrier]]</f>
        <v>Hunter</v>
      </c>
      <c r="B46" s="5" t="str">
        <f>Table333456789101217[[#This Row],[IP]]</f>
        <v>170.199.20.87/13.693.39.280/78.30.123.47</v>
      </c>
      <c r="C46" s="6" t="str">
        <f>Table333456789101217[[#This Row],[Carrier Code]]</f>
        <v>HU</v>
      </c>
      <c r="D46" s="53">
        <v>298.93333333333334</v>
      </c>
      <c r="E46" s="53">
        <v>298.93333333333334</v>
      </c>
      <c r="F46" s="18">
        <f>Table33345[[#This Row],[Company Panel]]+Table3334[[#This Row],[MTD Company]]</f>
        <v>1524.9833333333333</v>
      </c>
      <c r="G46" s="18">
        <f>Table33345[[#This Row],[Our Panel]]+Table3334[[#This Row],[MTD Panel]]</f>
        <v>1524.9833333333333</v>
      </c>
      <c r="H46" s="13">
        <f>D46-E46</f>
        <v>0</v>
      </c>
      <c r="I46" s="13">
        <f>F46-G46</f>
        <v>0</v>
      </c>
    </row>
    <row r="47" spans="1:9">
      <c r="A47" s="11" t="str">
        <f>Table333456789101217[[#This Row],[Carrier]]</f>
        <v>Invaded</v>
      </c>
      <c r="B47" s="5" t="str">
        <f>Table333456789101217[[#This Row],[IP]]</f>
        <v>182.67.99.120/80.518.230.410/26.847.95.107/188.12.67.92</v>
      </c>
      <c r="C47" s="6" t="str">
        <f>Table333456789101217[[#This Row],[Carrier Code]]</f>
        <v>ID</v>
      </c>
      <c r="D47" s="53">
        <v>0</v>
      </c>
      <c r="E47" s="53">
        <v>0</v>
      </c>
      <c r="F47" s="18">
        <f>Table33345[[#This Row],[Company Panel]]+Table3334[[#This Row],[MTD Company]]</f>
        <v>0</v>
      </c>
      <c r="G47" s="18">
        <f>Table33345[[#This Row],[Our Panel]]+Table3334[[#This Row],[MTD Panel]]</f>
        <v>0</v>
      </c>
      <c r="H47" s="13">
        <f>D47-E47</f>
        <v>0</v>
      </c>
      <c r="I47" s="13">
        <f>F47-G47</f>
        <v>0</v>
      </c>
    </row>
    <row r="48" spans="1:9">
      <c r="A48" s="11" t="str">
        <f>Table333456789101217[[#This Row],[Carrier]]</f>
        <v>Delusion</v>
      </c>
      <c r="B48" s="5" t="str">
        <f>Table333456789101217[[#This Row],[IP]]</f>
        <v>198.51.100.72/69.887.74.738/39.153.110.645</v>
      </c>
      <c r="C48" s="6" t="str">
        <f>Table333456789101217[[#This Row],[Carrier Code]]</f>
        <v>DU</v>
      </c>
      <c r="D48" s="53">
        <v>0</v>
      </c>
      <c r="E48" s="53">
        <v>0</v>
      </c>
      <c r="F48" s="18">
        <f>Table33345[[#This Row],[Company Panel]]+Table3334[[#This Row],[MTD Company]]</f>
        <v>0</v>
      </c>
      <c r="G48" s="18">
        <f>Table33345[[#This Row],[Our Panel]]+Table3334[[#This Row],[MTD Panel]]</f>
        <v>0</v>
      </c>
      <c r="H48" s="13">
        <f>D48-E48</f>
        <v>0</v>
      </c>
      <c r="I48" s="13">
        <f>F48-G48</f>
        <v>0</v>
      </c>
    </row>
    <row r="49" spans="1:9" ht="15.5">
      <c r="A49" s="11" t="str">
        <f>Table333456789101217[[#This Row],[Carrier]]</f>
        <v>Total</v>
      </c>
      <c r="B49" s="14"/>
      <c r="C49" s="15"/>
      <c r="D49" s="16">
        <f>SUM(D3:D48)</f>
        <v>14358.166666666666</v>
      </c>
      <c r="E49" s="16">
        <f t="shared" ref="E49:I49" si="6">SUM(E3:E48)</f>
        <v>14358.166666666666</v>
      </c>
      <c r="F49" s="16">
        <f t="shared" si="6"/>
        <v>24140.066666666666</v>
      </c>
      <c r="G49" s="16">
        <f t="shared" si="6"/>
        <v>24140.066666666666</v>
      </c>
      <c r="H49" s="16">
        <f t="shared" si="6"/>
        <v>0</v>
      </c>
      <c r="I49" s="16">
        <f t="shared" si="6"/>
        <v>0</v>
      </c>
    </row>
    <row r="51" spans="1:9">
      <c r="G51" s="52"/>
    </row>
    <row r="52" spans="1:9">
      <c r="G52" s="9"/>
    </row>
  </sheetData>
  <conditionalFormatting sqref="H2:I48">
    <cfRule type="cellIs" dxfId="513" priority="63" operator="lessThan">
      <formula>0</formula>
    </cfRule>
  </conditionalFormatting>
  <conditionalFormatting sqref="I30:I48">
    <cfRule type="cellIs" dxfId="512" priority="62" operator="lessThan">
      <formula>0</formula>
    </cfRule>
  </conditionalFormatting>
  <conditionalFormatting sqref="H3:I48">
    <cfRule type="cellIs" dxfId="511" priority="60" operator="lessThan">
      <formula>0</formula>
    </cfRule>
  </conditionalFormatting>
  <conditionalFormatting sqref="I30:I48">
    <cfRule type="cellIs" dxfId="510" priority="56" operator="lessThan">
      <formula>0</formula>
    </cfRule>
  </conditionalFormatting>
  <conditionalFormatting sqref="I3:I48">
    <cfRule type="cellIs" dxfId="509" priority="47" operator="lessThan">
      <formula>0</formula>
    </cfRule>
    <cfRule type="cellIs" dxfId="508" priority="48" operator="lessThan">
      <formula>0</formula>
    </cfRule>
  </conditionalFormatting>
  <hyperlinks>
    <hyperlink ref="E1" location="H!A1" display="Home"/>
    <hyperlink ref="D1" location="'3'!D1" display="←"/>
    <hyperlink ref="F1" location="'5'!F1" display="→"/>
  </hyperlinks>
  <pageMargins left="0.7" right="0.7" top="0.75" bottom="0.75" header="0.3" footer="0.3"/>
  <pageSetup orientation="portrait" verticalDpi="0" r:id="rId1"/>
  <drawing r:id="rId2"/>
  <tableParts count="1"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D3" sqref="D3"/>
    </sheetView>
  </sheetViews>
  <sheetFormatPr defaultRowHeight="14.5"/>
  <cols>
    <col min="1" max="1" width="26.7265625" bestFit="1" customWidth="1"/>
    <col min="2" max="2" width="55.54296875" bestFit="1" customWidth="1"/>
    <col min="3" max="3" width="10.453125" customWidth="1"/>
    <col min="4" max="9" width="12.7265625" customWidth="1"/>
  </cols>
  <sheetData>
    <row r="1" spans="1:12" ht="18.5">
      <c r="A1" s="23" t="str">
        <f>H!A6</f>
        <v>5th April 2025</v>
      </c>
      <c r="B1" s="24"/>
      <c r="C1" s="24"/>
      <c r="D1" s="22" t="s">
        <v>16</v>
      </c>
      <c r="E1" s="22" t="s">
        <v>9</v>
      </c>
      <c r="F1" s="22" t="s">
        <v>17</v>
      </c>
    </row>
    <row r="2" spans="1:12" ht="31">
      <c r="A2" s="1" t="s">
        <v>0</v>
      </c>
      <c r="B2" s="2" t="s">
        <v>1</v>
      </c>
      <c r="C2" s="2" t="s">
        <v>2</v>
      </c>
      <c r="D2" s="2" t="s">
        <v>3</v>
      </c>
      <c r="E2" s="3" t="s">
        <v>5</v>
      </c>
      <c r="F2" s="3" t="s">
        <v>4</v>
      </c>
      <c r="G2" s="4" t="s">
        <v>6</v>
      </c>
      <c r="H2" s="4" t="s">
        <v>7</v>
      </c>
      <c r="I2" s="3" t="s">
        <v>8</v>
      </c>
    </row>
    <row r="3" spans="1:12">
      <c r="A3" s="11" t="str">
        <f>Table333456789101217[[#This Row],[Carrier]]</f>
        <v>Blaze</v>
      </c>
      <c r="B3" s="5" t="str">
        <f>Table333456789101217[[#This Row],[IP]]</f>
        <v>8.12.34.56/48.163.17.845/60.502.86.203/191.45.28.14</v>
      </c>
      <c r="C3" s="6" t="str">
        <f>Table333456789101217[[#This Row],[Carrier Code]]</f>
        <v>BZ</v>
      </c>
      <c r="D3" s="53">
        <v>0</v>
      </c>
      <c r="E3" s="53">
        <v>0</v>
      </c>
      <c r="F3" s="18">
        <f>Table333456[[#This Row],[Company Panel]]+Table33345[[#This Row],[MTD Company]]</f>
        <v>0</v>
      </c>
      <c r="G3" s="18">
        <f>Table333456[[#This Row],[Our Panel]]+Table33345[[#This Row],[MTD Panel]]</f>
        <v>0</v>
      </c>
      <c r="H3" s="13">
        <f>D3-E3</f>
        <v>0</v>
      </c>
      <c r="I3" s="13">
        <f t="shared" ref="I3:I30" si="0">F3-G3</f>
        <v>0</v>
      </c>
    </row>
    <row r="4" spans="1:12">
      <c r="A4" s="11" t="str">
        <f>Table333456789101217[[#This Row],[Carrier]]</f>
        <v>Titan</v>
      </c>
      <c r="B4" s="5" t="str">
        <f>Table333456789101217[[#This Row],[IP]]</f>
        <v>123.45.67.89/123.45.67.93/203.24.101.65</v>
      </c>
      <c r="C4" s="6" t="str">
        <f>Table333456789101217[[#This Row],[Carrier Code]]</f>
        <v>TI</v>
      </c>
      <c r="D4" s="53">
        <v>18.533333333333335</v>
      </c>
      <c r="E4" s="53">
        <v>18.533333333333335</v>
      </c>
      <c r="F4" s="18">
        <f>Table333456[[#This Row],[Company Panel]]+Table33345[[#This Row],[MTD Company]]</f>
        <v>43.116666666666674</v>
      </c>
      <c r="G4" s="18">
        <f>Table333456[[#This Row],[Our Panel]]+Table33345[[#This Row],[MTD Panel]]</f>
        <v>43.116666666666674</v>
      </c>
      <c r="H4" s="13">
        <f t="shared" ref="H4:H30" si="1">D4-E4</f>
        <v>0</v>
      </c>
      <c r="I4" s="13">
        <f t="shared" si="0"/>
        <v>0</v>
      </c>
      <c r="L4" s="9"/>
    </row>
    <row r="5" spans="1:12">
      <c r="A5" s="11" t="str">
        <f>Table333456789101217[[#This Row],[Carrier]]</f>
        <v>Hollow</v>
      </c>
      <c r="B5" s="5" t="str">
        <f>Table333456789101217[[#This Row],[IP]]</f>
        <v>204.56.78.100/204.56.57.169/52.94.101.12</v>
      </c>
      <c r="C5" s="6" t="str">
        <f>Table333456789101217[[#This Row],[Carrier Code]]</f>
        <v>HO</v>
      </c>
      <c r="D5" s="53">
        <v>0</v>
      </c>
      <c r="E5" s="53">
        <v>0</v>
      </c>
      <c r="F5" s="18">
        <f>Table333456[[#This Row],[Company Panel]]+Table33345[[#This Row],[MTD Company]]</f>
        <v>0</v>
      </c>
      <c r="G5" s="18">
        <f>Table333456[[#This Row],[Our Panel]]+Table33345[[#This Row],[MTD Panel]]</f>
        <v>0</v>
      </c>
      <c r="H5" s="13">
        <f t="shared" si="1"/>
        <v>0</v>
      </c>
      <c r="I5" s="13">
        <f t="shared" si="0"/>
        <v>0</v>
      </c>
    </row>
    <row r="6" spans="1:12">
      <c r="A6" s="11" t="str">
        <f>Table333456789101217[[#This Row],[Carrier]]</f>
        <v>Prism</v>
      </c>
      <c r="B6" s="5" t="str">
        <f>Table333456789101217[[#This Row],[IP]]</f>
        <v>35.118.22.45/137.63.112.25</v>
      </c>
      <c r="C6" s="6" t="str">
        <f>Table333456789101217[[#This Row],[Carrier Code]]</f>
        <v>PS</v>
      </c>
      <c r="D6" s="53">
        <v>12469.85</v>
      </c>
      <c r="E6" s="53">
        <v>12469.85</v>
      </c>
      <c r="F6" s="18">
        <f>Table333456[[#This Row],[Company Panel]]+Table33345[[#This Row],[MTD Company]]</f>
        <v>23710.916666666668</v>
      </c>
      <c r="G6" s="18">
        <f>Table333456[[#This Row],[Our Panel]]+Table33345[[#This Row],[MTD Panel]]</f>
        <v>23710.916666666668</v>
      </c>
      <c r="H6" s="13">
        <f t="shared" si="1"/>
        <v>0</v>
      </c>
      <c r="I6" s="13">
        <f t="shared" si="0"/>
        <v>0</v>
      </c>
    </row>
    <row r="7" spans="1:12">
      <c r="A7" s="11" t="str">
        <f>Table333456789101217[[#This Row],[Carrier]]</f>
        <v>Echo</v>
      </c>
      <c r="B7" s="5" t="str">
        <f>Table333456789101217[[#This Row],[IP]]</f>
        <v>66.89.101.10/66.89.101.19/66.89.101.23/66.89.101.45/66.89.101.81/85.21.34.99</v>
      </c>
      <c r="C7" s="6" t="str">
        <f>Table333456789101217[[#This Row],[Carrier Code]]</f>
        <v>EC</v>
      </c>
      <c r="D7" s="53">
        <v>1.1166666666666667</v>
      </c>
      <c r="E7" s="53">
        <v>1.1166666666666667</v>
      </c>
      <c r="F7" s="18">
        <f>Table333456[[#This Row],[Company Panel]]+Table33345[[#This Row],[MTD Company]]</f>
        <v>6.8000000000000007</v>
      </c>
      <c r="G7" s="18">
        <f>Table333456[[#This Row],[Our Panel]]+Table33345[[#This Row],[MTD Panel]]</f>
        <v>6.8000000000000007</v>
      </c>
      <c r="H7" s="13">
        <f t="shared" si="1"/>
        <v>0</v>
      </c>
      <c r="I7" s="13">
        <f t="shared" si="0"/>
        <v>0</v>
      </c>
    </row>
    <row r="8" spans="1:12">
      <c r="A8" s="11" t="str">
        <f>Table333456789101217[[#This Row],[Carrier]]</f>
        <v>Strike</v>
      </c>
      <c r="B8" s="5" t="str">
        <f>Table333456789101217[[#This Row],[IP]]</f>
        <v>100.200.150.3/100.200.165.38/41.102.90.78</v>
      </c>
      <c r="C8" s="6" t="str">
        <f>Table333456789101217[[#This Row],[Carrier Code]]</f>
        <v>ST</v>
      </c>
      <c r="D8" s="53">
        <v>70.733333333333334</v>
      </c>
      <c r="E8" s="53">
        <v>70.733333333333334</v>
      </c>
      <c r="F8" s="18">
        <f>Table333456[[#This Row],[Company Panel]]+Table33345[[#This Row],[MTD Company]]</f>
        <v>479.95</v>
      </c>
      <c r="G8" s="18">
        <f>Table333456[[#This Row],[Our Panel]]+Table33345[[#This Row],[MTD Panel]]</f>
        <v>479.95</v>
      </c>
      <c r="H8" s="13">
        <f t="shared" si="1"/>
        <v>0</v>
      </c>
      <c r="I8" s="13">
        <f t="shared" si="0"/>
        <v>0</v>
      </c>
      <c r="L8" s="9"/>
    </row>
    <row r="9" spans="1:12">
      <c r="A9" s="11" t="str">
        <f>Table333456789101217[[#This Row],[Carrier]]</f>
        <v>Blunt</v>
      </c>
      <c r="B9" s="5" t="str">
        <f>Table333456789101217[[#This Row],[IP]]</f>
        <v>52.28.191.25/52.28.191.38/52.28.191.24/61.110.23.45</v>
      </c>
      <c r="C9" s="6" t="str">
        <f>Table333456789101217[[#This Row],[Carrier Code]]</f>
        <v>BL</v>
      </c>
      <c r="D9" s="53">
        <v>27.4</v>
      </c>
      <c r="E9" s="53">
        <v>27.4</v>
      </c>
      <c r="F9" s="18">
        <f>Table333456[[#This Row],[Company Panel]]+Table33345[[#This Row],[MTD Company]]</f>
        <v>314.13333333333333</v>
      </c>
      <c r="G9" s="18">
        <f>Table333456[[#This Row],[Our Panel]]+Table33345[[#This Row],[MTD Panel]]</f>
        <v>314.13333333333333</v>
      </c>
      <c r="H9" s="13">
        <f t="shared" si="1"/>
        <v>0</v>
      </c>
      <c r="I9" s="13">
        <f t="shared" si="0"/>
        <v>0</v>
      </c>
    </row>
    <row r="10" spans="1:12">
      <c r="A10" s="11" t="str">
        <f>Table333456789101217[[#This Row],[Carrier]]</f>
        <v>Law</v>
      </c>
      <c r="B10" s="5" t="str">
        <f>Table333456789101217[[#This Row],[IP]]</f>
        <v>77.88.99.21/77.88.99.88/77.88.99.94/110.56.211.7</v>
      </c>
      <c r="C10" s="6" t="str">
        <f>Table333456789101217[[#This Row],[Carrier Code]]</f>
        <v>LA</v>
      </c>
      <c r="D10" s="53">
        <v>0</v>
      </c>
      <c r="E10" s="53">
        <v>0</v>
      </c>
      <c r="F10" s="18">
        <f>Table333456[[#This Row],[Company Panel]]+Table33345[[#This Row],[MTD Company]]</f>
        <v>0</v>
      </c>
      <c r="G10" s="18">
        <f>Table333456[[#This Row],[Our Panel]]+Table33345[[#This Row],[MTD Panel]]</f>
        <v>0</v>
      </c>
      <c r="H10" s="13">
        <f t="shared" si="1"/>
        <v>0</v>
      </c>
      <c r="I10" s="13">
        <f t="shared" si="0"/>
        <v>0</v>
      </c>
    </row>
    <row r="11" spans="1:12">
      <c r="A11" s="11" t="str">
        <f>Table333456789101217[[#This Row],[Carrier]]</f>
        <v>Pulse</v>
      </c>
      <c r="B11" s="5" t="str">
        <f>Table333456789101217[[#This Row],[IP]]</f>
        <v>198.51.100.130/31.725.16.608/66.59.61.503/167.34.122.90</v>
      </c>
      <c r="C11" s="6" t="str">
        <f>Table333456789101217[[#This Row],[Carrier Code]]</f>
        <v>PU</v>
      </c>
      <c r="D11" s="53">
        <v>0</v>
      </c>
      <c r="E11" s="53">
        <v>0</v>
      </c>
      <c r="F11" s="18">
        <f>Table333456[[#This Row],[Company Panel]]+Table33345[[#This Row],[MTD Company]]</f>
        <v>0</v>
      </c>
      <c r="G11" s="18">
        <f>Table333456[[#This Row],[Our Panel]]+Table33345[[#This Row],[MTD Panel]]</f>
        <v>0</v>
      </c>
      <c r="H11" s="13">
        <f t="shared" si="1"/>
        <v>0</v>
      </c>
      <c r="I11" s="13">
        <f t="shared" si="0"/>
        <v>0</v>
      </c>
    </row>
    <row r="12" spans="1:12">
      <c r="A12" s="11" t="str">
        <f>Table333456789101217[[#This Row],[Carrier]]</f>
        <v>Phantom</v>
      </c>
      <c r="B12" s="5" t="str">
        <f>Table333456789101217[[#This Row],[IP]]</f>
        <v>141.15.210.67/141.15.42.82/179.62.211.4</v>
      </c>
      <c r="C12" s="6" t="str">
        <f>Table333456789101217[[#This Row],[Carrier Code]]</f>
        <v>PH</v>
      </c>
      <c r="D12" s="53">
        <v>1.25</v>
      </c>
      <c r="E12" s="53">
        <v>1.25</v>
      </c>
      <c r="F12" s="18">
        <f>Table333456[[#This Row],[Company Panel]]+Table33345[[#This Row],[MTD Company]]</f>
        <v>28.133333333333333</v>
      </c>
      <c r="G12" s="18">
        <f>Table333456[[#This Row],[Our Panel]]+Table33345[[#This Row],[MTD Panel]]</f>
        <v>28.133333333333333</v>
      </c>
      <c r="H12" s="13">
        <f t="shared" si="1"/>
        <v>0</v>
      </c>
      <c r="I12" s="13">
        <f t="shared" si="0"/>
        <v>0</v>
      </c>
    </row>
    <row r="13" spans="1:12">
      <c r="A13" s="11" t="str">
        <f>Table333456789101217[[#This Row],[Carrier]]</f>
        <v>Dragon</v>
      </c>
      <c r="B13" s="5" t="str">
        <f>Table333456789101217[[#This Row],[IP]]</f>
        <v>12.34.56.78/12.34.56.128/200.180.245.18</v>
      </c>
      <c r="C13" s="6" t="str">
        <f>Table333456789101217[[#This Row],[Carrier Code]]</f>
        <v>DG</v>
      </c>
      <c r="D13" s="53">
        <v>0</v>
      </c>
      <c r="E13" s="53">
        <v>0</v>
      </c>
      <c r="F13" s="18">
        <f>Table333456[[#This Row],[Company Panel]]+Table33345[[#This Row],[MTD Company]]</f>
        <v>0</v>
      </c>
      <c r="G13" s="18">
        <f>Table333456[[#This Row],[Our Panel]]+Table33345[[#This Row],[MTD Panel]]</f>
        <v>0</v>
      </c>
      <c r="H13" s="13">
        <f t="shared" si="1"/>
        <v>0</v>
      </c>
      <c r="I13" s="13">
        <f t="shared" si="0"/>
        <v>0</v>
      </c>
    </row>
    <row r="14" spans="1:12">
      <c r="A14" s="11" t="str">
        <f>Table333456789101217[[#This Row],[Carrier]]</f>
        <v>Tempest</v>
      </c>
      <c r="B14" s="5" t="str">
        <f>Table333456789101217[[#This Row],[IP]]</f>
        <v>59.144.223.88/55.39.99.60</v>
      </c>
      <c r="C14" s="6" t="str">
        <f>Table333456789101217[[#This Row],[Carrier Code]]</f>
        <v>TE</v>
      </c>
      <c r="D14" s="53">
        <v>0</v>
      </c>
      <c r="E14" s="53">
        <v>0</v>
      </c>
      <c r="F14" s="18">
        <f>Table333456[[#This Row],[Company Panel]]+Table33345[[#This Row],[MTD Company]]</f>
        <v>0</v>
      </c>
      <c r="G14" s="18">
        <f>Table333456[[#This Row],[Our Panel]]+Table33345[[#This Row],[MTD Panel]]</f>
        <v>0</v>
      </c>
      <c r="H14" s="13">
        <f t="shared" si="1"/>
        <v>0</v>
      </c>
      <c r="I14" s="13">
        <f t="shared" si="0"/>
        <v>0</v>
      </c>
    </row>
    <row r="15" spans="1:12">
      <c r="A15" s="11" t="str">
        <f>Table333456789101217[[#This Row],[Carrier]]</f>
        <v>Shadow</v>
      </c>
      <c r="B15" s="5" t="str">
        <f>Table333456789101217[[#This Row],[IP]]</f>
        <v>175.45.112.100/25.851.31.153/39.80.220.100</v>
      </c>
      <c r="C15" s="6" t="str">
        <f>Table333456789101217[[#This Row],[Carrier Code]]</f>
        <v>SH</v>
      </c>
      <c r="D15" s="53">
        <v>0</v>
      </c>
      <c r="E15" s="53">
        <v>0</v>
      </c>
      <c r="F15" s="18">
        <f>Table333456[[#This Row],[Company Panel]]+Table33345[[#This Row],[MTD Company]]</f>
        <v>0</v>
      </c>
      <c r="G15" s="18">
        <f>Table333456[[#This Row],[Our Panel]]+Table33345[[#This Row],[MTD Panel]]</f>
        <v>0</v>
      </c>
      <c r="H15" s="13">
        <f t="shared" si="1"/>
        <v>0</v>
      </c>
      <c r="I15" s="13">
        <f t="shared" si="0"/>
        <v>0</v>
      </c>
    </row>
    <row r="16" spans="1:12">
      <c r="A16" s="11" t="str">
        <f>Table333456789101217[[#This Row],[Carrier]]</f>
        <v>Cyclone</v>
      </c>
      <c r="B16" s="5" t="str">
        <f>Table333456789101217[[#This Row],[IP]]</f>
        <v>150.13.75.190/16.160.89.512/72.11.97.34</v>
      </c>
      <c r="C16" s="6" t="str">
        <f>Table333456789101217[[#This Row],[Carrier Code]]</f>
        <v>CY</v>
      </c>
      <c r="D16" s="53">
        <v>0</v>
      </c>
      <c r="E16" s="53">
        <v>0</v>
      </c>
      <c r="F16" s="18">
        <f>Table333456[[#This Row],[Company Panel]]+Table33345[[#This Row],[MTD Company]]</f>
        <v>0</v>
      </c>
      <c r="G16" s="18">
        <f>Table333456[[#This Row],[Our Panel]]+Table33345[[#This Row],[MTD Panel]]</f>
        <v>0</v>
      </c>
      <c r="H16" s="13">
        <f t="shared" si="1"/>
        <v>0</v>
      </c>
      <c r="I16" s="13">
        <f t="shared" si="0"/>
        <v>0</v>
      </c>
    </row>
    <row r="17" spans="1:9">
      <c r="A17" s="11" t="str">
        <f>Table333456789101217[[#This Row],[Carrier]]</f>
        <v>Reaver</v>
      </c>
      <c r="B17" s="5" t="str">
        <f>Table333456789101217[[#This Row],[IP]]</f>
        <v>203.0.113.44/188.17.56.210</v>
      </c>
      <c r="C17" s="6" t="str">
        <f>Table333456789101217[[#This Row],[Carrier Code]]</f>
        <v>RE</v>
      </c>
      <c r="D17" s="53">
        <v>0</v>
      </c>
      <c r="E17" s="53">
        <v>0</v>
      </c>
      <c r="F17" s="18">
        <f>Table333456[[#This Row],[Company Panel]]+Table33345[[#This Row],[MTD Company]]</f>
        <v>0</v>
      </c>
      <c r="G17" s="18">
        <f>Table333456[[#This Row],[Our Panel]]+Table33345[[#This Row],[MTD Panel]]</f>
        <v>0</v>
      </c>
      <c r="H17" s="13">
        <f t="shared" si="1"/>
        <v>0</v>
      </c>
      <c r="I17" s="13">
        <f t="shared" si="0"/>
        <v>0</v>
      </c>
    </row>
    <row r="18" spans="1:9">
      <c r="A18" s="11" t="str">
        <f>Table333456789101217[[#This Row],[Carrier]]</f>
        <v>Forge</v>
      </c>
      <c r="B18" s="5" t="str">
        <f>Table333456789101217[[#This Row],[IP]]</f>
        <v>112.54.89.168/112.54.89.138</v>
      </c>
      <c r="C18" s="6" t="str">
        <f>Table333456789101217[[#This Row],[Carrier Code]]</f>
        <v>FO</v>
      </c>
      <c r="D18" s="53">
        <v>12.266666666666667</v>
      </c>
      <c r="E18" s="53">
        <v>12.266666666666667</v>
      </c>
      <c r="F18" s="18">
        <f>Table333456[[#This Row],[Company Panel]]+Table33345[[#This Row],[MTD Company]]</f>
        <v>144.88333333333335</v>
      </c>
      <c r="G18" s="18">
        <f>Table333456[[#This Row],[Our Panel]]+Table33345[[#This Row],[MTD Panel]]</f>
        <v>144.88333333333335</v>
      </c>
      <c r="H18" s="13">
        <f t="shared" si="1"/>
        <v>0</v>
      </c>
      <c r="I18" s="13">
        <f t="shared" si="0"/>
        <v>0</v>
      </c>
    </row>
    <row r="19" spans="1:9">
      <c r="A19" s="11" t="str">
        <f>Table333456789101217[[#This Row],[Carrier]]</f>
        <v>Ember</v>
      </c>
      <c r="B19" s="5" t="str">
        <f>Table333456789101217[[#This Row],[IP]]</f>
        <v>78.34.90.24/328.56.122.44/142.150.75.22</v>
      </c>
      <c r="C19" s="6" t="str">
        <f>Table333456789101217[[#This Row],[Carrier Code]]</f>
        <v>EM</v>
      </c>
      <c r="D19" s="53">
        <v>0</v>
      </c>
      <c r="E19" s="53">
        <v>0</v>
      </c>
      <c r="F19" s="18">
        <f>Table333456[[#This Row],[Company Panel]]+Table33345[[#This Row],[MTD Company]]</f>
        <v>0</v>
      </c>
      <c r="G19" s="18">
        <f>Table333456[[#This Row],[Our Panel]]+Table33345[[#This Row],[MTD Panel]]</f>
        <v>0</v>
      </c>
      <c r="H19" s="13">
        <f t="shared" si="1"/>
        <v>0</v>
      </c>
      <c r="I19" s="13">
        <f t="shared" si="0"/>
        <v>0</v>
      </c>
    </row>
    <row r="20" spans="1:9">
      <c r="A20" s="11" t="str">
        <f>Table333456789101217[[#This Row],[Carrier]]</f>
        <v>Specter</v>
      </c>
      <c r="B20" s="5" t="str">
        <f>Table333456789101217[[#This Row],[IP]]</f>
        <v>205.60.34.150</v>
      </c>
      <c r="C20" s="6" t="str">
        <f>Table333456789101217[[#This Row],[Carrier Code]]</f>
        <v>SP</v>
      </c>
      <c r="D20" s="53">
        <v>0.11666666666666667</v>
      </c>
      <c r="E20" s="53">
        <v>0.11666666666666667</v>
      </c>
      <c r="F20" s="18">
        <f>Table333456[[#This Row],[Company Panel]]+Table33345[[#This Row],[MTD Company]]</f>
        <v>9.8666666666666671</v>
      </c>
      <c r="G20" s="18">
        <f>Table333456[[#This Row],[Our Panel]]+Table33345[[#This Row],[MTD Panel]]</f>
        <v>9.8666666666666671</v>
      </c>
      <c r="H20" s="13">
        <f t="shared" si="1"/>
        <v>0</v>
      </c>
      <c r="I20" s="13">
        <f t="shared" si="0"/>
        <v>0</v>
      </c>
    </row>
    <row r="21" spans="1:9">
      <c r="A21" s="11" t="str">
        <f>Table333456789101217[[#This Row],[Carrier]]</f>
        <v>Throne</v>
      </c>
      <c r="B21" s="5" t="str">
        <f>Table333456789101217[[#This Row],[IP]]</f>
        <v>54.32.11.90/27.758.27.201/125.150.58.20</v>
      </c>
      <c r="C21" s="6" t="str">
        <f>Table333456789101217[[#This Row],[Carrier Code]]</f>
        <v>TH</v>
      </c>
      <c r="D21" s="53">
        <v>0</v>
      </c>
      <c r="E21" s="53">
        <v>0</v>
      </c>
      <c r="F21" s="18">
        <f>Table333456[[#This Row],[Company Panel]]+Table33345[[#This Row],[MTD Company]]</f>
        <v>0</v>
      </c>
      <c r="G21" s="18">
        <f>Table333456[[#This Row],[Our Panel]]+Table33345[[#This Row],[MTD Panel]]</f>
        <v>0</v>
      </c>
      <c r="H21" s="13">
        <f t="shared" si="1"/>
        <v>0</v>
      </c>
      <c r="I21" s="13">
        <f t="shared" si="0"/>
        <v>0</v>
      </c>
    </row>
    <row r="22" spans="1:9">
      <c r="A22" s="11" t="str">
        <f>Table333456789101217[[#This Row],[Carrier]]</f>
        <v>Arcane</v>
      </c>
      <c r="B22" s="5" t="str">
        <f>Table333456789101217[[#This Row],[IP]]</f>
        <v>212.100.25.78/212.100.25.87</v>
      </c>
      <c r="C22" s="6" t="str">
        <f>Table333456789101217[[#This Row],[Carrier Code]]</f>
        <v>AR</v>
      </c>
      <c r="D22" s="53">
        <v>0</v>
      </c>
      <c r="E22" s="53">
        <v>0</v>
      </c>
      <c r="F22" s="18">
        <f>Table333456[[#This Row],[Company Panel]]+Table33345[[#This Row],[MTD Company]]</f>
        <v>0</v>
      </c>
      <c r="G22" s="18">
        <f>Table333456[[#This Row],[Our Panel]]+Table33345[[#This Row],[MTD Panel]]</f>
        <v>0</v>
      </c>
      <c r="H22" s="13">
        <f t="shared" si="1"/>
        <v>0</v>
      </c>
      <c r="I22" s="13">
        <f t="shared" si="0"/>
        <v>0</v>
      </c>
    </row>
    <row r="23" spans="1:9">
      <c r="A23" s="11" t="str">
        <f>Table333456789101217[[#This Row],[Carrier]]</f>
        <v>Glitch</v>
      </c>
      <c r="B23" s="5" t="str">
        <f>Table333456789101217[[#This Row],[IP]]</f>
        <v>198.204.100.12/198.204.100.34/198.204.100.51</v>
      </c>
      <c r="C23" s="6" t="str">
        <f>Table333456789101217[[#This Row],[Carrier Code]]</f>
        <v>GL</v>
      </c>
      <c r="D23" s="53">
        <v>0</v>
      </c>
      <c r="E23" s="53">
        <v>0</v>
      </c>
      <c r="F23" s="18">
        <f>Table333456[[#This Row],[Company Panel]]+Table33345[[#This Row],[MTD Company]]</f>
        <v>0</v>
      </c>
      <c r="G23" s="18">
        <f>Table333456[[#This Row],[Our Panel]]+Table33345[[#This Row],[MTD Panel]]</f>
        <v>0</v>
      </c>
      <c r="H23" s="13">
        <f t="shared" si="1"/>
        <v>0</v>
      </c>
      <c r="I23" s="13">
        <f t="shared" si="0"/>
        <v>0</v>
      </c>
    </row>
    <row r="24" spans="1:9">
      <c r="A24" s="11" t="str">
        <f>Table333456789101217[[#This Row],[Carrier]]</f>
        <v>Nitro</v>
      </c>
      <c r="B24" s="5" t="str">
        <f>Table333456789101217[[#This Row],[IP]]</f>
        <v>15.150.200.33/119.82.200.100</v>
      </c>
      <c r="C24" s="6" t="str">
        <f>Table333456789101217[[#This Row],[Carrier Code]]</f>
        <v>NI</v>
      </c>
      <c r="D24" s="53">
        <v>0</v>
      </c>
      <c r="E24" s="53">
        <v>0</v>
      </c>
      <c r="F24" s="18">
        <f>Table333456[[#This Row],[Company Panel]]+Table33345[[#This Row],[MTD Company]]</f>
        <v>0</v>
      </c>
      <c r="G24" s="18">
        <f>Table333456[[#This Row],[Our Panel]]+Table33345[[#This Row],[MTD Panel]]</f>
        <v>0</v>
      </c>
      <c r="H24" s="13">
        <f t="shared" si="1"/>
        <v>0</v>
      </c>
      <c r="I24" s="13">
        <f t="shared" si="0"/>
        <v>0</v>
      </c>
    </row>
    <row r="25" spans="1:9">
      <c r="A25" s="11" t="str">
        <f>Table333456789101217[[#This Row],[Carrier]]</f>
        <v>Drip</v>
      </c>
      <c r="B25" s="5" t="str">
        <f>Table333456789101217[[#This Row],[IP]]</f>
        <v>84.13.76.190/90.945.80.11/198.160.234.5</v>
      </c>
      <c r="C25" s="6" t="str">
        <f>Table333456789101217[[#This Row],[Carrier Code]]</f>
        <v>DR</v>
      </c>
      <c r="D25" s="53">
        <v>0</v>
      </c>
      <c r="E25" s="53">
        <v>0</v>
      </c>
      <c r="F25" s="18">
        <f>Table333456[[#This Row],[Company Panel]]+Table33345[[#This Row],[MTD Company]]</f>
        <v>0</v>
      </c>
      <c r="G25" s="18">
        <f>Table333456[[#This Row],[Our Panel]]+Table33345[[#This Row],[MTD Panel]]</f>
        <v>0</v>
      </c>
      <c r="H25" s="13">
        <f t="shared" si="1"/>
        <v>0</v>
      </c>
      <c r="I25" s="13">
        <f t="shared" si="0"/>
        <v>0</v>
      </c>
    </row>
    <row r="26" spans="1:9">
      <c r="A26" s="11" t="str">
        <f>Table333456789101217[[#This Row],[Carrier]]</f>
        <v>Glide</v>
      </c>
      <c r="B26" s="5" t="str">
        <f>Table333456789101217[[#This Row],[IP]]</f>
        <v>120.45.12.25/85.739.221.80/85.739.221.93</v>
      </c>
      <c r="C26" s="6" t="str">
        <f>Table333456789101217[[#This Row],[Carrier Code]]</f>
        <v>GI</v>
      </c>
      <c r="D26" s="53">
        <v>0</v>
      </c>
      <c r="E26" s="53">
        <v>0</v>
      </c>
      <c r="F26" s="18">
        <f>Table333456[[#This Row],[Company Panel]]+Table33345[[#This Row],[MTD Company]]</f>
        <v>0</v>
      </c>
      <c r="G26" s="18">
        <f>Table333456[[#This Row],[Our Panel]]+Table33345[[#This Row],[MTD Panel]]</f>
        <v>0</v>
      </c>
      <c r="H26" s="13">
        <f t="shared" si="1"/>
        <v>0</v>
      </c>
      <c r="I26" s="13">
        <f t="shared" si="0"/>
        <v>0</v>
      </c>
    </row>
    <row r="27" spans="1:9">
      <c r="A27" s="11" t="str">
        <f>Table333456789101217[[#This Row],[Carrier]]</f>
        <v>Orbit</v>
      </c>
      <c r="B27" s="5" t="str">
        <f>Table333456789101217[[#This Row],[IP]]</f>
        <v>176.98.54.112/60.110.154.91/60.110.155.162</v>
      </c>
      <c r="C27" s="6" t="str">
        <f>Table333456789101217[[#This Row],[Carrier Code]]</f>
        <v>OR</v>
      </c>
      <c r="D27" s="53">
        <v>0</v>
      </c>
      <c r="E27" s="53">
        <v>0</v>
      </c>
      <c r="F27" s="18">
        <f>Table333456[[#This Row],[Company Panel]]+Table33345[[#This Row],[MTD Company]]</f>
        <v>0</v>
      </c>
      <c r="G27" s="18">
        <f>Table333456[[#This Row],[Our Panel]]+Table33345[[#This Row],[MTD Panel]]</f>
        <v>0</v>
      </c>
      <c r="H27" s="13">
        <f t="shared" si="1"/>
        <v>0</v>
      </c>
      <c r="I27" s="13">
        <f t="shared" si="0"/>
        <v>0</v>
      </c>
    </row>
    <row r="28" spans="1:9">
      <c r="A28" s="11" t="str">
        <f>Table333456789101217[[#This Row],[Carrier]]</f>
        <v>Thunder</v>
      </c>
      <c r="B28" s="5" t="str">
        <f>Table333456789101217[[#This Row],[IP]]</f>
        <v>67.102.200.9/81.905.48.847/143.235.100.34</v>
      </c>
      <c r="C28" s="6" t="str">
        <f>Table333456789101217[[#This Row],[Carrier Code]]</f>
        <v>TU</v>
      </c>
      <c r="D28" s="53">
        <v>33.216666666666669</v>
      </c>
      <c r="E28" s="53">
        <v>33.216666666666669</v>
      </c>
      <c r="F28" s="18">
        <f>Table333456[[#This Row],[Company Panel]]+Table33345[[#This Row],[MTD Company]]</f>
        <v>106.18333333333334</v>
      </c>
      <c r="G28" s="18">
        <f>Table333456[[#This Row],[Our Panel]]+Table33345[[#This Row],[MTD Panel]]</f>
        <v>106.18333333333334</v>
      </c>
      <c r="H28" s="13">
        <f t="shared" si="1"/>
        <v>0</v>
      </c>
      <c r="I28" s="13">
        <f t="shared" si="0"/>
        <v>0</v>
      </c>
    </row>
    <row r="29" spans="1:9">
      <c r="A29" s="11" t="str">
        <f>Table333456789101217[[#This Row],[Carrier]]</f>
        <v>Glimmer</v>
      </c>
      <c r="B29" s="5" t="str">
        <f>Table333456789101217[[#This Row],[IP]]</f>
        <v>99.22.211.100/71.54.85.344/71.54.85.218</v>
      </c>
      <c r="C29" s="6" t="str">
        <f>Table333456789101217[[#This Row],[Carrier Code]]</f>
        <v>GM</v>
      </c>
      <c r="D29" s="53">
        <v>0</v>
      </c>
      <c r="E29" s="53">
        <v>0</v>
      </c>
      <c r="F29" s="18">
        <f>Table333456[[#This Row],[Company Panel]]+Table33345[[#This Row],[MTD Company]]</f>
        <v>0</v>
      </c>
      <c r="G29" s="18">
        <f>Table333456[[#This Row],[Our Panel]]+Table33345[[#This Row],[MTD Panel]]</f>
        <v>0</v>
      </c>
      <c r="H29" s="13">
        <f t="shared" si="1"/>
        <v>0</v>
      </c>
      <c r="I29" s="13">
        <f t="shared" si="0"/>
        <v>0</v>
      </c>
    </row>
    <row r="30" spans="1:9">
      <c r="A30" s="11" t="str">
        <f>Table333456789101217[[#This Row],[Carrier]]</f>
        <v>Fragment</v>
      </c>
      <c r="B30" s="5" t="str">
        <f>Table333456789101217[[#This Row],[IP]]</f>
        <v>203.0.113.56/195.56.101.10</v>
      </c>
      <c r="C30" s="6" t="str">
        <f>Table333456789101217[[#This Row],[Carrier Code]]</f>
        <v>FR</v>
      </c>
      <c r="D30" s="53">
        <v>0</v>
      </c>
      <c r="E30" s="53">
        <v>0</v>
      </c>
      <c r="F30" s="18">
        <f>Table333456[[#This Row],[Company Panel]]+Table33345[[#This Row],[MTD Company]]</f>
        <v>0</v>
      </c>
      <c r="G30" s="18">
        <f>Table333456[[#This Row],[Our Panel]]+Table33345[[#This Row],[MTD Panel]]</f>
        <v>0</v>
      </c>
      <c r="H30" s="13">
        <f t="shared" si="1"/>
        <v>0</v>
      </c>
      <c r="I30" s="13">
        <f t="shared" si="0"/>
        <v>0</v>
      </c>
    </row>
    <row r="31" spans="1:9">
      <c r="A31" s="11" t="str">
        <f>Table333456789101217[[#This Row],[Carrier]]</f>
        <v>Dusk</v>
      </c>
      <c r="B31" s="5" t="str">
        <f>Table333456789101217[[#This Row],[IP]]</f>
        <v>33.44.55.66/33.44.55.84/33.44.55.122/214.68.90.122</v>
      </c>
      <c r="C31" s="6" t="str">
        <f>Table333456789101217[[#This Row],[Carrier Code]]</f>
        <v>DK</v>
      </c>
      <c r="D31" s="53">
        <v>0</v>
      </c>
      <c r="E31" s="53">
        <v>0</v>
      </c>
      <c r="F31" s="18">
        <f>Table333456[[#This Row],[Company Panel]]+Table33345[[#This Row],[MTD Company]]</f>
        <v>0</v>
      </c>
      <c r="G31" s="18">
        <f>Table333456[[#This Row],[Our Panel]]+Table33345[[#This Row],[MTD Panel]]</f>
        <v>0</v>
      </c>
      <c r="H31" s="13">
        <f t="shared" ref="H31:H36" si="2">D31-E31</f>
        <v>0</v>
      </c>
      <c r="I31" s="13">
        <f t="shared" ref="I31:I36" si="3">F31-G31</f>
        <v>0</v>
      </c>
    </row>
    <row r="32" spans="1:9">
      <c r="A32" s="11" t="str">
        <f>Table333456789101217[[#This Row],[Carrier]]</f>
        <v>Breeze</v>
      </c>
      <c r="B32" s="5" t="str">
        <f>Table333456789101217[[#This Row],[IP]]</f>
        <v>199.123.87.45/199.123.34.52/77.189.22.56</v>
      </c>
      <c r="C32" s="6" t="str">
        <f>Table333456789101217[[#This Row],[Carrier Code]]</f>
        <v>BR</v>
      </c>
      <c r="D32" s="53">
        <v>0</v>
      </c>
      <c r="E32" s="53">
        <v>0</v>
      </c>
      <c r="F32" s="18">
        <f>Table333456[[#This Row],[Company Panel]]+Table33345[[#This Row],[MTD Company]]</f>
        <v>0</v>
      </c>
      <c r="G32" s="18">
        <f>Table333456[[#This Row],[Our Panel]]+Table33345[[#This Row],[MTD Panel]]</f>
        <v>0</v>
      </c>
      <c r="H32" s="13">
        <f t="shared" si="2"/>
        <v>0</v>
      </c>
      <c r="I32" s="13">
        <f t="shared" si="3"/>
        <v>0</v>
      </c>
    </row>
    <row r="33" spans="1:9">
      <c r="A33" s="11" t="str">
        <f>Table333456789101217[[#This Row],[Carrier]]</f>
        <v>Clutch</v>
      </c>
      <c r="B33" s="5" t="str">
        <f>Table333456789101217[[#This Row],[IP]]</f>
        <v>55.66.77.88/84.126.79.28/152.233.45.11</v>
      </c>
      <c r="C33" s="6" t="str">
        <f>Table333456789101217[[#This Row],[Carrier Code]]</f>
        <v>CL</v>
      </c>
      <c r="D33" s="53">
        <v>0</v>
      </c>
      <c r="E33" s="53">
        <v>0</v>
      </c>
      <c r="F33" s="18">
        <f>Table333456[[#This Row],[Company Panel]]+Table33345[[#This Row],[MTD Company]]</f>
        <v>0</v>
      </c>
      <c r="G33" s="18">
        <f>Table333456[[#This Row],[Our Panel]]+Table33345[[#This Row],[MTD Panel]]</f>
        <v>0</v>
      </c>
      <c r="H33" s="13">
        <f t="shared" si="2"/>
        <v>0</v>
      </c>
      <c r="I33" s="13">
        <f t="shared" si="3"/>
        <v>0</v>
      </c>
    </row>
    <row r="34" spans="1:9">
      <c r="A34" s="11" t="str">
        <f>Table333456789101217[[#This Row],[Carrier]]</f>
        <v>Haze</v>
      </c>
      <c r="B34" s="5" t="str">
        <f>Table333456789101217[[#This Row],[IP]]</f>
        <v>230.111.44.56</v>
      </c>
      <c r="C34" s="6" t="str">
        <f>Table333456789101217[[#This Row],[Carrier Code]]</f>
        <v>HZ</v>
      </c>
      <c r="D34" s="53">
        <v>0</v>
      </c>
      <c r="E34" s="53">
        <v>0</v>
      </c>
      <c r="F34" s="18">
        <f>Table333456[[#This Row],[Company Panel]]+Table33345[[#This Row],[MTD Company]]</f>
        <v>0</v>
      </c>
      <c r="G34" s="18">
        <f>Table333456[[#This Row],[Our Panel]]+Table33345[[#This Row],[MTD Panel]]</f>
        <v>0</v>
      </c>
      <c r="H34" s="13">
        <f t="shared" si="2"/>
        <v>0</v>
      </c>
      <c r="I34" s="13">
        <f t="shared" si="3"/>
        <v>0</v>
      </c>
    </row>
    <row r="35" spans="1:9">
      <c r="A35" s="11" t="str">
        <f>Table333456789101217[[#This Row],[Carrier]]</f>
        <v>Vault</v>
      </c>
      <c r="B35" s="5" t="str">
        <f>Table333456789101217[[#This Row],[IP]]</f>
        <v>213.189.94.5/213.189.94.7/111.180.64.222</v>
      </c>
      <c r="C35" s="6" t="str">
        <f>Table333456789101217[[#This Row],[Carrier Code]]</f>
        <v>VA</v>
      </c>
      <c r="D35" s="53">
        <v>0</v>
      </c>
      <c r="E35" s="53">
        <v>0</v>
      </c>
      <c r="F35" s="18">
        <f>Table333456[[#This Row],[Company Panel]]+Table33345[[#This Row],[MTD Company]]</f>
        <v>0</v>
      </c>
      <c r="G35" s="18">
        <f>Table333456[[#This Row],[Our Panel]]+Table33345[[#This Row],[MTD Panel]]</f>
        <v>0</v>
      </c>
      <c r="H35" s="13">
        <f t="shared" si="2"/>
        <v>0</v>
      </c>
      <c r="I35" s="13">
        <f t="shared" si="3"/>
        <v>0</v>
      </c>
    </row>
    <row r="36" spans="1:9">
      <c r="A36" s="11" t="str">
        <f>Table333456789101217[[#This Row],[Carrier]]</f>
        <v>Scatter</v>
      </c>
      <c r="B36" s="5" t="str">
        <f>Table333456789101217[[#This Row],[IP]]</f>
        <v>14.123.45.67/168.251.90.15</v>
      </c>
      <c r="C36" s="6" t="str">
        <f>Table333456789101217[[#This Row],[Carrier Code]]</f>
        <v>SC</v>
      </c>
      <c r="D36" s="53">
        <v>9.1999999999999993</v>
      </c>
      <c r="E36" s="53">
        <v>9.1999999999999993</v>
      </c>
      <c r="F36" s="18">
        <f>Table333456[[#This Row],[Company Panel]]+Table33345[[#This Row],[MTD Company]]</f>
        <v>40.066666666666663</v>
      </c>
      <c r="G36" s="18">
        <f>Table333456[[#This Row],[Our Panel]]+Table33345[[#This Row],[MTD Panel]]</f>
        <v>40.066666666666663</v>
      </c>
      <c r="H36" s="13">
        <f t="shared" si="2"/>
        <v>0</v>
      </c>
      <c r="I36" s="13">
        <f t="shared" si="3"/>
        <v>0</v>
      </c>
    </row>
    <row r="37" spans="1:9">
      <c r="A37" s="11" t="str">
        <f>Table333456789101217[[#This Row],[Carrier]]</f>
        <v>Hammer</v>
      </c>
      <c r="B37" s="5" t="str">
        <f>Table333456789101217[[#This Row],[IP]]</f>
        <v>200.111.78.9/200.111.236.62/200.111.823.89/137.79.48.56</v>
      </c>
      <c r="C37" s="6" t="str">
        <f>Table333456789101217[[#This Row],[Carrier Code]]</f>
        <v>HA</v>
      </c>
      <c r="D37" s="53">
        <v>0</v>
      </c>
      <c r="E37" s="53">
        <v>0</v>
      </c>
      <c r="F37" s="18">
        <f>Table333456[[#This Row],[Company Panel]]+Table33345[[#This Row],[MTD Company]]</f>
        <v>0</v>
      </c>
      <c r="G37" s="18">
        <f>Table333456[[#This Row],[Our Panel]]+Table33345[[#This Row],[MTD Panel]]</f>
        <v>0</v>
      </c>
      <c r="H37" s="72">
        <f t="shared" ref="H37:H44" si="4">D37-E37</f>
        <v>0</v>
      </c>
      <c r="I37" s="72">
        <f t="shared" ref="I37:I44" si="5">F37-G37</f>
        <v>0</v>
      </c>
    </row>
    <row r="38" spans="1:9">
      <c r="A38" s="11" t="str">
        <f>Table333456789101217[[#This Row],[Carrier]]</f>
        <v>Smudge</v>
      </c>
      <c r="B38" s="5" t="str">
        <f>Table333456789101217[[#This Row],[IP]]</f>
        <v>88.99.233.56/54.71.99.234</v>
      </c>
      <c r="C38" s="6" t="str">
        <f>Table333456789101217[[#This Row],[Carrier Code]]</f>
        <v>SM</v>
      </c>
      <c r="D38" s="53">
        <v>20.566666666666666</v>
      </c>
      <c r="E38" s="53">
        <v>20.566666666666666</v>
      </c>
      <c r="F38" s="18">
        <f>Table333456[[#This Row],[Company Panel]]+Table33345[[#This Row],[MTD Company]]</f>
        <v>41.6</v>
      </c>
      <c r="G38" s="18">
        <f>Table333456[[#This Row],[Our Panel]]+Table33345[[#This Row],[MTD Panel]]</f>
        <v>41.6</v>
      </c>
      <c r="H38" s="72">
        <f t="shared" si="4"/>
        <v>0</v>
      </c>
      <c r="I38" s="72">
        <f t="shared" si="5"/>
        <v>0</v>
      </c>
    </row>
    <row r="39" spans="1:9">
      <c r="A39" s="11" t="str">
        <f>Table333456789101217[[#This Row],[Carrier]]</f>
        <v>Quirk</v>
      </c>
      <c r="B39" s="5" t="str">
        <f>Table333456789101217[[#This Row],[IP]]</f>
        <v>62.45.100.31/62.45.100.15/62.45.100.65/211.95.102.6</v>
      </c>
      <c r="C39" s="6" t="str">
        <f>Table333456789101217[[#This Row],[Carrier Code]]</f>
        <v>QU</v>
      </c>
      <c r="D39" s="53">
        <v>831.7833333333333</v>
      </c>
      <c r="E39" s="53">
        <v>831.7833333333333</v>
      </c>
      <c r="F39" s="18">
        <f>Table333456[[#This Row],[Company Panel]]+Table33345[[#This Row],[MTD Company]]</f>
        <v>10297.266666666666</v>
      </c>
      <c r="G39" s="18">
        <f>Table333456[[#This Row],[Our Panel]]+Table33345[[#This Row],[MTD Panel]]</f>
        <v>10297.266666666666</v>
      </c>
      <c r="H39" s="13">
        <f t="shared" si="4"/>
        <v>0</v>
      </c>
      <c r="I39" s="13">
        <f t="shared" si="5"/>
        <v>0</v>
      </c>
    </row>
    <row r="40" spans="1:9">
      <c r="A40" s="11" t="str">
        <f>Table333456789101217[[#This Row],[Carrier]]</f>
        <v>Vortex</v>
      </c>
      <c r="B40" s="5" t="str">
        <f>Table333456789101217[[#This Row],[IP]]</f>
        <v>179.250.91.8/29.540.67.457/94.25.34.78/183.144.27.18</v>
      </c>
      <c r="C40" s="6" t="str">
        <f>Table333456789101217[[#This Row],[Carrier Code]]</f>
        <v>VT</v>
      </c>
      <c r="D40" s="53">
        <v>0</v>
      </c>
      <c r="E40" s="53">
        <v>0</v>
      </c>
      <c r="F40" s="18">
        <f>Table333456[[#This Row],[Company Panel]]+Table33345[[#This Row],[MTD Company]]</f>
        <v>0</v>
      </c>
      <c r="G40" s="18">
        <f>Table333456[[#This Row],[Our Panel]]+Table33345[[#This Row],[MTD Panel]]</f>
        <v>0</v>
      </c>
      <c r="H40" s="72">
        <f t="shared" si="4"/>
        <v>0</v>
      </c>
      <c r="I40" s="72">
        <f t="shared" si="5"/>
        <v>0</v>
      </c>
    </row>
    <row r="41" spans="1:9">
      <c r="A41" s="11" t="str">
        <f>Table333456789101217[[#This Row],[Carrier]]</f>
        <v>Void</v>
      </c>
      <c r="B41" s="5" t="str">
        <f>Table333456789101217[[#This Row],[IP]]</f>
        <v>156.34.123.11/156.34.123.25/156.34.123.62/92.44.233.110</v>
      </c>
      <c r="C41" s="6" t="str">
        <f>Table333456789101217[[#This Row],[Carrier Code]]</f>
        <v>VO</v>
      </c>
      <c r="D41" s="53">
        <v>46.983333333333334</v>
      </c>
      <c r="E41" s="53">
        <v>46.983333333333334</v>
      </c>
      <c r="F41" s="18">
        <f>Table333456[[#This Row],[Company Panel]]+Table33345[[#This Row],[MTD Company]]</f>
        <v>264.95</v>
      </c>
      <c r="G41" s="18">
        <f>Table333456[[#This Row],[Our Panel]]+Table33345[[#This Row],[MTD Panel]]</f>
        <v>264.95</v>
      </c>
      <c r="H41" s="13">
        <f t="shared" si="4"/>
        <v>0</v>
      </c>
      <c r="I41" s="13">
        <f t="shared" si="5"/>
        <v>0</v>
      </c>
    </row>
    <row r="42" spans="1:9">
      <c r="A42" s="11" t="str">
        <f>Table333456789101217[[#This Row],[Carrier]]</f>
        <v>Midnight</v>
      </c>
      <c r="B42" s="5" t="str">
        <f>Table333456789101217[[#This Row],[IP]]</f>
        <v>134.77.22.4/23.97.150.8</v>
      </c>
      <c r="C42" s="6" t="str">
        <f>Table333456789101217[[#This Row],[Carrier Code]]</f>
        <v>MI</v>
      </c>
      <c r="D42" s="53">
        <v>58.533333333333331</v>
      </c>
      <c r="E42" s="53">
        <v>58.533333333333331</v>
      </c>
      <c r="F42" s="18">
        <f>Table333456[[#This Row],[Company Panel]]+Table33345[[#This Row],[MTD Company]]</f>
        <v>304.85000000000002</v>
      </c>
      <c r="G42" s="18">
        <f>Table333456[[#This Row],[Our Panel]]+Table33345[[#This Row],[MTD Panel]]</f>
        <v>304.85000000000002</v>
      </c>
      <c r="H42" s="72">
        <f t="shared" si="4"/>
        <v>0</v>
      </c>
      <c r="I42" s="72">
        <f t="shared" si="5"/>
        <v>0</v>
      </c>
    </row>
    <row r="43" spans="1:9">
      <c r="A43" s="11" t="str">
        <f>Table333456789101217[[#This Row],[Carrier]]</f>
        <v>Autumn</v>
      </c>
      <c r="B43" s="5" t="str">
        <f>Table333456789101217[[#This Row],[IP]]</f>
        <v>202.54.210.88/12.331.94.73/64.19.28.175</v>
      </c>
      <c r="C43" s="6" t="str">
        <f>Table333456789101217[[#This Row],[Carrier Code]]</f>
        <v>AU</v>
      </c>
      <c r="D43" s="53">
        <v>12.75</v>
      </c>
      <c r="E43" s="53">
        <v>12.75</v>
      </c>
      <c r="F43" s="18">
        <f>Table333456[[#This Row],[Company Panel]]+Table33345[[#This Row],[MTD Company]]</f>
        <v>56.116666666666674</v>
      </c>
      <c r="G43" s="18">
        <f>Table333456[[#This Row],[Our Panel]]+Table33345[[#This Row],[MTD Panel]]</f>
        <v>56.116666666666674</v>
      </c>
      <c r="H43" s="72">
        <f t="shared" si="4"/>
        <v>0</v>
      </c>
      <c r="I43" s="72">
        <f t="shared" si="5"/>
        <v>0</v>
      </c>
    </row>
    <row r="44" spans="1:9">
      <c r="A44" s="11" t="str">
        <f>Table333456789101217[[#This Row],[Carrier]]</f>
        <v>Mystic</v>
      </c>
      <c r="B44" s="5" t="str">
        <f>Table333456789101217[[#This Row],[IP]]</f>
        <v>51.233.21.76/82.115.35.60/82.115.35.85</v>
      </c>
      <c r="C44" s="6" t="str">
        <f>Table333456789101217[[#This Row],[Carrier Code]]</f>
        <v>MY</v>
      </c>
      <c r="D44" s="53">
        <v>0</v>
      </c>
      <c r="E44" s="53">
        <v>0</v>
      </c>
      <c r="F44" s="18">
        <f>Table333456[[#This Row],[Company Panel]]+Table33345[[#This Row],[MTD Company]]</f>
        <v>0</v>
      </c>
      <c r="G44" s="18">
        <f>Table333456[[#This Row],[Our Panel]]+Table33345[[#This Row],[MTD Panel]]</f>
        <v>0</v>
      </c>
      <c r="H44" s="72">
        <f t="shared" si="4"/>
        <v>0</v>
      </c>
      <c r="I44" s="72">
        <f t="shared" si="5"/>
        <v>0</v>
      </c>
    </row>
    <row r="45" spans="1:9">
      <c r="A45" s="11" t="str">
        <f>Table333456789101217[[#This Row],[Carrier]]</f>
        <v>Clover</v>
      </c>
      <c r="B45" s="5" t="str">
        <f>Table333456789101217[[#This Row],[IP]]</f>
        <v>210.150.12.45/84.50.212.66/135.113.88.9</v>
      </c>
      <c r="C45" s="6" t="str">
        <f>Table333456789101217[[#This Row],[Carrier Code]]</f>
        <v>CO</v>
      </c>
      <c r="D45" s="53">
        <v>643.41666666666663</v>
      </c>
      <c r="E45" s="53">
        <v>643.41666666666663</v>
      </c>
      <c r="F45" s="18">
        <f>Table333456[[#This Row],[Company Panel]]+Table33345[[#This Row],[MTD Company]]</f>
        <v>1023.9666666666667</v>
      </c>
      <c r="G45" s="18">
        <f>Table333456[[#This Row],[Our Panel]]+Table33345[[#This Row],[MTD Panel]]</f>
        <v>1023.9666666666667</v>
      </c>
      <c r="H45" s="78">
        <f>D45-E45</f>
        <v>0</v>
      </c>
      <c r="I45" s="78">
        <f>F45-G45</f>
        <v>0</v>
      </c>
    </row>
    <row r="46" spans="1:9">
      <c r="A46" s="11" t="str">
        <f>Table333456789101217[[#This Row],[Carrier]]</f>
        <v>Hunter</v>
      </c>
      <c r="B46" s="5" t="str">
        <f>Table333456789101217[[#This Row],[IP]]</f>
        <v>170.199.20.87/13.693.39.280/78.30.123.47</v>
      </c>
      <c r="C46" s="6" t="str">
        <f>Table333456789101217[[#This Row],[Carrier Code]]</f>
        <v>HU</v>
      </c>
      <c r="D46" s="53">
        <v>165.56666666666666</v>
      </c>
      <c r="E46" s="53">
        <v>165.56666666666666</v>
      </c>
      <c r="F46" s="18">
        <f>Table333456[[#This Row],[Company Panel]]+Table33345[[#This Row],[MTD Company]]</f>
        <v>1690.55</v>
      </c>
      <c r="G46" s="18">
        <f>Table333456[[#This Row],[Our Panel]]+Table33345[[#This Row],[MTD Panel]]</f>
        <v>1690.55</v>
      </c>
      <c r="H46" s="13">
        <f>D46-E46</f>
        <v>0</v>
      </c>
      <c r="I46" s="13">
        <f>F46-G46</f>
        <v>0</v>
      </c>
    </row>
    <row r="47" spans="1:9">
      <c r="A47" s="11" t="str">
        <f>Table333456789101217[[#This Row],[Carrier]]</f>
        <v>Invaded</v>
      </c>
      <c r="B47" s="5" t="str">
        <f>Table333456789101217[[#This Row],[IP]]</f>
        <v>182.67.99.120/80.518.230.410/26.847.95.107/188.12.67.92</v>
      </c>
      <c r="C47" s="6" t="str">
        <f>Table333456789101217[[#This Row],[Carrier Code]]</f>
        <v>ID</v>
      </c>
      <c r="D47" s="53">
        <v>0</v>
      </c>
      <c r="E47" s="53">
        <v>0</v>
      </c>
      <c r="F47" s="18">
        <f>Table333456[[#This Row],[Company Panel]]+Table33345[[#This Row],[MTD Company]]</f>
        <v>0</v>
      </c>
      <c r="G47" s="18">
        <f>Table333456[[#This Row],[Our Panel]]+Table33345[[#This Row],[MTD Panel]]</f>
        <v>0</v>
      </c>
      <c r="H47" s="13">
        <f>D47-E47</f>
        <v>0</v>
      </c>
      <c r="I47" s="13">
        <f>F47-G47</f>
        <v>0</v>
      </c>
    </row>
    <row r="48" spans="1:9">
      <c r="A48" s="11" t="str">
        <f>Table333456789101217[[#This Row],[Carrier]]</f>
        <v>Delusion</v>
      </c>
      <c r="B48" s="5" t="str">
        <f>Table333456789101217[[#This Row],[IP]]</f>
        <v>198.51.100.72/69.887.74.738/39.153.110.645</v>
      </c>
      <c r="C48" s="6" t="str">
        <f>Table333456789101217[[#This Row],[Carrier Code]]</f>
        <v>DU</v>
      </c>
      <c r="D48" s="53">
        <v>0</v>
      </c>
      <c r="E48" s="53">
        <v>0</v>
      </c>
      <c r="F48" s="18">
        <f>Table333456[[#This Row],[Company Panel]]+Table33345[[#This Row],[MTD Company]]</f>
        <v>0</v>
      </c>
      <c r="G48" s="18">
        <f>Table333456[[#This Row],[Our Panel]]+Table33345[[#This Row],[MTD Panel]]</f>
        <v>0</v>
      </c>
      <c r="H48" s="13">
        <f>D48-E48</f>
        <v>0</v>
      </c>
      <c r="I48" s="13">
        <f>F48-G48</f>
        <v>0</v>
      </c>
    </row>
    <row r="49" spans="1:9" ht="15.5">
      <c r="A49" s="11" t="str">
        <f>Table333456789101217[[#This Row],[Carrier]]</f>
        <v>Total</v>
      </c>
      <c r="B49" s="14"/>
      <c r="C49" s="15"/>
      <c r="D49" s="16">
        <f>SUM(D3:D48)</f>
        <v>14423.283333333335</v>
      </c>
      <c r="E49" s="16">
        <f t="shared" ref="E49:I49" si="6">SUM(E3:E48)</f>
        <v>14423.283333333335</v>
      </c>
      <c r="F49" s="16">
        <f t="shared" si="6"/>
        <v>38563.350000000006</v>
      </c>
      <c r="G49" s="16">
        <f t="shared" si="6"/>
        <v>38563.350000000006</v>
      </c>
      <c r="H49" s="16">
        <f t="shared" si="6"/>
        <v>0</v>
      </c>
      <c r="I49" s="16">
        <f t="shared" si="6"/>
        <v>0</v>
      </c>
    </row>
  </sheetData>
  <conditionalFormatting sqref="H2:I48">
    <cfRule type="cellIs" dxfId="494" priority="96" operator="lessThan">
      <formula>0</formula>
    </cfRule>
  </conditionalFormatting>
  <conditionalFormatting sqref="I30:I48">
    <cfRule type="cellIs" dxfId="493" priority="95" operator="lessThan">
      <formula>0</formula>
    </cfRule>
  </conditionalFormatting>
  <conditionalFormatting sqref="H3:I48">
    <cfRule type="cellIs" dxfId="492" priority="93" operator="lessThan">
      <formula>0</formula>
    </cfRule>
  </conditionalFormatting>
  <conditionalFormatting sqref="I30:I48">
    <cfRule type="cellIs" dxfId="491" priority="89" operator="lessThan">
      <formula>0</formula>
    </cfRule>
  </conditionalFormatting>
  <conditionalFormatting sqref="I3:I48">
    <cfRule type="cellIs" dxfId="490" priority="80" operator="lessThan">
      <formula>0</formula>
    </cfRule>
    <cfRule type="cellIs" dxfId="489" priority="81" operator="lessThan">
      <formula>0</formula>
    </cfRule>
  </conditionalFormatting>
  <hyperlinks>
    <hyperlink ref="E1" location="H!A1" display="Home"/>
    <hyperlink ref="D1" location="'4'!D1" display="←"/>
    <hyperlink ref="F1" location="'6'!F1" display="→"/>
  </hyperlink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9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D3" sqref="D3"/>
    </sheetView>
  </sheetViews>
  <sheetFormatPr defaultRowHeight="14.5"/>
  <cols>
    <col min="1" max="1" width="26.7265625" bestFit="1" customWidth="1"/>
    <col min="2" max="2" width="37" bestFit="1" customWidth="1"/>
    <col min="3" max="3" width="10.453125" customWidth="1"/>
    <col min="4" max="9" width="12.7265625" customWidth="1"/>
    <col min="11" max="11" width="9.54296875" bestFit="1" customWidth="1"/>
    <col min="12" max="12" width="12" bestFit="1" customWidth="1"/>
  </cols>
  <sheetData>
    <row r="1" spans="1:13" ht="18.5">
      <c r="A1" s="23" t="str">
        <f>H!A7</f>
        <v>6th April 2025</v>
      </c>
      <c r="B1" s="24"/>
      <c r="C1" s="24"/>
      <c r="D1" s="22" t="s">
        <v>16</v>
      </c>
      <c r="E1" s="62"/>
      <c r="F1" s="22" t="s">
        <v>17</v>
      </c>
    </row>
    <row r="2" spans="1:13" ht="31">
      <c r="A2" s="1" t="s">
        <v>0</v>
      </c>
      <c r="B2" s="2" t="s">
        <v>1</v>
      </c>
      <c r="C2" s="2" t="s">
        <v>2</v>
      </c>
      <c r="D2" s="2" t="s">
        <v>3</v>
      </c>
      <c r="E2" s="3" t="s">
        <v>5</v>
      </c>
      <c r="F2" s="3" t="s">
        <v>4</v>
      </c>
      <c r="G2" s="4" t="s">
        <v>6</v>
      </c>
      <c r="H2" s="4" t="s">
        <v>7</v>
      </c>
      <c r="I2" s="3" t="s">
        <v>8</v>
      </c>
    </row>
    <row r="3" spans="1:13">
      <c r="A3" s="11" t="str">
        <f>Table333456789101217[[#This Row],[Carrier]]</f>
        <v>Blaze</v>
      </c>
      <c r="B3" s="5" t="str">
        <f>Table333456789101217[[#This Row],[IP]]</f>
        <v>8.12.34.56/48.163.17.845/60.502.86.203/191.45.28.14</v>
      </c>
      <c r="C3" s="6" t="str">
        <f>Table333456789101217[[#This Row],[Carrier Code]]</f>
        <v>BZ</v>
      </c>
      <c r="D3" s="53">
        <v>0</v>
      </c>
      <c r="E3" s="53">
        <v>0</v>
      </c>
      <c r="F3" s="18">
        <f>Table3334567[[#This Row],[Company Panel]]+Table333456[[#This Row],[MTD Company]]</f>
        <v>0</v>
      </c>
      <c r="G3" s="18">
        <f>Table3334567[[#This Row],[Our Panel]]+Table333456[[#This Row],[MTD Panel]]</f>
        <v>0</v>
      </c>
      <c r="H3" s="13">
        <f t="shared" ref="H3:H30" si="0">D3-E3</f>
        <v>0</v>
      </c>
      <c r="I3" s="13">
        <f t="shared" ref="I3:I30" si="1">F3-G3</f>
        <v>0</v>
      </c>
      <c r="K3" s="9"/>
      <c r="L3" s="9"/>
      <c r="M3" s="9"/>
    </row>
    <row r="4" spans="1:13">
      <c r="A4" s="11" t="str">
        <f>Table333456789101217[[#This Row],[Carrier]]</f>
        <v>Titan</v>
      </c>
      <c r="B4" s="5" t="str">
        <f>Table333456789101217[[#This Row],[IP]]</f>
        <v>123.45.67.89/123.45.67.93/203.24.101.65</v>
      </c>
      <c r="C4" s="6" t="str">
        <f>Table333456789101217[[#This Row],[Carrier Code]]</f>
        <v>TI</v>
      </c>
      <c r="D4" s="53">
        <v>161.23333333333332</v>
      </c>
      <c r="E4" s="53">
        <v>161.23333333333332</v>
      </c>
      <c r="F4" s="18">
        <f>Table3334567[[#This Row],[Company Panel]]+Table333456[[#This Row],[MTD Company]]</f>
        <v>204.35</v>
      </c>
      <c r="G4" s="18">
        <f>Table3334567[[#This Row],[Our Panel]]+Table333456[[#This Row],[MTD Panel]]</f>
        <v>204.35</v>
      </c>
      <c r="H4" s="13">
        <f t="shared" si="0"/>
        <v>0</v>
      </c>
      <c r="I4" s="13">
        <f t="shared" si="1"/>
        <v>0</v>
      </c>
      <c r="K4" s="9"/>
      <c r="L4" s="9"/>
      <c r="M4" s="9"/>
    </row>
    <row r="5" spans="1:13">
      <c r="A5" s="11" t="str">
        <f>Table333456789101217[[#This Row],[Carrier]]</f>
        <v>Hollow</v>
      </c>
      <c r="B5" s="5" t="str">
        <f>Table333456789101217[[#This Row],[IP]]</f>
        <v>204.56.78.100/204.56.57.169/52.94.101.12</v>
      </c>
      <c r="C5" s="6" t="str">
        <f>Table333456789101217[[#This Row],[Carrier Code]]</f>
        <v>HO</v>
      </c>
      <c r="D5" s="53">
        <v>0</v>
      </c>
      <c r="E5" s="53">
        <v>0</v>
      </c>
      <c r="F5" s="18">
        <f>Table3334567[[#This Row],[Company Panel]]+Table333456[[#This Row],[MTD Company]]</f>
        <v>0</v>
      </c>
      <c r="G5" s="18">
        <f>Table3334567[[#This Row],[Our Panel]]+Table333456[[#This Row],[MTD Panel]]</f>
        <v>0</v>
      </c>
      <c r="H5" s="13">
        <f t="shared" si="0"/>
        <v>0</v>
      </c>
      <c r="I5" s="13">
        <f t="shared" si="1"/>
        <v>0</v>
      </c>
      <c r="K5" s="9"/>
      <c r="L5" s="9"/>
      <c r="M5" s="9"/>
    </row>
    <row r="6" spans="1:13">
      <c r="A6" s="11" t="str">
        <f>Table333456789101217[[#This Row],[Carrier]]</f>
        <v>Prism</v>
      </c>
      <c r="B6" s="5" t="str">
        <f>Table333456789101217[[#This Row],[IP]]</f>
        <v>35.118.22.45/137.63.112.25</v>
      </c>
      <c r="C6" s="6" t="str">
        <f>Table333456789101217[[#This Row],[Carrier Code]]</f>
        <v>PS</v>
      </c>
      <c r="D6" s="53">
        <v>8856.5833333333339</v>
      </c>
      <c r="E6" s="53">
        <v>8856.5833333333339</v>
      </c>
      <c r="F6" s="18">
        <f>Table3334567[[#This Row],[Company Panel]]+Table333456[[#This Row],[MTD Company]]</f>
        <v>32567.5</v>
      </c>
      <c r="G6" s="18">
        <f>Table3334567[[#This Row],[Our Panel]]+Table333456[[#This Row],[MTD Panel]]</f>
        <v>32567.5</v>
      </c>
      <c r="H6" s="13">
        <f t="shared" si="0"/>
        <v>0</v>
      </c>
      <c r="I6" s="13">
        <f t="shared" si="1"/>
        <v>0</v>
      </c>
      <c r="K6" s="9"/>
      <c r="L6" s="9"/>
      <c r="M6" s="9"/>
    </row>
    <row r="7" spans="1:13">
      <c r="A7" s="11" t="str">
        <f>Table333456789101217[[#This Row],[Carrier]]</f>
        <v>Echo</v>
      </c>
      <c r="B7" s="5" t="str">
        <f>Table333456789101217[[#This Row],[IP]]</f>
        <v>66.89.101.10/66.89.101.19/66.89.101.23/66.89.101.45/66.89.101.81/85.21.34.99</v>
      </c>
      <c r="C7" s="6" t="str">
        <f>Table333456789101217[[#This Row],[Carrier Code]]</f>
        <v>EC</v>
      </c>
      <c r="D7" s="53">
        <v>3.8666666666666667</v>
      </c>
      <c r="E7" s="53">
        <v>3.8666666666666667</v>
      </c>
      <c r="F7" s="18">
        <f>Table3334567[[#This Row],[Company Panel]]+Table333456[[#This Row],[MTD Company]]</f>
        <v>10.666666666666668</v>
      </c>
      <c r="G7" s="18">
        <f>Table3334567[[#This Row],[Our Panel]]+Table333456[[#This Row],[MTD Panel]]</f>
        <v>10.666666666666668</v>
      </c>
      <c r="H7" s="13">
        <f t="shared" si="0"/>
        <v>0</v>
      </c>
      <c r="I7" s="13">
        <f t="shared" si="1"/>
        <v>0</v>
      </c>
      <c r="M7" s="9"/>
    </row>
    <row r="8" spans="1:13">
      <c r="A8" s="11" t="str">
        <f>Table333456789101217[[#This Row],[Carrier]]</f>
        <v>Strike</v>
      </c>
      <c r="B8" s="5" t="str">
        <f>Table333456789101217[[#This Row],[IP]]</f>
        <v>100.200.150.3/100.200.165.38/41.102.90.78</v>
      </c>
      <c r="C8" s="6" t="str">
        <f>Table333456789101217[[#This Row],[Carrier Code]]</f>
        <v>ST</v>
      </c>
      <c r="D8" s="53">
        <v>78.733333333333334</v>
      </c>
      <c r="E8" s="53">
        <v>78.733333333333334</v>
      </c>
      <c r="F8" s="18">
        <f>Table3334567[[#This Row],[Company Panel]]+Table333456[[#This Row],[MTD Company]]</f>
        <v>558.68333333333328</v>
      </c>
      <c r="G8" s="18">
        <f>Table3334567[[#This Row],[Our Panel]]+Table333456[[#This Row],[MTD Panel]]</f>
        <v>558.68333333333328</v>
      </c>
      <c r="H8" s="13">
        <f t="shared" si="0"/>
        <v>0</v>
      </c>
      <c r="I8" s="13">
        <f t="shared" si="1"/>
        <v>0</v>
      </c>
      <c r="L8" s="9"/>
      <c r="M8" s="9"/>
    </row>
    <row r="9" spans="1:13">
      <c r="A9" s="11" t="str">
        <f>Table333456789101217[[#This Row],[Carrier]]</f>
        <v>Blunt</v>
      </c>
      <c r="B9" s="5" t="str">
        <f>Table333456789101217[[#This Row],[IP]]</f>
        <v>52.28.191.25/52.28.191.38/52.28.191.24/61.110.23.45</v>
      </c>
      <c r="C9" s="6" t="str">
        <f>Table333456789101217[[#This Row],[Carrier Code]]</f>
        <v>BL</v>
      </c>
      <c r="D9" s="53">
        <v>1461</v>
      </c>
      <c r="E9" s="53">
        <v>1461</v>
      </c>
      <c r="F9" s="18">
        <f>Table3334567[[#This Row],[Company Panel]]+Table333456[[#This Row],[MTD Company]]</f>
        <v>1775.1333333333332</v>
      </c>
      <c r="G9" s="18">
        <f>Table3334567[[#This Row],[Our Panel]]+Table333456[[#This Row],[MTD Panel]]</f>
        <v>1775.1333333333332</v>
      </c>
      <c r="H9" s="13">
        <f t="shared" si="0"/>
        <v>0</v>
      </c>
      <c r="I9" s="13">
        <f t="shared" si="1"/>
        <v>0</v>
      </c>
      <c r="K9" s="9"/>
      <c r="M9" s="9"/>
    </row>
    <row r="10" spans="1:13">
      <c r="A10" s="11" t="str">
        <f>Table333456789101217[[#This Row],[Carrier]]</f>
        <v>Law</v>
      </c>
      <c r="B10" s="5" t="str">
        <f>Table333456789101217[[#This Row],[IP]]</f>
        <v>77.88.99.21/77.88.99.88/77.88.99.94/110.56.211.7</v>
      </c>
      <c r="C10" s="6" t="str">
        <f>Table333456789101217[[#This Row],[Carrier Code]]</f>
        <v>LA</v>
      </c>
      <c r="D10" s="53">
        <v>0</v>
      </c>
      <c r="E10" s="53">
        <v>0</v>
      </c>
      <c r="F10" s="18">
        <f>Table3334567[[#This Row],[Company Panel]]+Table333456[[#This Row],[MTD Company]]</f>
        <v>0</v>
      </c>
      <c r="G10" s="18">
        <f>Table3334567[[#This Row],[Our Panel]]+Table333456[[#This Row],[MTD Panel]]</f>
        <v>0</v>
      </c>
      <c r="H10" s="13">
        <f t="shared" si="0"/>
        <v>0</v>
      </c>
      <c r="I10" s="13">
        <f t="shared" si="1"/>
        <v>0</v>
      </c>
      <c r="K10" s="9"/>
      <c r="L10" s="9"/>
      <c r="M10" s="9"/>
    </row>
    <row r="11" spans="1:13">
      <c r="A11" s="11" t="str">
        <f>Table333456789101217[[#This Row],[Carrier]]</f>
        <v>Pulse</v>
      </c>
      <c r="B11" s="5" t="str">
        <f>Table333456789101217[[#This Row],[IP]]</f>
        <v>198.51.100.130/31.725.16.608/66.59.61.503/167.34.122.90</v>
      </c>
      <c r="C11" s="6" t="str">
        <f>Table333456789101217[[#This Row],[Carrier Code]]</f>
        <v>PU</v>
      </c>
      <c r="D11" s="53">
        <v>0</v>
      </c>
      <c r="E11" s="53">
        <v>0</v>
      </c>
      <c r="F11" s="18">
        <f>Table3334567[[#This Row],[Company Panel]]+Table333456[[#This Row],[MTD Company]]</f>
        <v>0</v>
      </c>
      <c r="G11" s="18">
        <f>Table3334567[[#This Row],[Our Panel]]+Table333456[[#This Row],[MTD Panel]]</f>
        <v>0</v>
      </c>
      <c r="H11" s="13">
        <f t="shared" si="0"/>
        <v>0</v>
      </c>
      <c r="I11" s="13">
        <f t="shared" si="1"/>
        <v>0</v>
      </c>
      <c r="K11" s="19"/>
      <c r="L11" s="9"/>
      <c r="M11" s="9"/>
    </row>
    <row r="12" spans="1:13">
      <c r="A12" s="11" t="str">
        <f>Table333456789101217[[#This Row],[Carrier]]</f>
        <v>Phantom</v>
      </c>
      <c r="B12" s="5" t="str">
        <f>Table333456789101217[[#This Row],[IP]]</f>
        <v>141.15.210.67/141.15.42.82/179.62.211.4</v>
      </c>
      <c r="C12" s="6" t="str">
        <f>Table333456789101217[[#This Row],[Carrier Code]]</f>
        <v>PH</v>
      </c>
      <c r="D12" s="53">
        <v>0.7</v>
      </c>
      <c r="E12" s="53">
        <v>0.7</v>
      </c>
      <c r="F12" s="18">
        <f>Table3334567[[#This Row],[Company Panel]]+Table333456[[#This Row],[MTD Company]]</f>
        <v>28.833333333333332</v>
      </c>
      <c r="G12" s="18">
        <f>Table3334567[[#This Row],[Our Panel]]+Table333456[[#This Row],[MTD Panel]]</f>
        <v>28.833333333333332</v>
      </c>
      <c r="H12" s="13">
        <f t="shared" si="0"/>
        <v>0</v>
      </c>
      <c r="I12" s="13">
        <f t="shared" si="1"/>
        <v>0</v>
      </c>
      <c r="K12" s="9"/>
      <c r="L12" s="9"/>
      <c r="M12" s="9"/>
    </row>
    <row r="13" spans="1:13">
      <c r="A13" s="11" t="str">
        <f>Table333456789101217[[#This Row],[Carrier]]</f>
        <v>Dragon</v>
      </c>
      <c r="B13" s="5" t="str">
        <f>Table333456789101217[[#This Row],[IP]]</f>
        <v>12.34.56.78/12.34.56.128/200.180.245.18</v>
      </c>
      <c r="C13" s="6" t="str">
        <f>Table333456789101217[[#This Row],[Carrier Code]]</f>
        <v>DG</v>
      </c>
      <c r="D13" s="53">
        <v>0</v>
      </c>
      <c r="E13" s="53">
        <v>0</v>
      </c>
      <c r="F13" s="18">
        <f>Table3334567[[#This Row],[Company Panel]]+Table333456[[#This Row],[MTD Company]]</f>
        <v>0</v>
      </c>
      <c r="G13" s="18">
        <f>Table3334567[[#This Row],[Our Panel]]+Table333456[[#This Row],[MTD Panel]]</f>
        <v>0</v>
      </c>
      <c r="H13" s="13">
        <f t="shared" si="0"/>
        <v>0</v>
      </c>
      <c r="I13" s="13">
        <f t="shared" si="1"/>
        <v>0</v>
      </c>
      <c r="K13" s="9"/>
      <c r="M13" s="9"/>
    </row>
    <row r="14" spans="1:13">
      <c r="A14" s="11" t="str">
        <f>Table333456789101217[[#This Row],[Carrier]]</f>
        <v>Tempest</v>
      </c>
      <c r="B14" s="5" t="str">
        <f>Table333456789101217[[#This Row],[IP]]</f>
        <v>59.144.223.88/55.39.99.60</v>
      </c>
      <c r="C14" s="6" t="str">
        <f>Table333456789101217[[#This Row],[Carrier Code]]</f>
        <v>TE</v>
      </c>
      <c r="D14" s="53">
        <v>0</v>
      </c>
      <c r="E14" s="53">
        <v>0</v>
      </c>
      <c r="F14" s="18">
        <f>Table3334567[[#This Row],[Company Panel]]+Table333456[[#This Row],[MTD Company]]</f>
        <v>0</v>
      </c>
      <c r="G14" s="18">
        <f>Table3334567[[#This Row],[Our Panel]]+Table333456[[#This Row],[MTD Panel]]</f>
        <v>0</v>
      </c>
      <c r="H14" s="13">
        <f t="shared" si="0"/>
        <v>0</v>
      </c>
      <c r="I14" s="13">
        <f t="shared" si="1"/>
        <v>0</v>
      </c>
      <c r="K14" s="9"/>
      <c r="L14" s="9"/>
      <c r="M14" s="9"/>
    </row>
    <row r="15" spans="1:13">
      <c r="A15" s="11" t="str">
        <f>Table333456789101217[[#This Row],[Carrier]]</f>
        <v>Shadow</v>
      </c>
      <c r="B15" s="5" t="str">
        <f>Table333456789101217[[#This Row],[IP]]</f>
        <v>175.45.112.100/25.851.31.153/39.80.220.100</v>
      </c>
      <c r="C15" s="6" t="str">
        <f>Table333456789101217[[#This Row],[Carrier Code]]</f>
        <v>SH</v>
      </c>
      <c r="D15" s="53">
        <v>0</v>
      </c>
      <c r="E15" s="53">
        <v>0</v>
      </c>
      <c r="F15" s="18">
        <f>Table3334567[[#This Row],[Company Panel]]+Table333456[[#This Row],[MTD Company]]</f>
        <v>0</v>
      </c>
      <c r="G15" s="18">
        <f>Table3334567[[#This Row],[Our Panel]]+Table333456[[#This Row],[MTD Panel]]</f>
        <v>0</v>
      </c>
      <c r="H15" s="13">
        <f t="shared" si="0"/>
        <v>0</v>
      </c>
      <c r="I15" s="13">
        <f t="shared" si="1"/>
        <v>0</v>
      </c>
      <c r="K15" s="9"/>
      <c r="M15" s="9"/>
    </row>
    <row r="16" spans="1:13">
      <c r="A16" s="11" t="str">
        <f>Table333456789101217[[#This Row],[Carrier]]</f>
        <v>Cyclone</v>
      </c>
      <c r="B16" s="5" t="str">
        <f>Table333456789101217[[#This Row],[IP]]</f>
        <v>150.13.75.190/16.160.89.512/72.11.97.34</v>
      </c>
      <c r="C16" s="6" t="str">
        <f>Table333456789101217[[#This Row],[Carrier Code]]</f>
        <v>CY</v>
      </c>
      <c r="D16" s="53">
        <v>0</v>
      </c>
      <c r="E16" s="53">
        <v>0</v>
      </c>
      <c r="F16" s="18">
        <f>Table3334567[[#This Row],[Company Panel]]+Table333456[[#This Row],[MTD Company]]</f>
        <v>0</v>
      </c>
      <c r="G16" s="18">
        <f>Table3334567[[#This Row],[Our Panel]]+Table333456[[#This Row],[MTD Panel]]</f>
        <v>0</v>
      </c>
      <c r="H16" s="13">
        <f t="shared" si="0"/>
        <v>0</v>
      </c>
      <c r="I16" s="13">
        <f t="shared" si="1"/>
        <v>0</v>
      </c>
      <c r="K16" s="9"/>
      <c r="L16" s="9"/>
      <c r="M16" s="9"/>
    </row>
    <row r="17" spans="1:13">
      <c r="A17" s="11" t="str">
        <f>Table333456789101217[[#This Row],[Carrier]]</f>
        <v>Reaver</v>
      </c>
      <c r="B17" s="5" t="str">
        <f>Table333456789101217[[#This Row],[IP]]</f>
        <v>203.0.113.44/188.17.56.210</v>
      </c>
      <c r="C17" s="6" t="str">
        <f>Table333456789101217[[#This Row],[Carrier Code]]</f>
        <v>RE</v>
      </c>
      <c r="D17" s="53">
        <v>0</v>
      </c>
      <c r="E17" s="53">
        <v>0</v>
      </c>
      <c r="F17" s="18">
        <f>Table3334567[[#This Row],[Company Panel]]+Table333456[[#This Row],[MTD Company]]</f>
        <v>0</v>
      </c>
      <c r="G17" s="18">
        <f>Table3334567[[#This Row],[Our Panel]]+Table333456[[#This Row],[MTD Panel]]</f>
        <v>0</v>
      </c>
      <c r="H17" s="13">
        <f t="shared" si="0"/>
        <v>0</v>
      </c>
      <c r="I17" s="13">
        <f t="shared" si="1"/>
        <v>0</v>
      </c>
      <c r="K17" s="9"/>
      <c r="L17" s="9"/>
      <c r="M17" s="9"/>
    </row>
    <row r="18" spans="1:13">
      <c r="A18" s="11" t="str">
        <f>Table333456789101217[[#This Row],[Carrier]]</f>
        <v>Forge</v>
      </c>
      <c r="B18" s="5" t="str">
        <f>Table333456789101217[[#This Row],[IP]]</f>
        <v>112.54.89.168/112.54.89.138</v>
      </c>
      <c r="C18" s="6" t="str">
        <f>Table333456789101217[[#This Row],[Carrier Code]]</f>
        <v>FO</v>
      </c>
      <c r="D18" s="53">
        <v>11</v>
      </c>
      <c r="E18" s="53">
        <v>11</v>
      </c>
      <c r="F18" s="18">
        <f>Table3334567[[#This Row],[Company Panel]]+Table333456[[#This Row],[MTD Company]]</f>
        <v>155.88333333333335</v>
      </c>
      <c r="G18" s="18">
        <f>Table3334567[[#This Row],[Our Panel]]+Table333456[[#This Row],[MTD Panel]]</f>
        <v>155.88333333333335</v>
      </c>
      <c r="H18" s="13">
        <f t="shared" si="0"/>
        <v>0</v>
      </c>
      <c r="I18" s="13">
        <f t="shared" si="1"/>
        <v>0</v>
      </c>
      <c r="K18" s="9"/>
      <c r="M18" s="9"/>
    </row>
    <row r="19" spans="1:13">
      <c r="A19" s="11" t="str">
        <f>Table333456789101217[[#This Row],[Carrier]]</f>
        <v>Ember</v>
      </c>
      <c r="B19" s="5" t="str">
        <f>Table333456789101217[[#This Row],[IP]]</f>
        <v>78.34.90.24/328.56.122.44/142.150.75.22</v>
      </c>
      <c r="C19" s="6" t="str">
        <f>Table333456789101217[[#This Row],[Carrier Code]]</f>
        <v>EM</v>
      </c>
      <c r="D19" s="53">
        <v>0</v>
      </c>
      <c r="E19" s="53">
        <v>0</v>
      </c>
      <c r="F19" s="18">
        <f>Table3334567[[#This Row],[Company Panel]]+Table333456[[#This Row],[MTD Company]]</f>
        <v>0</v>
      </c>
      <c r="G19" s="18">
        <f>Table3334567[[#This Row],[Our Panel]]+Table333456[[#This Row],[MTD Panel]]</f>
        <v>0</v>
      </c>
      <c r="H19" s="13">
        <f t="shared" si="0"/>
        <v>0</v>
      </c>
      <c r="I19" s="13">
        <f t="shared" si="1"/>
        <v>0</v>
      </c>
      <c r="K19" s="9"/>
      <c r="M19" s="9"/>
    </row>
    <row r="20" spans="1:13">
      <c r="A20" s="11" t="str">
        <f>Table333456789101217[[#This Row],[Carrier]]</f>
        <v>Specter</v>
      </c>
      <c r="B20" s="5" t="str">
        <f>Table333456789101217[[#This Row],[IP]]</f>
        <v>205.60.34.150</v>
      </c>
      <c r="C20" s="6" t="str">
        <f>Table333456789101217[[#This Row],[Carrier Code]]</f>
        <v>SP</v>
      </c>
      <c r="D20" s="53">
        <v>0.13333333333333333</v>
      </c>
      <c r="E20" s="53">
        <v>0.13333333333333333</v>
      </c>
      <c r="F20" s="18">
        <f>Table3334567[[#This Row],[Company Panel]]+Table333456[[#This Row],[MTD Company]]</f>
        <v>10</v>
      </c>
      <c r="G20" s="18">
        <f>Table3334567[[#This Row],[Our Panel]]+Table333456[[#This Row],[MTD Panel]]</f>
        <v>10</v>
      </c>
      <c r="H20" s="13">
        <f t="shared" si="0"/>
        <v>0</v>
      </c>
      <c r="I20" s="13">
        <f t="shared" si="1"/>
        <v>0</v>
      </c>
      <c r="K20" s="9"/>
      <c r="L20" s="9"/>
      <c r="M20" s="9"/>
    </row>
    <row r="21" spans="1:13">
      <c r="A21" s="11" t="str">
        <f>Table333456789101217[[#This Row],[Carrier]]</f>
        <v>Throne</v>
      </c>
      <c r="B21" s="5" t="str">
        <f>Table333456789101217[[#This Row],[IP]]</f>
        <v>54.32.11.90/27.758.27.201/125.150.58.20</v>
      </c>
      <c r="C21" s="6" t="str">
        <f>Table333456789101217[[#This Row],[Carrier Code]]</f>
        <v>TH</v>
      </c>
      <c r="D21" s="53">
        <v>0</v>
      </c>
      <c r="E21" s="53">
        <v>0</v>
      </c>
      <c r="F21" s="18">
        <f>Table3334567[[#This Row],[Company Panel]]+Table333456[[#This Row],[MTD Company]]</f>
        <v>0</v>
      </c>
      <c r="G21" s="18">
        <f>Table3334567[[#This Row],[Our Panel]]+Table333456[[#This Row],[MTD Panel]]</f>
        <v>0</v>
      </c>
      <c r="H21" s="13">
        <f t="shared" si="0"/>
        <v>0</v>
      </c>
      <c r="I21" s="13">
        <f t="shared" si="1"/>
        <v>0</v>
      </c>
      <c r="K21" s="9"/>
      <c r="L21" s="9"/>
      <c r="M21" s="9"/>
    </row>
    <row r="22" spans="1:13">
      <c r="A22" s="11" t="str">
        <f>Table333456789101217[[#This Row],[Carrier]]</f>
        <v>Arcane</v>
      </c>
      <c r="B22" s="5" t="str">
        <f>Table333456789101217[[#This Row],[IP]]</f>
        <v>212.100.25.78/212.100.25.87</v>
      </c>
      <c r="C22" s="6" t="str">
        <f>Table333456789101217[[#This Row],[Carrier Code]]</f>
        <v>AR</v>
      </c>
      <c r="D22" s="53">
        <v>0</v>
      </c>
      <c r="E22" s="53">
        <v>0</v>
      </c>
      <c r="F22" s="18">
        <f>Table3334567[[#This Row],[Company Panel]]+Table333456[[#This Row],[MTD Company]]</f>
        <v>0</v>
      </c>
      <c r="G22" s="18">
        <f>Table3334567[[#This Row],[Our Panel]]+Table333456[[#This Row],[MTD Panel]]</f>
        <v>0</v>
      </c>
      <c r="H22" s="13">
        <f t="shared" si="0"/>
        <v>0</v>
      </c>
      <c r="I22" s="13">
        <f t="shared" si="1"/>
        <v>0</v>
      </c>
      <c r="K22" s="9"/>
      <c r="L22" s="9"/>
      <c r="M22" s="9"/>
    </row>
    <row r="23" spans="1:13">
      <c r="A23" s="11" t="str">
        <f>Table333456789101217[[#This Row],[Carrier]]</f>
        <v>Glitch</v>
      </c>
      <c r="B23" s="5" t="str">
        <f>Table333456789101217[[#This Row],[IP]]</f>
        <v>198.204.100.12/198.204.100.34/198.204.100.51</v>
      </c>
      <c r="C23" s="6" t="str">
        <f>Table333456789101217[[#This Row],[Carrier Code]]</f>
        <v>GL</v>
      </c>
      <c r="D23" s="53">
        <v>0</v>
      </c>
      <c r="E23" s="53">
        <v>0</v>
      </c>
      <c r="F23" s="18">
        <f>Table3334567[[#This Row],[Company Panel]]+Table333456[[#This Row],[MTD Company]]</f>
        <v>0</v>
      </c>
      <c r="G23" s="18">
        <f>Table3334567[[#This Row],[Our Panel]]+Table333456[[#This Row],[MTD Panel]]</f>
        <v>0</v>
      </c>
      <c r="H23" s="13">
        <f t="shared" si="0"/>
        <v>0</v>
      </c>
      <c r="I23" s="13">
        <f t="shared" si="1"/>
        <v>0</v>
      </c>
      <c r="K23" s="9"/>
      <c r="L23" s="9"/>
      <c r="M23" s="9"/>
    </row>
    <row r="24" spans="1:13">
      <c r="A24" s="11" t="str">
        <f>Table333456789101217[[#This Row],[Carrier]]</f>
        <v>Nitro</v>
      </c>
      <c r="B24" s="5" t="str">
        <f>Table333456789101217[[#This Row],[IP]]</f>
        <v>15.150.200.33/119.82.200.100</v>
      </c>
      <c r="C24" s="6" t="str">
        <f>Table333456789101217[[#This Row],[Carrier Code]]</f>
        <v>NI</v>
      </c>
      <c r="D24" s="53">
        <v>0</v>
      </c>
      <c r="E24" s="53">
        <v>0</v>
      </c>
      <c r="F24" s="18">
        <f>Table3334567[[#This Row],[Company Panel]]+Table333456[[#This Row],[MTD Company]]</f>
        <v>0</v>
      </c>
      <c r="G24" s="18">
        <f>Table3334567[[#This Row],[Our Panel]]+Table333456[[#This Row],[MTD Panel]]</f>
        <v>0</v>
      </c>
      <c r="H24" s="13">
        <f t="shared" si="0"/>
        <v>0</v>
      </c>
      <c r="I24" s="13">
        <f t="shared" si="1"/>
        <v>0</v>
      </c>
      <c r="K24" s="9"/>
      <c r="L24" s="9"/>
      <c r="M24" s="9"/>
    </row>
    <row r="25" spans="1:13">
      <c r="A25" s="11" t="str">
        <f>Table333456789101217[[#This Row],[Carrier]]</f>
        <v>Drip</v>
      </c>
      <c r="B25" s="5" t="str">
        <f>Table333456789101217[[#This Row],[IP]]</f>
        <v>84.13.76.190/90.945.80.11/198.160.234.5</v>
      </c>
      <c r="C25" s="6" t="str">
        <f>Table333456789101217[[#This Row],[Carrier Code]]</f>
        <v>DR</v>
      </c>
      <c r="D25" s="53">
        <v>0</v>
      </c>
      <c r="E25" s="53">
        <v>0</v>
      </c>
      <c r="F25" s="18">
        <f>Table3334567[[#This Row],[Company Panel]]+Table333456[[#This Row],[MTD Company]]</f>
        <v>0</v>
      </c>
      <c r="G25" s="18">
        <f>Table3334567[[#This Row],[Our Panel]]+Table333456[[#This Row],[MTD Panel]]</f>
        <v>0</v>
      </c>
      <c r="H25" s="13">
        <f t="shared" si="0"/>
        <v>0</v>
      </c>
      <c r="I25" s="13">
        <f t="shared" si="1"/>
        <v>0</v>
      </c>
      <c r="K25" s="9"/>
      <c r="L25" s="9"/>
      <c r="M25" s="9"/>
    </row>
    <row r="26" spans="1:13">
      <c r="A26" s="11" t="str">
        <f>Table333456789101217[[#This Row],[Carrier]]</f>
        <v>Glide</v>
      </c>
      <c r="B26" s="5" t="str">
        <f>Table333456789101217[[#This Row],[IP]]</f>
        <v>120.45.12.25/85.739.221.80/85.739.221.93</v>
      </c>
      <c r="C26" s="6" t="str">
        <f>Table333456789101217[[#This Row],[Carrier Code]]</f>
        <v>GI</v>
      </c>
      <c r="D26" s="53">
        <v>0</v>
      </c>
      <c r="E26" s="53">
        <v>0</v>
      </c>
      <c r="F26" s="18">
        <f>Table3334567[[#This Row],[Company Panel]]+Table333456[[#This Row],[MTD Company]]</f>
        <v>0</v>
      </c>
      <c r="G26" s="18">
        <f>Table3334567[[#This Row],[Our Panel]]+Table333456[[#This Row],[MTD Panel]]</f>
        <v>0</v>
      </c>
      <c r="H26" s="13">
        <f t="shared" si="0"/>
        <v>0</v>
      </c>
      <c r="I26" s="13">
        <f t="shared" si="1"/>
        <v>0</v>
      </c>
      <c r="K26" s="9"/>
      <c r="L26" s="9"/>
      <c r="M26" s="9"/>
    </row>
    <row r="27" spans="1:13">
      <c r="A27" s="11" t="str">
        <f>Table333456789101217[[#This Row],[Carrier]]</f>
        <v>Orbit</v>
      </c>
      <c r="B27" s="5" t="str">
        <f>Table333456789101217[[#This Row],[IP]]</f>
        <v>176.98.54.112/60.110.154.91/60.110.155.162</v>
      </c>
      <c r="C27" s="6" t="str">
        <f>Table333456789101217[[#This Row],[Carrier Code]]</f>
        <v>OR</v>
      </c>
      <c r="D27" s="53">
        <v>0</v>
      </c>
      <c r="E27" s="53">
        <v>0</v>
      </c>
      <c r="F27" s="18">
        <f>Table3334567[[#This Row],[Company Panel]]+Table333456[[#This Row],[MTD Company]]</f>
        <v>0</v>
      </c>
      <c r="G27" s="18">
        <f>Table3334567[[#This Row],[Our Panel]]+Table333456[[#This Row],[MTD Panel]]</f>
        <v>0</v>
      </c>
      <c r="H27" s="13">
        <f t="shared" si="0"/>
        <v>0</v>
      </c>
      <c r="I27" s="13">
        <f t="shared" si="1"/>
        <v>0</v>
      </c>
      <c r="K27" s="9"/>
      <c r="L27" s="9"/>
      <c r="M27" s="9"/>
    </row>
    <row r="28" spans="1:13">
      <c r="A28" s="11" t="str">
        <f>Table333456789101217[[#This Row],[Carrier]]</f>
        <v>Thunder</v>
      </c>
      <c r="B28" s="5" t="str">
        <f>Table333456789101217[[#This Row],[IP]]</f>
        <v>67.102.200.9/81.905.48.847/143.235.100.34</v>
      </c>
      <c r="C28" s="6" t="str">
        <f>Table333456789101217[[#This Row],[Carrier Code]]</f>
        <v>TU</v>
      </c>
      <c r="D28" s="53">
        <v>12.966666666666667</v>
      </c>
      <c r="E28" s="53">
        <v>12.966666666666667</v>
      </c>
      <c r="F28" s="18">
        <f>Table3334567[[#This Row],[Company Panel]]+Table333456[[#This Row],[MTD Company]]</f>
        <v>119.15</v>
      </c>
      <c r="G28" s="18">
        <f>Table3334567[[#This Row],[Our Panel]]+Table333456[[#This Row],[MTD Panel]]</f>
        <v>119.15</v>
      </c>
      <c r="H28" s="13">
        <f t="shared" si="0"/>
        <v>0</v>
      </c>
      <c r="I28" s="13">
        <f t="shared" si="1"/>
        <v>0</v>
      </c>
      <c r="K28" s="9"/>
      <c r="L28" s="9"/>
      <c r="M28" s="9"/>
    </row>
    <row r="29" spans="1:13">
      <c r="A29" s="11" t="str">
        <f>Table333456789101217[[#This Row],[Carrier]]</f>
        <v>Glimmer</v>
      </c>
      <c r="B29" s="5" t="str">
        <f>Table333456789101217[[#This Row],[IP]]</f>
        <v>99.22.211.100/71.54.85.344/71.54.85.218</v>
      </c>
      <c r="C29" s="6" t="str">
        <f>Table333456789101217[[#This Row],[Carrier Code]]</f>
        <v>GM</v>
      </c>
      <c r="D29" s="53">
        <v>0</v>
      </c>
      <c r="E29" s="53">
        <v>0</v>
      </c>
      <c r="F29" s="18">
        <f>Table3334567[[#This Row],[Company Panel]]+Table333456[[#This Row],[MTD Company]]</f>
        <v>0</v>
      </c>
      <c r="G29" s="18">
        <f>Table3334567[[#This Row],[Our Panel]]+Table333456[[#This Row],[MTD Panel]]</f>
        <v>0</v>
      </c>
      <c r="H29" s="13">
        <f t="shared" si="0"/>
        <v>0</v>
      </c>
      <c r="I29" s="13">
        <f t="shared" si="1"/>
        <v>0</v>
      </c>
      <c r="K29" s="9"/>
      <c r="M29" s="9"/>
    </row>
    <row r="30" spans="1:13">
      <c r="A30" s="11" t="str">
        <f>Table333456789101217[[#This Row],[Carrier]]</f>
        <v>Fragment</v>
      </c>
      <c r="B30" s="5" t="str">
        <f>Table333456789101217[[#This Row],[IP]]</f>
        <v>203.0.113.56/195.56.101.10</v>
      </c>
      <c r="C30" s="6" t="str">
        <f>Table333456789101217[[#This Row],[Carrier Code]]</f>
        <v>FR</v>
      </c>
      <c r="D30" s="53">
        <v>0</v>
      </c>
      <c r="E30" s="53">
        <v>0</v>
      </c>
      <c r="F30" s="18">
        <f>Table3334567[[#This Row],[Company Panel]]+Table333456[[#This Row],[MTD Company]]</f>
        <v>0</v>
      </c>
      <c r="G30" s="18">
        <f>Table3334567[[#This Row],[Our Panel]]+Table333456[[#This Row],[MTD Panel]]</f>
        <v>0</v>
      </c>
      <c r="H30" s="13">
        <f t="shared" si="0"/>
        <v>0</v>
      </c>
      <c r="I30" s="13">
        <f t="shared" si="1"/>
        <v>0</v>
      </c>
      <c r="K30" s="9"/>
      <c r="M30" s="9"/>
    </row>
    <row r="31" spans="1:13">
      <c r="A31" s="11" t="str">
        <f>Table333456789101217[[#This Row],[Carrier]]</f>
        <v>Dusk</v>
      </c>
      <c r="B31" s="5" t="str">
        <f>Table333456789101217[[#This Row],[IP]]</f>
        <v>33.44.55.66/33.44.55.84/33.44.55.122/214.68.90.122</v>
      </c>
      <c r="C31" s="6" t="str">
        <f>Table333456789101217[[#This Row],[Carrier Code]]</f>
        <v>DK</v>
      </c>
      <c r="D31" s="53">
        <v>0</v>
      </c>
      <c r="E31" s="53">
        <v>0</v>
      </c>
      <c r="F31" s="18">
        <f>Table3334567[[#This Row],[Company Panel]]+Table333456[[#This Row],[MTD Company]]</f>
        <v>0</v>
      </c>
      <c r="G31" s="18">
        <f>Table3334567[[#This Row],[Our Panel]]+Table333456[[#This Row],[MTD Panel]]</f>
        <v>0</v>
      </c>
      <c r="H31" s="13">
        <f t="shared" ref="H31:H36" si="2">D31-E31</f>
        <v>0</v>
      </c>
      <c r="I31" s="13">
        <f t="shared" ref="I31:I36" si="3">F31-G31</f>
        <v>0</v>
      </c>
      <c r="K31" s="9"/>
      <c r="M31" s="9"/>
    </row>
    <row r="32" spans="1:13">
      <c r="A32" s="11" t="str">
        <f>Table333456789101217[[#This Row],[Carrier]]</f>
        <v>Breeze</v>
      </c>
      <c r="B32" s="5" t="str">
        <f>Table333456789101217[[#This Row],[IP]]</f>
        <v>199.123.87.45/199.123.34.52/77.189.22.56</v>
      </c>
      <c r="C32" s="6" t="str">
        <f>Table333456789101217[[#This Row],[Carrier Code]]</f>
        <v>BR</v>
      </c>
      <c r="D32" s="53">
        <v>0</v>
      </c>
      <c r="E32" s="53">
        <v>0</v>
      </c>
      <c r="F32" s="18">
        <f>Table3334567[[#This Row],[Company Panel]]+Table333456[[#This Row],[MTD Company]]</f>
        <v>0</v>
      </c>
      <c r="G32" s="18">
        <f>Table3334567[[#This Row],[Our Panel]]+Table333456[[#This Row],[MTD Panel]]</f>
        <v>0</v>
      </c>
      <c r="H32" s="13">
        <f t="shared" si="2"/>
        <v>0</v>
      </c>
      <c r="I32" s="13">
        <f t="shared" si="3"/>
        <v>0</v>
      </c>
      <c r="K32" s="9"/>
      <c r="M32" s="9"/>
    </row>
    <row r="33" spans="1:13">
      <c r="A33" s="11" t="str">
        <f>Table333456789101217[[#This Row],[Carrier]]</f>
        <v>Clutch</v>
      </c>
      <c r="B33" s="5" t="str">
        <f>Table333456789101217[[#This Row],[IP]]</f>
        <v>55.66.77.88/84.126.79.28/152.233.45.11</v>
      </c>
      <c r="C33" s="6" t="str">
        <f>Table333456789101217[[#This Row],[Carrier Code]]</f>
        <v>CL</v>
      </c>
      <c r="D33" s="53">
        <v>0</v>
      </c>
      <c r="E33" s="53">
        <v>0</v>
      </c>
      <c r="F33" s="18">
        <f>Table3334567[[#This Row],[Company Panel]]+Table333456[[#This Row],[MTD Company]]</f>
        <v>0</v>
      </c>
      <c r="G33" s="18">
        <f>Table3334567[[#This Row],[Our Panel]]+Table333456[[#This Row],[MTD Panel]]</f>
        <v>0</v>
      </c>
      <c r="H33" s="13">
        <f t="shared" si="2"/>
        <v>0</v>
      </c>
      <c r="I33" s="13">
        <f t="shared" si="3"/>
        <v>0</v>
      </c>
      <c r="K33" s="9"/>
      <c r="M33" s="9"/>
    </row>
    <row r="34" spans="1:13">
      <c r="A34" s="11" t="str">
        <f>Table333456789101217[[#This Row],[Carrier]]</f>
        <v>Haze</v>
      </c>
      <c r="B34" s="5" t="str">
        <f>Table333456789101217[[#This Row],[IP]]</f>
        <v>230.111.44.56</v>
      </c>
      <c r="C34" s="6" t="str">
        <f>Table333456789101217[[#This Row],[Carrier Code]]</f>
        <v>HZ</v>
      </c>
      <c r="D34" s="53">
        <v>0</v>
      </c>
      <c r="E34" s="53">
        <v>0</v>
      </c>
      <c r="F34" s="18">
        <f>Table3334567[[#This Row],[Company Panel]]+Table333456[[#This Row],[MTD Company]]</f>
        <v>0</v>
      </c>
      <c r="G34" s="18">
        <f>Table3334567[[#This Row],[Our Panel]]+Table333456[[#This Row],[MTD Panel]]</f>
        <v>0</v>
      </c>
      <c r="H34" s="13">
        <f t="shared" si="2"/>
        <v>0</v>
      </c>
      <c r="I34" s="13">
        <f t="shared" si="3"/>
        <v>0</v>
      </c>
      <c r="K34" s="9"/>
      <c r="M34" s="9"/>
    </row>
    <row r="35" spans="1:13">
      <c r="A35" s="11" t="str">
        <f>Table333456789101217[[#This Row],[Carrier]]</f>
        <v>Vault</v>
      </c>
      <c r="B35" s="5" t="str">
        <f>Table333456789101217[[#This Row],[IP]]</f>
        <v>213.189.94.5/213.189.94.7/111.180.64.222</v>
      </c>
      <c r="C35" s="6" t="str">
        <f>Table333456789101217[[#This Row],[Carrier Code]]</f>
        <v>VA</v>
      </c>
      <c r="D35" s="53">
        <v>0</v>
      </c>
      <c r="E35" s="53">
        <v>0</v>
      </c>
      <c r="F35" s="18">
        <f>Table3334567[[#This Row],[Company Panel]]+Table333456[[#This Row],[MTD Company]]</f>
        <v>0</v>
      </c>
      <c r="G35" s="18">
        <f>Table3334567[[#This Row],[Our Panel]]+Table333456[[#This Row],[MTD Panel]]</f>
        <v>0</v>
      </c>
      <c r="H35" s="13">
        <f t="shared" si="2"/>
        <v>0</v>
      </c>
      <c r="I35" s="13">
        <f t="shared" si="3"/>
        <v>0</v>
      </c>
      <c r="K35" s="9"/>
      <c r="M35" s="9"/>
    </row>
    <row r="36" spans="1:13">
      <c r="A36" s="11" t="str">
        <f>Table333456789101217[[#This Row],[Carrier]]</f>
        <v>Scatter</v>
      </c>
      <c r="B36" s="5" t="str">
        <f>Table333456789101217[[#This Row],[IP]]</f>
        <v>14.123.45.67/168.251.90.15</v>
      </c>
      <c r="C36" s="6" t="str">
        <f>Table333456789101217[[#This Row],[Carrier Code]]</f>
        <v>SC</v>
      </c>
      <c r="D36" s="53">
        <v>7.2</v>
      </c>
      <c r="E36" s="53">
        <v>7.2</v>
      </c>
      <c r="F36" s="18">
        <f>Table3334567[[#This Row],[Company Panel]]+Table333456[[#This Row],[MTD Company]]</f>
        <v>47.266666666666666</v>
      </c>
      <c r="G36" s="18">
        <f>Table3334567[[#This Row],[Our Panel]]+Table333456[[#This Row],[MTD Panel]]</f>
        <v>47.266666666666666</v>
      </c>
      <c r="H36" s="13">
        <f t="shared" si="2"/>
        <v>0</v>
      </c>
      <c r="I36" s="13">
        <f t="shared" si="3"/>
        <v>0</v>
      </c>
      <c r="K36" s="9"/>
      <c r="M36" s="9"/>
    </row>
    <row r="37" spans="1:13">
      <c r="A37" s="11" t="str">
        <f>Table333456789101217[[#This Row],[Carrier]]</f>
        <v>Hammer</v>
      </c>
      <c r="B37" s="5" t="str">
        <f>Table333456789101217[[#This Row],[IP]]</f>
        <v>200.111.78.9/200.111.236.62/200.111.823.89/137.79.48.56</v>
      </c>
      <c r="C37" s="6" t="str">
        <f>Table333456789101217[[#This Row],[Carrier Code]]</f>
        <v>HA</v>
      </c>
      <c r="D37" s="53">
        <v>0</v>
      </c>
      <c r="E37" s="53">
        <v>0</v>
      </c>
      <c r="F37" s="18">
        <f>Table3334567[[#This Row],[Company Panel]]+Table333456[[#This Row],[MTD Company]]</f>
        <v>0</v>
      </c>
      <c r="G37" s="18">
        <f>Table3334567[[#This Row],[Our Panel]]+Table333456[[#This Row],[MTD Panel]]</f>
        <v>0</v>
      </c>
      <c r="H37" s="72">
        <f t="shared" ref="H37:H44" si="4">D37-E37</f>
        <v>0</v>
      </c>
      <c r="I37" s="72">
        <f t="shared" ref="I37:I44" si="5">F37-G37</f>
        <v>0</v>
      </c>
      <c r="K37" s="9"/>
      <c r="M37" s="9"/>
    </row>
    <row r="38" spans="1:13">
      <c r="A38" s="11" t="str">
        <f>Table333456789101217[[#This Row],[Carrier]]</f>
        <v>Smudge</v>
      </c>
      <c r="B38" s="5" t="str">
        <f>Table333456789101217[[#This Row],[IP]]</f>
        <v>88.99.233.56/54.71.99.234</v>
      </c>
      <c r="C38" s="6" t="str">
        <f>Table333456789101217[[#This Row],[Carrier Code]]</f>
        <v>SM</v>
      </c>
      <c r="D38" s="53">
        <v>11.683333333333334</v>
      </c>
      <c r="E38" s="53">
        <v>11.683333333333334</v>
      </c>
      <c r="F38" s="18">
        <f>Table3334567[[#This Row],[Company Panel]]+Table333456[[#This Row],[MTD Company]]</f>
        <v>53.283333333333331</v>
      </c>
      <c r="G38" s="18">
        <f>Table3334567[[#This Row],[Our Panel]]+Table333456[[#This Row],[MTD Panel]]</f>
        <v>53.283333333333331</v>
      </c>
      <c r="H38" s="72">
        <f t="shared" si="4"/>
        <v>0</v>
      </c>
      <c r="I38" s="72">
        <f t="shared" si="5"/>
        <v>0</v>
      </c>
      <c r="K38" s="9"/>
      <c r="M38" s="9"/>
    </row>
    <row r="39" spans="1:13">
      <c r="A39" s="11" t="str">
        <f>Table333456789101217[[#This Row],[Carrier]]</f>
        <v>Quirk</v>
      </c>
      <c r="B39" s="5" t="str">
        <f>Table333456789101217[[#This Row],[IP]]</f>
        <v>62.45.100.31/62.45.100.15/62.45.100.65/211.95.102.6</v>
      </c>
      <c r="C39" s="6" t="str">
        <f>Table333456789101217[[#This Row],[Carrier Code]]</f>
        <v>QU</v>
      </c>
      <c r="D39" s="53">
        <v>809.41666666666663</v>
      </c>
      <c r="E39" s="53">
        <v>809.41666666666663</v>
      </c>
      <c r="F39" s="18">
        <f>Table3334567[[#This Row],[Company Panel]]+Table333456[[#This Row],[MTD Company]]</f>
        <v>11106.683333333332</v>
      </c>
      <c r="G39" s="18">
        <f>Table3334567[[#This Row],[Our Panel]]+Table333456[[#This Row],[MTD Panel]]</f>
        <v>11106.683333333332</v>
      </c>
      <c r="H39" s="13">
        <f t="shared" si="4"/>
        <v>0</v>
      </c>
      <c r="I39" s="13">
        <f t="shared" si="5"/>
        <v>0</v>
      </c>
      <c r="K39" s="9"/>
      <c r="M39" s="9"/>
    </row>
    <row r="40" spans="1:13">
      <c r="A40" s="11" t="str">
        <f>Table333456789101217[[#This Row],[Carrier]]</f>
        <v>Vortex</v>
      </c>
      <c r="B40" s="5" t="str">
        <f>Table333456789101217[[#This Row],[IP]]</f>
        <v>179.250.91.8/29.540.67.457/94.25.34.78/183.144.27.18</v>
      </c>
      <c r="C40" s="6" t="str">
        <f>Table333456789101217[[#This Row],[Carrier Code]]</f>
        <v>VT</v>
      </c>
      <c r="D40" s="53">
        <v>0</v>
      </c>
      <c r="E40" s="53">
        <v>0</v>
      </c>
      <c r="F40" s="18">
        <f>Table3334567[[#This Row],[Company Panel]]+Table333456[[#This Row],[MTD Company]]</f>
        <v>0</v>
      </c>
      <c r="G40" s="18">
        <f>Table3334567[[#This Row],[Our Panel]]+Table333456[[#This Row],[MTD Panel]]</f>
        <v>0</v>
      </c>
      <c r="H40" s="72">
        <f t="shared" si="4"/>
        <v>0</v>
      </c>
      <c r="I40" s="72">
        <f t="shared" si="5"/>
        <v>0</v>
      </c>
      <c r="K40" s="9"/>
      <c r="M40" s="9"/>
    </row>
    <row r="41" spans="1:13">
      <c r="A41" s="11" t="str">
        <f>Table333456789101217[[#This Row],[Carrier]]</f>
        <v>Void</v>
      </c>
      <c r="B41" s="5" t="str">
        <f>Table333456789101217[[#This Row],[IP]]</f>
        <v>156.34.123.11/156.34.123.25/156.34.123.62/92.44.233.110</v>
      </c>
      <c r="C41" s="6" t="str">
        <f>Table333456789101217[[#This Row],[Carrier Code]]</f>
        <v>VO</v>
      </c>
      <c r="D41" s="53">
        <v>31.15</v>
      </c>
      <c r="E41" s="53">
        <v>31.15</v>
      </c>
      <c r="F41" s="18">
        <f>Table3334567[[#This Row],[Company Panel]]+Table333456[[#This Row],[MTD Company]]</f>
        <v>296.09999999999997</v>
      </c>
      <c r="G41" s="18">
        <f>Table3334567[[#This Row],[Our Panel]]+Table333456[[#This Row],[MTD Panel]]</f>
        <v>296.09999999999997</v>
      </c>
      <c r="H41" s="13">
        <f t="shared" si="4"/>
        <v>0</v>
      </c>
      <c r="I41" s="13">
        <f t="shared" si="5"/>
        <v>0</v>
      </c>
      <c r="K41" s="9"/>
      <c r="M41" s="9"/>
    </row>
    <row r="42" spans="1:13">
      <c r="A42" s="11" t="str">
        <f>Table333456789101217[[#This Row],[Carrier]]</f>
        <v>Midnight</v>
      </c>
      <c r="B42" s="5" t="str">
        <f>Table333456789101217[[#This Row],[IP]]</f>
        <v>134.77.22.4/23.97.150.8</v>
      </c>
      <c r="C42" s="6" t="str">
        <f>Table333456789101217[[#This Row],[Carrier Code]]</f>
        <v>MI</v>
      </c>
      <c r="D42" s="53">
        <v>65.25</v>
      </c>
      <c r="E42" s="53">
        <v>65.25</v>
      </c>
      <c r="F42" s="18">
        <f>Table3334567[[#This Row],[Company Panel]]+Table333456[[#This Row],[MTD Company]]</f>
        <v>370.1</v>
      </c>
      <c r="G42" s="18">
        <f>Table3334567[[#This Row],[Our Panel]]+Table333456[[#This Row],[MTD Panel]]</f>
        <v>370.1</v>
      </c>
      <c r="H42" s="72">
        <f t="shared" si="4"/>
        <v>0</v>
      </c>
      <c r="I42" s="72">
        <f t="shared" si="5"/>
        <v>0</v>
      </c>
      <c r="K42" s="9"/>
      <c r="M42" s="9"/>
    </row>
    <row r="43" spans="1:13">
      <c r="A43" s="11" t="str">
        <f>Table333456789101217[[#This Row],[Carrier]]</f>
        <v>Autumn</v>
      </c>
      <c r="B43" s="5" t="str">
        <f>Table333456789101217[[#This Row],[IP]]</f>
        <v>202.54.210.88/12.331.94.73/64.19.28.175</v>
      </c>
      <c r="C43" s="6" t="str">
        <f>Table333456789101217[[#This Row],[Carrier Code]]</f>
        <v>AU</v>
      </c>
      <c r="D43" s="53">
        <v>0</v>
      </c>
      <c r="E43" s="53">
        <v>0</v>
      </c>
      <c r="F43" s="18">
        <f>Table3334567[[#This Row],[Company Panel]]+Table333456[[#This Row],[MTD Company]]</f>
        <v>56.116666666666674</v>
      </c>
      <c r="G43" s="18">
        <f>Table3334567[[#This Row],[Our Panel]]+Table333456[[#This Row],[MTD Panel]]</f>
        <v>56.116666666666674</v>
      </c>
      <c r="H43" s="72">
        <f t="shared" si="4"/>
        <v>0</v>
      </c>
      <c r="I43" s="72">
        <f t="shared" si="5"/>
        <v>0</v>
      </c>
      <c r="K43" s="9"/>
      <c r="M43" s="9"/>
    </row>
    <row r="44" spans="1:13">
      <c r="A44" s="11" t="str">
        <f>Table333456789101217[[#This Row],[Carrier]]</f>
        <v>Mystic</v>
      </c>
      <c r="B44" s="5" t="str">
        <f>Table333456789101217[[#This Row],[IP]]</f>
        <v>51.233.21.76/82.115.35.60/82.115.35.85</v>
      </c>
      <c r="C44" s="6" t="str">
        <f>Table333456789101217[[#This Row],[Carrier Code]]</f>
        <v>MY</v>
      </c>
      <c r="D44" s="53">
        <v>0</v>
      </c>
      <c r="E44" s="53">
        <v>0</v>
      </c>
      <c r="F44" s="18">
        <f>Table3334567[[#This Row],[Company Panel]]+Table333456[[#This Row],[MTD Company]]</f>
        <v>0</v>
      </c>
      <c r="G44" s="18">
        <f>Table3334567[[#This Row],[Our Panel]]+Table333456[[#This Row],[MTD Panel]]</f>
        <v>0</v>
      </c>
      <c r="H44" s="72">
        <f t="shared" si="4"/>
        <v>0</v>
      </c>
      <c r="I44" s="72">
        <f t="shared" si="5"/>
        <v>0</v>
      </c>
      <c r="K44" s="9"/>
      <c r="M44" s="9"/>
    </row>
    <row r="45" spans="1:13">
      <c r="A45" s="11" t="str">
        <f>Table333456789101217[[#This Row],[Carrier]]</f>
        <v>Clover</v>
      </c>
      <c r="B45" s="5" t="str">
        <f>Table333456789101217[[#This Row],[IP]]</f>
        <v>210.150.12.45/84.50.212.66/135.113.88.9</v>
      </c>
      <c r="C45" s="6" t="str">
        <f>Table333456789101217[[#This Row],[Carrier Code]]</f>
        <v>CO</v>
      </c>
      <c r="D45" s="53">
        <v>13016.316666666668</v>
      </c>
      <c r="E45" s="53">
        <v>13016.316666666668</v>
      </c>
      <c r="F45" s="18">
        <f>Table3334567[[#This Row],[Company Panel]]+Table333456[[#This Row],[MTD Company]]</f>
        <v>14040.283333333335</v>
      </c>
      <c r="G45" s="18">
        <f>Table3334567[[#This Row],[Our Panel]]+Table333456[[#This Row],[MTD Panel]]</f>
        <v>14040.283333333335</v>
      </c>
      <c r="H45" s="78">
        <f>D45-E45</f>
        <v>0</v>
      </c>
      <c r="I45" s="78">
        <f>F45-G45</f>
        <v>0</v>
      </c>
      <c r="K45" s="9"/>
      <c r="M45" s="9"/>
    </row>
    <row r="46" spans="1:13">
      <c r="A46" s="11" t="str">
        <f>Table333456789101217[[#This Row],[Carrier]]</f>
        <v>Hunter</v>
      </c>
      <c r="B46" s="5" t="str">
        <f>Table333456789101217[[#This Row],[IP]]</f>
        <v>170.199.20.87/13.693.39.280/78.30.123.47</v>
      </c>
      <c r="C46" s="6" t="str">
        <f>Table333456789101217[[#This Row],[Carrier Code]]</f>
        <v>HU</v>
      </c>
      <c r="D46" s="53">
        <v>145.55000000000001</v>
      </c>
      <c r="E46" s="53">
        <v>145.55000000000001</v>
      </c>
      <c r="F46" s="18">
        <f>Table3334567[[#This Row],[Company Panel]]+Table333456[[#This Row],[MTD Company]]</f>
        <v>1836.1</v>
      </c>
      <c r="G46" s="18">
        <f>Table3334567[[#This Row],[Our Panel]]+Table333456[[#This Row],[MTD Panel]]</f>
        <v>1836.1</v>
      </c>
      <c r="H46" s="13">
        <f>D46-E46</f>
        <v>0</v>
      </c>
      <c r="I46" s="13">
        <f>F46-G46</f>
        <v>0</v>
      </c>
      <c r="K46" s="9"/>
      <c r="M46" s="9"/>
    </row>
    <row r="47" spans="1:13">
      <c r="A47" s="11" t="str">
        <f>Table333456789101217[[#This Row],[Carrier]]</f>
        <v>Invaded</v>
      </c>
      <c r="B47" s="5" t="str">
        <f>Table333456789101217[[#This Row],[IP]]</f>
        <v>182.67.99.120/80.518.230.410/26.847.95.107/188.12.67.92</v>
      </c>
      <c r="C47" s="6" t="str">
        <f>Table333456789101217[[#This Row],[Carrier Code]]</f>
        <v>ID</v>
      </c>
      <c r="D47" s="53">
        <v>0</v>
      </c>
      <c r="E47" s="53">
        <v>0</v>
      </c>
      <c r="F47" s="18">
        <f>Table3334567[[#This Row],[Company Panel]]+Table333456[[#This Row],[MTD Company]]</f>
        <v>0</v>
      </c>
      <c r="G47" s="18">
        <f>Table3334567[[#This Row],[Our Panel]]+Table333456[[#This Row],[MTD Panel]]</f>
        <v>0</v>
      </c>
      <c r="H47" s="13">
        <f>D47-E47</f>
        <v>0</v>
      </c>
      <c r="I47" s="13">
        <f>F47-G47</f>
        <v>0</v>
      </c>
      <c r="K47" s="9"/>
      <c r="M47" s="9"/>
    </row>
    <row r="48" spans="1:13">
      <c r="A48" s="11" t="str">
        <f>Table333456789101217[[#This Row],[Carrier]]</f>
        <v>Delusion</v>
      </c>
      <c r="B48" s="5" t="str">
        <f>Table333456789101217[[#This Row],[IP]]</f>
        <v>198.51.100.72/69.887.74.738/39.153.110.645</v>
      </c>
      <c r="C48" s="6" t="str">
        <f>Table333456789101217[[#This Row],[Carrier Code]]</f>
        <v>DU</v>
      </c>
      <c r="D48" s="53">
        <v>0</v>
      </c>
      <c r="E48" s="53">
        <v>0</v>
      </c>
      <c r="F48" s="18">
        <f>Table3334567[[#This Row],[Company Panel]]+Table333456[[#This Row],[MTD Company]]</f>
        <v>0</v>
      </c>
      <c r="G48" s="18">
        <f>Table3334567[[#This Row],[Our Panel]]+Table333456[[#This Row],[MTD Panel]]</f>
        <v>0</v>
      </c>
      <c r="H48" s="13">
        <f>D48-E48</f>
        <v>0</v>
      </c>
      <c r="I48" s="13">
        <f>F48-G48</f>
        <v>0</v>
      </c>
      <c r="K48" s="9"/>
      <c r="M48" s="9"/>
    </row>
    <row r="49" spans="1:9" ht="15.5">
      <c r="A49" s="11" t="str">
        <f>Table333456789101217[[#This Row],[Carrier]]</f>
        <v>Total</v>
      </c>
      <c r="B49" s="14"/>
      <c r="C49" s="15"/>
      <c r="D49" s="16">
        <f>SUM(D3:D48)</f>
        <v>24672.783333333336</v>
      </c>
      <c r="E49" s="16">
        <f t="shared" ref="E49:I49" si="6">SUM(E3:E48)</f>
        <v>24672.783333333336</v>
      </c>
      <c r="F49" s="16">
        <f t="shared" si="6"/>
        <v>63236.133333333331</v>
      </c>
      <c r="G49" s="16">
        <f t="shared" si="6"/>
        <v>63236.133333333331</v>
      </c>
      <c r="H49" s="16">
        <f t="shared" si="6"/>
        <v>0</v>
      </c>
      <c r="I49" s="16">
        <f t="shared" si="6"/>
        <v>0</v>
      </c>
    </row>
  </sheetData>
  <conditionalFormatting sqref="H2:I48">
    <cfRule type="cellIs" dxfId="475" priority="75" operator="lessThan">
      <formula>0</formula>
    </cfRule>
  </conditionalFormatting>
  <conditionalFormatting sqref="I30:I48">
    <cfRule type="cellIs" dxfId="474" priority="74" operator="lessThan">
      <formula>0</formula>
    </cfRule>
  </conditionalFormatting>
  <conditionalFormatting sqref="H3:I48">
    <cfRule type="cellIs" dxfId="473" priority="72" operator="lessThan">
      <formula>0</formula>
    </cfRule>
  </conditionalFormatting>
  <conditionalFormatting sqref="I30:I48">
    <cfRule type="cellIs" dxfId="472" priority="68" operator="lessThan">
      <formula>0</formula>
    </cfRule>
  </conditionalFormatting>
  <conditionalFormatting sqref="I3:I48">
    <cfRule type="cellIs" dxfId="471" priority="59" operator="lessThan">
      <formula>0</formula>
    </cfRule>
    <cfRule type="cellIs" dxfId="470" priority="60" operator="lessThan">
      <formula>0</formula>
    </cfRule>
  </conditionalFormatting>
  <hyperlinks>
    <hyperlink ref="D1" location="'5'!D1" display="←"/>
    <hyperlink ref="F1" location="'7'!F1" display="→"/>
  </hyperlink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9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D3" sqref="D3"/>
    </sheetView>
  </sheetViews>
  <sheetFormatPr defaultRowHeight="14.5"/>
  <cols>
    <col min="1" max="1" width="26.7265625" bestFit="1" customWidth="1"/>
    <col min="2" max="2" width="37" bestFit="1" customWidth="1"/>
    <col min="3" max="3" width="10.453125" customWidth="1"/>
    <col min="4" max="9" width="12.7265625" customWidth="1"/>
  </cols>
  <sheetData>
    <row r="1" spans="1:11" ht="18.5">
      <c r="A1" s="23" t="str">
        <f>H!A8</f>
        <v>7th April 2025</v>
      </c>
      <c r="B1" s="24"/>
      <c r="C1" s="24"/>
      <c r="D1" s="22" t="s">
        <v>16</v>
      </c>
      <c r="E1" s="22" t="s">
        <v>9</v>
      </c>
      <c r="F1" s="22" t="s">
        <v>17</v>
      </c>
    </row>
    <row r="2" spans="1:11" ht="31">
      <c r="A2" s="1" t="s">
        <v>0</v>
      </c>
      <c r="B2" s="2" t="s">
        <v>1</v>
      </c>
      <c r="C2" s="2" t="s">
        <v>2</v>
      </c>
      <c r="D2" s="2" t="s">
        <v>3</v>
      </c>
      <c r="E2" s="3" t="s">
        <v>5</v>
      </c>
      <c r="F2" s="3" t="s">
        <v>4</v>
      </c>
      <c r="G2" s="4" t="s">
        <v>6</v>
      </c>
      <c r="H2" s="4" t="s">
        <v>7</v>
      </c>
      <c r="I2" s="3" t="s">
        <v>8</v>
      </c>
    </row>
    <row r="3" spans="1:11">
      <c r="A3" s="11" t="str">
        <f>Table333456789101217[[#This Row],[Carrier]]</f>
        <v>Blaze</v>
      </c>
      <c r="B3" s="5" t="str">
        <f>Table333456789101217[[#This Row],[IP]]</f>
        <v>8.12.34.56/48.163.17.845/60.502.86.203/191.45.28.14</v>
      </c>
      <c r="C3" s="6" t="str">
        <f>Table333456789101217[[#This Row],[Carrier Code]]</f>
        <v>BZ</v>
      </c>
      <c r="D3" s="53">
        <v>0</v>
      </c>
      <c r="E3" s="53">
        <v>0</v>
      </c>
      <c r="F3" s="18">
        <f>Table33345678[[#This Row],[Company Panel]]+Table3334567[[#This Row],[MTD Company]]</f>
        <v>0</v>
      </c>
      <c r="G3" s="18">
        <f>Table33345678[[#This Row],[Our Panel]]+Table3334567[[#This Row],[MTD Panel]]</f>
        <v>0</v>
      </c>
      <c r="H3" s="13">
        <f t="shared" ref="H3:H30" si="0">D3-E3</f>
        <v>0</v>
      </c>
      <c r="I3" s="13">
        <f t="shared" ref="I3:I30" si="1">F3-G3</f>
        <v>0</v>
      </c>
    </row>
    <row r="4" spans="1:11">
      <c r="A4" s="11" t="str">
        <f>Table333456789101217[[#This Row],[Carrier]]</f>
        <v>Titan</v>
      </c>
      <c r="B4" s="5" t="str">
        <f>Table333456789101217[[#This Row],[IP]]</f>
        <v>123.45.67.89/123.45.67.93/203.24.101.65</v>
      </c>
      <c r="C4" s="6" t="str">
        <f>Table333456789101217[[#This Row],[Carrier Code]]</f>
        <v>TI</v>
      </c>
      <c r="D4" s="53">
        <v>35.366666666666667</v>
      </c>
      <c r="E4" s="53">
        <v>35.366666666666667</v>
      </c>
      <c r="F4" s="18">
        <f>Table33345678[[#This Row],[Company Panel]]+Table3334567[[#This Row],[MTD Company]]</f>
        <v>239.71666666666667</v>
      </c>
      <c r="G4" s="18">
        <f>Table33345678[[#This Row],[Our Panel]]+Table3334567[[#This Row],[MTD Panel]]</f>
        <v>239.71666666666667</v>
      </c>
      <c r="H4" s="13">
        <f t="shared" si="0"/>
        <v>0</v>
      </c>
      <c r="I4" s="13">
        <f t="shared" si="1"/>
        <v>0</v>
      </c>
      <c r="K4" s="9"/>
    </row>
    <row r="5" spans="1:11">
      <c r="A5" s="11" t="str">
        <f>Table333456789101217[[#This Row],[Carrier]]</f>
        <v>Hollow</v>
      </c>
      <c r="B5" s="5" t="str">
        <f>Table333456789101217[[#This Row],[IP]]</f>
        <v>204.56.78.100/204.56.57.169/52.94.101.12</v>
      </c>
      <c r="C5" s="6" t="str">
        <f>Table333456789101217[[#This Row],[Carrier Code]]</f>
        <v>HO</v>
      </c>
      <c r="D5" s="53">
        <v>0</v>
      </c>
      <c r="E5" s="53">
        <v>0</v>
      </c>
      <c r="F5" s="18">
        <f>Table33345678[[#This Row],[Company Panel]]+Table3334567[[#This Row],[MTD Company]]</f>
        <v>0</v>
      </c>
      <c r="G5" s="18">
        <f>Table33345678[[#This Row],[Our Panel]]+Table3334567[[#This Row],[MTD Panel]]</f>
        <v>0</v>
      </c>
      <c r="H5" s="13">
        <f t="shared" si="0"/>
        <v>0</v>
      </c>
      <c r="I5" s="13">
        <f t="shared" si="1"/>
        <v>0</v>
      </c>
    </row>
    <row r="6" spans="1:11">
      <c r="A6" s="11" t="str">
        <f>Table333456789101217[[#This Row],[Carrier]]</f>
        <v>Prism</v>
      </c>
      <c r="B6" s="5" t="str">
        <f>Table333456789101217[[#This Row],[IP]]</f>
        <v>35.118.22.45/137.63.112.25</v>
      </c>
      <c r="C6" s="6" t="str">
        <f>Table333456789101217[[#This Row],[Carrier Code]]</f>
        <v>PS</v>
      </c>
      <c r="D6" s="53">
        <v>713.23333333333335</v>
      </c>
      <c r="E6" s="53">
        <v>713.23333333333335</v>
      </c>
      <c r="F6" s="18">
        <f>Table33345678[[#This Row],[Company Panel]]+Table3334567[[#This Row],[MTD Company]]</f>
        <v>33280.73333333333</v>
      </c>
      <c r="G6" s="18">
        <f>Table33345678[[#This Row],[Our Panel]]+Table3334567[[#This Row],[MTD Panel]]</f>
        <v>33280.73333333333</v>
      </c>
      <c r="H6" s="13">
        <f t="shared" si="0"/>
        <v>0</v>
      </c>
      <c r="I6" s="13">
        <f t="shared" si="1"/>
        <v>0</v>
      </c>
    </row>
    <row r="7" spans="1:11">
      <c r="A7" s="11" t="str">
        <f>Table333456789101217[[#This Row],[Carrier]]</f>
        <v>Echo</v>
      </c>
      <c r="B7" s="5" t="str">
        <f>Table333456789101217[[#This Row],[IP]]</f>
        <v>66.89.101.10/66.89.101.19/66.89.101.23/66.89.101.45/66.89.101.81/85.21.34.99</v>
      </c>
      <c r="C7" s="6" t="str">
        <f>Table333456789101217[[#This Row],[Carrier Code]]</f>
        <v>EC</v>
      </c>
      <c r="D7" s="53">
        <v>3.7833333333333332</v>
      </c>
      <c r="E7" s="53">
        <v>3.7833333333333332</v>
      </c>
      <c r="F7" s="18">
        <f>Table33345678[[#This Row],[Company Panel]]+Table3334567[[#This Row],[MTD Company]]</f>
        <v>14.450000000000001</v>
      </c>
      <c r="G7" s="18">
        <f>Table33345678[[#This Row],[Our Panel]]+Table3334567[[#This Row],[MTD Panel]]</f>
        <v>14.450000000000001</v>
      </c>
      <c r="H7" s="13">
        <f t="shared" si="0"/>
        <v>0</v>
      </c>
      <c r="I7" s="13">
        <f t="shared" si="1"/>
        <v>0</v>
      </c>
    </row>
    <row r="8" spans="1:11">
      <c r="A8" s="11" t="str">
        <f>Table333456789101217[[#This Row],[Carrier]]</f>
        <v>Strike</v>
      </c>
      <c r="B8" s="5" t="str">
        <f>Table333456789101217[[#This Row],[IP]]</f>
        <v>100.200.150.3/100.200.165.38/41.102.90.78</v>
      </c>
      <c r="C8" s="6" t="str">
        <f>Table333456789101217[[#This Row],[Carrier Code]]</f>
        <v>ST</v>
      </c>
      <c r="D8" s="53">
        <v>78.63333333333334</v>
      </c>
      <c r="E8" s="53">
        <v>78.63333333333334</v>
      </c>
      <c r="F8" s="18">
        <f>Table33345678[[#This Row],[Company Panel]]+Table3334567[[#This Row],[MTD Company]]</f>
        <v>637.31666666666661</v>
      </c>
      <c r="G8" s="18">
        <f>Table33345678[[#This Row],[Our Panel]]+Table3334567[[#This Row],[MTD Panel]]</f>
        <v>637.31666666666661</v>
      </c>
      <c r="H8" s="13">
        <f t="shared" si="0"/>
        <v>0</v>
      </c>
      <c r="I8" s="13">
        <f t="shared" si="1"/>
        <v>0</v>
      </c>
      <c r="K8" s="9"/>
    </row>
    <row r="9" spans="1:11">
      <c r="A9" s="11" t="str">
        <f>Table333456789101217[[#This Row],[Carrier]]</f>
        <v>Blunt</v>
      </c>
      <c r="B9" s="5" t="str">
        <f>Table333456789101217[[#This Row],[IP]]</f>
        <v>52.28.191.25/52.28.191.38/52.28.191.24/61.110.23.45</v>
      </c>
      <c r="C9" s="6" t="str">
        <f>Table333456789101217[[#This Row],[Carrier Code]]</f>
        <v>BL</v>
      </c>
      <c r="D9" s="53">
        <v>137.43333333333334</v>
      </c>
      <c r="E9" s="53">
        <v>137.43333333333334</v>
      </c>
      <c r="F9" s="18">
        <f>Table33345678[[#This Row],[Company Panel]]+Table3334567[[#This Row],[MTD Company]]</f>
        <v>1912.5666666666666</v>
      </c>
      <c r="G9" s="18">
        <f>Table33345678[[#This Row],[Our Panel]]+Table3334567[[#This Row],[MTD Panel]]</f>
        <v>1912.5666666666666</v>
      </c>
      <c r="H9" s="13">
        <f t="shared" si="0"/>
        <v>0</v>
      </c>
      <c r="I9" s="13">
        <f t="shared" si="1"/>
        <v>0</v>
      </c>
    </row>
    <row r="10" spans="1:11">
      <c r="A10" s="11" t="str">
        <f>Table333456789101217[[#This Row],[Carrier]]</f>
        <v>Law</v>
      </c>
      <c r="B10" s="5" t="str">
        <f>Table333456789101217[[#This Row],[IP]]</f>
        <v>77.88.99.21/77.88.99.88/77.88.99.94/110.56.211.7</v>
      </c>
      <c r="C10" s="6" t="str">
        <f>Table333456789101217[[#This Row],[Carrier Code]]</f>
        <v>LA</v>
      </c>
      <c r="D10" s="53">
        <v>0</v>
      </c>
      <c r="E10" s="53">
        <v>0</v>
      </c>
      <c r="F10" s="18">
        <f>Table33345678[[#This Row],[Company Panel]]+Table3334567[[#This Row],[MTD Company]]</f>
        <v>0</v>
      </c>
      <c r="G10" s="18">
        <f>Table33345678[[#This Row],[Our Panel]]+Table3334567[[#This Row],[MTD Panel]]</f>
        <v>0</v>
      </c>
      <c r="H10" s="13">
        <f t="shared" si="0"/>
        <v>0</v>
      </c>
      <c r="I10" s="13">
        <f t="shared" si="1"/>
        <v>0</v>
      </c>
    </row>
    <row r="11" spans="1:11">
      <c r="A11" s="11" t="str">
        <f>Table333456789101217[[#This Row],[Carrier]]</f>
        <v>Pulse</v>
      </c>
      <c r="B11" s="5" t="str">
        <f>Table333456789101217[[#This Row],[IP]]</f>
        <v>198.51.100.130/31.725.16.608/66.59.61.503/167.34.122.90</v>
      </c>
      <c r="C11" s="6" t="str">
        <f>Table333456789101217[[#This Row],[Carrier Code]]</f>
        <v>PU</v>
      </c>
      <c r="D11" s="53">
        <v>0</v>
      </c>
      <c r="E11" s="53">
        <v>0</v>
      </c>
      <c r="F11" s="18">
        <f>Table33345678[[#This Row],[Company Panel]]+Table3334567[[#This Row],[MTD Company]]</f>
        <v>0</v>
      </c>
      <c r="G11" s="18">
        <f>Table33345678[[#This Row],[Our Panel]]+Table3334567[[#This Row],[MTD Panel]]</f>
        <v>0</v>
      </c>
      <c r="H11" s="13">
        <f>D11-E11</f>
        <v>0</v>
      </c>
      <c r="I11" s="13">
        <f t="shared" si="1"/>
        <v>0</v>
      </c>
    </row>
    <row r="12" spans="1:11">
      <c r="A12" s="11" t="str">
        <f>Table333456789101217[[#This Row],[Carrier]]</f>
        <v>Phantom</v>
      </c>
      <c r="B12" s="5" t="str">
        <f>Table333456789101217[[#This Row],[IP]]</f>
        <v>141.15.210.67/141.15.42.82/179.62.211.4</v>
      </c>
      <c r="C12" s="6" t="str">
        <f>Table333456789101217[[#This Row],[Carrier Code]]</f>
        <v>PH</v>
      </c>
      <c r="D12" s="53">
        <v>1828.05</v>
      </c>
      <c r="E12" s="53">
        <v>1828.05</v>
      </c>
      <c r="F12" s="18">
        <f>Table33345678[[#This Row],[Company Panel]]+Table3334567[[#This Row],[MTD Company]]</f>
        <v>1856.8833333333332</v>
      </c>
      <c r="G12" s="18">
        <f>Table33345678[[#This Row],[Our Panel]]+Table3334567[[#This Row],[MTD Panel]]</f>
        <v>1856.8833333333332</v>
      </c>
      <c r="H12" s="13">
        <f t="shared" si="0"/>
        <v>0</v>
      </c>
      <c r="I12" s="13">
        <f t="shared" si="1"/>
        <v>0</v>
      </c>
    </row>
    <row r="13" spans="1:11">
      <c r="A13" s="11" t="str">
        <f>Table333456789101217[[#This Row],[Carrier]]</f>
        <v>Dragon</v>
      </c>
      <c r="B13" s="5" t="str">
        <f>Table333456789101217[[#This Row],[IP]]</f>
        <v>12.34.56.78/12.34.56.128/200.180.245.18</v>
      </c>
      <c r="C13" s="6" t="str">
        <f>Table333456789101217[[#This Row],[Carrier Code]]</f>
        <v>DG</v>
      </c>
      <c r="D13" s="53">
        <v>0</v>
      </c>
      <c r="E13" s="53">
        <v>0</v>
      </c>
      <c r="F13" s="18">
        <f>Table33345678[[#This Row],[Company Panel]]+Table3334567[[#This Row],[MTD Company]]</f>
        <v>0</v>
      </c>
      <c r="G13" s="18">
        <f>Table33345678[[#This Row],[Our Panel]]+Table3334567[[#This Row],[MTD Panel]]</f>
        <v>0</v>
      </c>
      <c r="H13" s="13">
        <f t="shared" si="0"/>
        <v>0</v>
      </c>
      <c r="I13" s="13">
        <f t="shared" si="1"/>
        <v>0</v>
      </c>
    </row>
    <row r="14" spans="1:11">
      <c r="A14" s="11" t="str">
        <f>Table333456789101217[[#This Row],[Carrier]]</f>
        <v>Tempest</v>
      </c>
      <c r="B14" s="5" t="str">
        <f>Table333456789101217[[#This Row],[IP]]</f>
        <v>59.144.223.88/55.39.99.60</v>
      </c>
      <c r="C14" s="6" t="str">
        <f>Table333456789101217[[#This Row],[Carrier Code]]</f>
        <v>TE</v>
      </c>
      <c r="D14" s="53">
        <v>0</v>
      </c>
      <c r="E14" s="53">
        <v>0</v>
      </c>
      <c r="F14" s="18">
        <f>Table33345678[[#This Row],[Company Panel]]+Table3334567[[#This Row],[MTD Company]]</f>
        <v>0</v>
      </c>
      <c r="G14" s="18">
        <f>Table33345678[[#This Row],[Our Panel]]+Table3334567[[#This Row],[MTD Panel]]</f>
        <v>0</v>
      </c>
      <c r="H14" s="13">
        <f t="shared" si="0"/>
        <v>0</v>
      </c>
      <c r="I14" s="13">
        <f t="shared" si="1"/>
        <v>0</v>
      </c>
    </row>
    <row r="15" spans="1:11">
      <c r="A15" s="11" t="str">
        <f>Table333456789101217[[#This Row],[Carrier]]</f>
        <v>Shadow</v>
      </c>
      <c r="B15" s="5" t="str">
        <f>Table333456789101217[[#This Row],[IP]]</f>
        <v>175.45.112.100/25.851.31.153/39.80.220.100</v>
      </c>
      <c r="C15" s="6" t="str">
        <f>Table333456789101217[[#This Row],[Carrier Code]]</f>
        <v>SH</v>
      </c>
      <c r="D15" s="53">
        <v>0</v>
      </c>
      <c r="E15" s="53">
        <v>0</v>
      </c>
      <c r="F15" s="18">
        <f>Table33345678[[#This Row],[Company Panel]]+Table3334567[[#This Row],[MTD Company]]</f>
        <v>0</v>
      </c>
      <c r="G15" s="18">
        <f>Table33345678[[#This Row],[Our Panel]]+Table3334567[[#This Row],[MTD Panel]]</f>
        <v>0</v>
      </c>
      <c r="H15" s="13">
        <f>D15-E15</f>
        <v>0</v>
      </c>
      <c r="I15" s="13">
        <f t="shared" si="1"/>
        <v>0</v>
      </c>
    </row>
    <row r="16" spans="1:11">
      <c r="A16" s="11" t="str">
        <f>Table333456789101217[[#This Row],[Carrier]]</f>
        <v>Cyclone</v>
      </c>
      <c r="B16" s="5" t="str">
        <f>Table333456789101217[[#This Row],[IP]]</f>
        <v>150.13.75.190/16.160.89.512/72.11.97.34</v>
      </c>
      <c r="C16" s="6" t="str">
        <f>Table333456789101217[[#This Row],[Carrier Code]]</f>
        <v>CY</v>
      </c>
      <c r="D16" s="53">
        <v>0</v>
      </c>
      <c r="E16" s="53">
        <v>0</v>
      </c>
      <c r="F16" s="18">
        <f>Table33345678[[#This Row],[Company Panel]]+Table3334567[[#This Row],[MTD Company]]</f>
        <v>0</v>
      </c>
      <c r="G16" s="18">
        <f>Table33345678[[#This Row],[Our Panel]]+Table3334567[[#This Row],[MTD Panel]]</f>
        <v>0</v>
      </c>
      <c r="H16" s="13">
        <f t="shared" si="0"/>
        <v>0</v>
      </c>
      <c r="I16" s="13">
        <f t="shared" si="1"/>
        <v>0</v>
      </c>
    </row>
    <row r="17" spans="1:9">
      <c r="A17" s="11" t="str">
        <f>Table333456789101217[[#This Row],[Carrier]]</f>
        <v>Reaver</v>
      </c>
      <c r="B17" s="5" t="str">
        <f>Table333456789101217[[#This Row],[IP]]</f>
        <v>203.0.113.44/188.17.56.210</v>
      </c>
      <c r="C17" s="6" t="str">
        <f>Table333456789101217[[#This Row],[Carrier Code]]</f>
        <v>RE</v>
      </c>
      <c r="D17" s="53">
        <v>0</v>
      </c>
      <c r="E17" s="53">
        <v>0</v>
      </c>
      <c r="F17" s="18">
        <f>Table33345678[[#This Row],[Company Panel]]+Table3334567[[#This Row],[MTD Company]]</f>
        <v>0</v>
      </c>
      <c r="G17" s="18">
        <f>Table33345678[[#This Row],[Our Panel]]+Table3334567[[#This Row],[MTD Panel]]</f>
        <v>0</v>
      </c>
      <c r="H17" s="13">
        <f t="shared" si="0"/>
        <v>0</v>
      </c>
      <c r="I17" s="13">
        <f t="shared" si="1"/>
        <v>0</v>
      </c>
    </row>
    <row r="18" spans="1:9">
      <c r="A18" s="11" t="str">
        <f>Table333456789101217[[#This Row],[Carrier]]</f>
        <v>Forge</v>
      </c>
      <c r="B18" s="5" t="str">
        <f>Table333456789101217[[#This Row],[IP]]</f>
        <v>112.54.89.168/112.54.89.138</v>
      </c>
      <c r="C18" s="6" t="str">
        <f>Table333456789101217[[#This Row],[Carrier Code]]</f>
        <v>FO</v>
      </c>
      <c r="D18" s="53">
        <v>35.56666666666667</v>
      </c>
      <c r="E18" s="53">
        <v>35.56666666666667</v>
      </c>
      <c r="F18" s="18">
        <f>Table33345678[[#This Row],[Company Panel]]+Table3334567[[#This Row],[MTD Company]]</f>
        <v>191.45000000000002</v>
      </c>
      <c r="G18" s="18">
        <f>Table33345678[[#This Row],[Our Panel]]+Table3334567[[#This Row],[MTD Panel]]</f>
        <v>191.45000000000002</v>
      </c>
      <c r="H18" s="13">
        <f t="shared" si="0"/>
        <v>0</v>
      </c>
      <c r="I18" s="13">
        <f t="shared" si="1"/>
        <v>0</v>
      </c>
    </row>
    <row r="19" spans="1:9">
      <c r="A19" s="11" t="str">
        <f>Table333456789101217[[#This Row],[Carrier]]</f>
        <v>Ember</v>
      </c>
      <c r="B19" s="5" t="str">
        <f>Table333456789101217[[#This Row],[IP]]</f>
        <v>78.34.90.24/328.56.122.44/142.150.75.22</v>
      </c>
      <c r="C19" s="6" t="str">
        <f>Table333456789101217[[#This Row],[Carrier Code]]</f>
        <v>EM</v>
      </c>
      <c r="D19" s="53">
        <v>0</v>
      </c>
      <c r="E19" s="53">
        <v>0</v>
      </c>
      <c r="F19" s="18">
        <f>Table33345678[[#This Row],[Company Panel]]+Table3334567[[#This Row],[MTD Company]]</f>
        <v>0</v>
      </c>
      <c r="G19" s="18">
        <f>Table33345678[[#This Row],[Our Panel]]+Table3334567[[#This Row],[MTD Panel]]</f>
        <v>0</v>
      </c>
      <c r="H19" s="13">
        <f t="shared" si="0"/>
        <v>0</v>
      </c>
      <c r="I19" s="13">
        <f t="shared" si="1"/>
        <v>0</v>
      </c>
    </row>
    <row r="20" spans="1:9">
      <c r="A20" s="11" t="str">
        <f>Table333456789101217[[#This Row],[Carrier]]</f>
        <v>Specter</v>
      </c>
      <c r="B20" s="5" t="str">
        <f>Table333456789101217[[#This Row],[IP]]</f>
        <v>205.60.34.150</v>
      </c>
      <c r="C20" s="6" t="str">
        <f>Table333456789101217[[#This Row],[Carrier Code]]</f>
        <v>SP</v>
      </c>
      <c r="D20" s="53">
        <v>0.13333333333333333</v>
      </c>
      <c r="E20" s="53">
        <v>0.13333333333333333</v>
      </c>
      <c r="F20" s="18">
        <f>Table33345678[[#This Row],[Company Panel]]+Table3334567[[#This Row],[MTD Company]]</f>
        <v>10.133333333333333</v>
      </c>
      <c r="G20" s="18">
        <f>Table33345678[[#This Row],[Our Panel]]+Table3334567[[#This Row],[MTD Panel]]</f>
        <v>10.133333333333333</v>
      </c>
      <c r="H20" s="13">
        <f t="shared" si="0"/>
        <v>0</v>
      </c>
      <c r="I20" s="13">
        <f t="shared" si="1"/>
        <v>0</v>
      </c>
    </row>
    <row r="21" spans="1:9">
      <c r="A21" s="11" t="str">
        <f>Table333456789101217[[#This Row],[Carrier]]</f>
        <v>Throne</v>
      </c>
      <c r="B21" s="5" t="str">
        <f>Table333456789101217[[#This Row],[IP]]</f>
        <v>54.32.11.90/27.758.27.201/125.150.58.20</v>
      </c>
      <c r="C21" s="6" t="str">
        <f>Table333456789101217[[#This Row],[Carrier Code]]</f>
        <v>TH</v>
      </c>
      <c r="D21" s="53">
        <v>0</v>
      </c>
      <c r="E21" s="53">
        <v>0</v>
      </c>
      <c r="F21" s="18">
        <f>Table33345678[[#This Row],[Company Panel]]+Table3334567[[#This Row],[MTD Company]]</f>
        <v>0</v>
      </c>
      <c r="G21" s="18">
        <f>Table33345678[[#This Row],[Our Panel]]+Table3334567[[#This Row],[MTD Panel]]</f>
        <v>0</v>
      </c>
      <c r="H21" s="13">
        <f t="shared" si="0"/>
        <v>0</v>
      </c>
      <c r="I21" s="13">
        <f t="shared" si="1"/>
        <v>0</v>
      </c>
    </row>
    <row r="22" spans="1:9">
      <c r="A22" s="11" t="str">
        <f>Table333456789101217[[#This Row],[Carrier]]</f>
        <v>Arcane</v>
      </c>
      <c r="B22" s="5" t="str">
        <f>Table333456789101217[[#This Row],[IP]]</f>
        <v>212.100.25.78/212.100.25.87</v>
      </c>
      <c r="C22" s="6" t="str">
        <f>Table333456789101217[[#This Row],[Carrier Code]]</f>
        <v>AR</v>
      </c>
      <c r="D22" s="53">
        <v>0</v>
      </c>
      <c r="E22" s="53">
        <v>0</v>
      </c>
      <c r="F22" s="18">
        <f>Table33345678[[#This Row],[Company Panel]]+Table3334567[[#This Row],[MTD Company]]</f>
        <v>0</v>
      </c>
      <c r="G22" s="18">
        <f>Table33345678[[#This Row],[Our Panel]]+Table3334567[[#This Row],[MTD Panel]]</f>
        <v>0</v>
      </c>
      <c r="H22" s="13">
        <f t="shared" si="0"/>
        <v>0</v>
      </c>
      <c r="I22" s="13">
        <f t="shared" si="1"/>
        <v>0</v>
      </c>
    </row>
    <row r="23" spans="1:9">
      <c r="A23" s="11" t="str">
        <f>Table333456789101217[[#This Row],[Carrier]]</f>
        <v>Glitch</v>
      </c>
      <c r="B23" s="5" t="str">
        <f>Table333456789101217[[#This Row],[IP]]</f>
        <v>198.204.100.12/198.204.100.34/198.204.100.51</v>
      </c>
      <c r="C23" s="6" t="str">
        <f>Table333456789101217[[#This Row],[Carrier Code]]</f>
        <v>GL</v>
      </c>
      <c r="D23" s="53">
        <v>0</v>
      </c>
      <c r="E23" s="53">
        <v>0</v>
      </c>
      <c r="F23" s="18">
        <f>Table33345678[[#This Row],[Company Panel]]+Table3334567[[#This Row],[MTD Company]]</f>
        <v>0</v>
      </c>
      <c r="G23" s="18">
        <f>Table33345678[[#This Row],[Our Panel]]+Table3334567[[#This Row],[MTD Panel]]</f>
        <v>0</v>
      </c>
      <c r="H23" s="13">
        <f t="shared" si="0"/>
        <v>0</v>
      </c>
      <c r="I23" s="13">
        <f t="shared" si="1"/>
        <v>0</v>
      </c>
    </row>
    <row r="24" spans="1:9">
      <c r="A24" s="11" t="str">
        <f>Table333456789101217[[#This Row],[Carrier]]</f>
        <v>Nitro</v>
      </c>
      <c r="B24" s="5" t="str">
        <f>Table333456789101217[[#This Row],[IP]]</f>
        <v>15.150.200.33/119.82.200.100</v>
      </c>
      <c r="C24" s="6" t="str">
        <f>Table333456789101217[[#This Row],[Carrier Code]]</f>
        <v>NI</v>
      </c>
      <c r="D24" s="53">
        <v>0</v>
      </c>
      <c r="E24" s="53">
        <v>0</v>
      </c>
      <c r="F24" s="18">
        <f>Table33345678[[#This Row],[Company Panel]]+Table3334567[[#This Row],[MTD Company]]</f>
        <v>0</v>
      </c>
      <c r="G24" s="18">
        <f>Table33345678[[#This Row],[Our Panel]]+Table3334567[[#This Row],[MTD Panel]]</f>
        <v>0</v>
      </c>
      <c r="H24" s="13">
        <f t="shared" si="0"/>
        <v>0</v>
      </c>
      <c r="I24" s="13">
        <f t="shared" si="1"/>
        <v>0</v>
      </c>
    </row>
    <row r="25" spans="1:9">
      <c r="A25" s="11" t="str">
        <f>Table333456789101217[[#This Row],[Carrier]]</f>
        <v>Drip</v>
      </c>
      <c r="B25" s="5" t="str">
        <f>Table333456789101217[[#This Row],[IP]]</f>
        <v>84.13.76.190/90.945.80.11/198.160.234.5</v>
      </c>
      <c r="C25" s="6" t="str">
        <f>Table333456789101217[[#This Row],[Carrier Code]]</f>
        <v>DR</v>
      </c>
      <c r="D25" s="53">
        <v>0</v>
      </c>
      <c r="E25" s="53">
        <v>0</v>
      </c>
      <c r="F25" s="18">
        <f>Table33345678[[#This Row],[Company Panel]]+Table3334567[[#This Row],[MTD Company]]</f>
        <v>0</v>
      </c>
      <c r="G25" s="18">
        <f>Table33345678[[#This Row],[Our Panel]]+Table3334567[[#This Row],[MTD Panel]]</f>
        <v>0</v>
      </c>
      <c r="H25" s="13">
        <f t="shared" si="0"/>
        <v>0</v>
      </c>
      <c r="I25" s="13">
        <f t="shared" si="1"/>
        <v>0</v>
      </c>
    </row>
    <row r="26" spans="1:9">
      <c r="A26" s="11" t="str">
        <f>Table333456789101217[[#This Row],[Carrier]]</f>
        <v>Glide</v>
      </c>
      <c r="B26" s="5" t="str">
        <f>Table333456789101217[[#This Row],[IP]]</f>
        <v>120.45.12.25/85.739.221.80/85.739.221.93</v>
      </c>
      <c r="C26" s="6" t="str">
        <f>Table333456789101217[[#This Row],[Carrier Code]]</f>
        <v>GI</v>
      </c>
      <c r="D26" s="53">
        <v>0</v>
      </c>
      <c r="E26" s="53">
        <v>0</v>
      </c>
      <c r="F26" s="18">
        <f>Table33345678[[#This Row],[Company Panel]]+Table3334567[[#This Row],[MTD Company]]</f>
        <v>0</v>
      </c>
      <c r="G26" s="18">
        <f>Table33345678[[#This Row],[Our Panel]]+Table3334567[[#This Row],[MTD Panel]]</f>
        <v>0</v>
      </c>
      <c r="H26" s="13">
        <f t="shared" si="0"/>
        <v>0</v>
      </c>
      <c r="I26" s="13">
        <f t="shared" si="1"/>
        <v>0</v>
      </c>
    </row>
    <row r="27" spans="1:9">
      <c r="A27" s="11" t="str">
        <f>Table333456789101217[[#This Row],[Carrier]]</f>
        <v>Orbit</v>
      </c>
      <c r="B27" s="5" t="str">
        <f>Table333456789101217[[#This Row],[IP]]</f>
        <v>176.98.54.112/60.110.154.91/60.110.155.162</v>
      </c>
      <c r="C27" s="6" t="str">
        <f>Table333456789101217[[#This Row],[Carrier Code]]</f>
        <v>OR</v>
      </c>
      <c r="D27" s="53">
        <v>0</v>
      </c>
      <c r="E27" s="53">
        <v>0</v>
      </c>
      <c r="F27" s="18">
        <f>Table33345678[[#This Row],[Company Panel]]+Table3334567[[#This Row],[MTD Company]]</f>
        <v>0</v>
      </c>
      <c r="G27" s="18">
        <f>Table33345678[[#This Row],[Our Panel]]+Table3334567[[#This Row],[MTD Panel]]</f>
        <v>0</v>
      </c>
      <c r="H27" s="13">
        <f t="shared" si="0"/>
        <v>0</v>
      </c>
      <c r="I27" s="13">
        <f t="shared" si="1"/>
        <v>0</v>
      </c>
    </row>
    <row r="28" spans="1:9">
      <c r="A28" s="11" t="str">
        <f>Table333456789101217[[#This Row],[Carrier]]</f>
        <v>Thunder</v>
      </c>
      <c r="B28" s="5" t="str">
        <f>Table333456789101217[[#This Row],[IP]]</f>
        <v>67.102.200.9/81.905.48.847/143.235.100.34</v>
      </c>
      <c r="C28" s="6" t="str">
        <f>Table333456789101217[[#This Row],[Carrier Code]]</f>
        <v>TU</v>
      </c>
      <c r="D28" s="53">
        <v>34.766666666666666</v>
      </c>
      <c r="E28" s="53">
        <v>34.766666666666666</v>
      </c>
      <c r="F28" s="18">
        <f>Table33345678[[#This Row],[Company Panel]]+Table3334567[[#This Row],[MTD Company]]</f>
        <v>153.91666666666669</v>
      </c>
      <c r="G28" s="18">
        <f>Table33345678[[#This Row],[Our Panel]]+Table3334567[[#This Row],[MTD Panel]]</f>
        <v>153.91666666666669</v>
      </c>
      <c r="H28" s="13">
        <f t="shared" si="0"/>
        <v>0</v>
      </c>
      <c r="I28" s="13">
        <f t="shared" si="1"/>
        <v>0</v>
      </c>
    </row>
    <row r="29" spans="1:9">
      <c r="A29" s="11" t="str">
        <f>Table333456789101217[[#This Row],[Carrier]]</f>
        <v>Glimmer</v>
      </c>
      <c r="B29" s="5" t="str">
        <f>Table333456789101217[[#This Row],[IP]]</f>
        <v>99.22.211.100/71.54.85.344/71.54.85.218</v>
      </c>
      <c r="C29" s="6" t="str">
        <f>Table333456789101217[[#This Row],[Carrier Code]]</f>
        <v>GM</v>
      </c>
      <c r="D29" s="53">
        <v>0</v>
      </c>
      <c r="E29" s="53">
        <v>0</v>
      </c>
      <c r="F29" s="18">
        <f>Table33345678[[#This Row],[Company Panel]]+Table3334567[[#This Row],[MTD Company]]</f>
        <v>0</v>
      </c>
      <c r="G29" s="18">
        <f>Table33345678[[#This Row],[Our Panel]]+Table3334567[[#This Row],[MTD Panel]]</f>
        <v>0</v>
      </c>
      <c r="H29" s="13">
        <f t="shared" si="0"/>
        <v>0</v>
      </c>
      <c r="I29" s="13">
        <f t="shared" si="1"/>
        <v>0</v>
      </c>
    </row>
    <row r="30" spans="1:9">
      <c r="A30" s="11" t="str">
        <f>Table333456789101217[[#This Row],[Carrier]]</f>
        <v>Fragment</v>
      </c>
      <c r="B30" s="5" t="str">
        <f>Table333456789101217[[#This Row],[IP]]</f>
        <v>203.0.113.56/195.56.101.10</v>
      </c>
      <c r="C30" s="6" t="str">
        <f>Table333456789101217[[#This Row],[Carrier Code]]</f>
        <v>FR</v>
      </c>
      <c r="D30" s="53">
        <v>0</v>
      </c>
      <c r="E30" s="53">
        <v>0</v>
      </c>
      <c r="F30" s="18">
        <f>Table33345678[[#This Row],[Company Panel]]+Table3334567[[#This Row],[MTD Company]]</f>
        <v>0</v>
      </c>
      <c r="G30" s="18">
        <f>Table33345678[[#This Row],[Our Panel]]+Table3334567[[#This Row],[MTD Panel]]</f>
        <v>0</v>
      </c>
      <c r="H30" s="13">
        <f t="shared" si="0"/>
        <v>0</v>
      </c>
      <c r="I30" s="13">
        <f t="shared" si="1"/>
        <v>0</v>
      </c>
    </row>
    <row r="31" spans="1:9">
      <c r="A31" s="11" t="str">
        <f>Table333456789101217[[#This Row],[Carrier]]</f>
        <v>Dusk</v>
      </c>
      <c r="B31" s="5" t="str">
        <f>Table333456789101217[[#This Row],[IP]]</f>
        <v>33.44.55.66/33.44.55.84/33.44.55.122/214.68.90.122</v>
      </c>
      <c r="C31" s="6" t="str">
        <f>Table333456789101217[[#This Row],[Carrier Code]]</f>
        <v>DK</v>
      </c>
      <c r="D31" s="53">
        <v>0</v>
      </c>
      <c r="E31" s="53">
        <v>0</v>
      </c>
      <c r="F31" s="18">
        <f>Table33345678[[#This Row],[Company Panel]]+Table3334567[[#This Row],[MTD Company]]</f>
        <v>0</v>
      </c>
      <c r="G31" s="18">
        <f>Table33345678[[#This Row],[Our Panel]]+Table3334567[[#This Row],[MTD Panel]]</f>
        <v>0</v>
      </c>
      <c r="H31" s="13">
        <f t="shared" ref="H31:H36" si="2">D31-E31</f>
        <v>0</v>
      </c>
      <c r="I31" s="13">
        <f t="shared" ref="I31:I36" si="3">F31-G31</f>
        <v>0</v>
      </c>
    </row>
    <row r="32" spans="1:9">
      <c r="A32" s="11" t="str">
        <f>Table333456789101217[[#This Row],[Carrier]]</f>
        <v>Breeze</v>
      </c>
      <c r="B32" s="5" t="str">
        <f>Table333456789101217[[#This Row],[IP]]</f>
        <v>199.123.87.45/199.123.34.52/77.189.22.56</v>
      </c>
      <c r="C32" s="6" t="str">
        <f>Table333456789101217[[#This Row],[Carrier Code]]</f>
        <v>BR</v>
      </c>
      <c r="D32" s="53">
        <v>0</v>
      </c>
      <c r="E32" s="53">
        <v>0</v>
      </c>
      <c r="F32" s="18">
        <f>Table33345678[[#This Row],[Company Panel]]+Table3334567[[#This Row],[MTD Company]]</f>
        <v>0</v>
      </c>
      <c r="G32" s="18">
        <f>Table33345678[[#This Row],[Our Panel]]+Table3334567[[#This Row],[MTD Panel]]</f>
        <v>0</v>
      </c>
      <c r="H32" s="13">
        <f t="shared" si="2"/>
        <v>0</v>
      </c>
      <c r="I32" s="13">
        <f t="shared" si="3"/>
        <v>0</v>
      </c>
    </row>
    <row r="33" spans="1:9">
      <c r="A33" s="11" t="str">
        <f>Table333456789101217[[#This Row],[Carrier]]</f>
        <v>Clutch</v>
      </c>
      <c r="B33" s="5" t="str">
        <f>Table333456789101217[[#This Row],[IP]]</f>
        <v>55.66.77.88/84.126.79.28/152.233.45.11</v>
      </c>
      <c r="C33" s="6" t="str">
        <f>Table333456789101217[[#This Row],[Carrier Code]]</f>
        <v>CL</v>
      </c>
      <c r="D33" s="53">
        <v>0</v>
      </c>
      <c r="E33" s="53">
        <v>0</v>
      </c>
      <c r="F33" s="18">
        <f>Table33345678[[#This Row],[Company Panel]]+Table3334567[[#This Row],[MTD Company]]</f>
        <v>0</v>
      </c>
      <c r="G33" s="18">
        <f>Table33345678[[#This Row],[Our Panel]]+Table3334567[[#This Row],[MTD Panel]]</f>
        <v>0</v>
      </c>
      <c r="H33" s="13">
        <f t="shared" si="2"/>
        <v>0</v>
      </c>
      <c r="I33" s="13">
        <f t="shared" si="3"/>
        <v>0</v>
      </c>
    </row>
    <row r="34" spans="1:9">
      <c r="A34" s="11" t="str">
        <f>Table333456789101217[[#This Row],[Carrier]]</f>
        <v>Haze</v>
      </c>
      <c r="B34" s="5" t="str">
        <f>Table333456789101217[[#This Row],[IP]]</f>
        <v>230.111.44.56</v>
      </c>
      <c r="C34" s="6" t="str">
        <f>Table333456789101217[[#This Row],[Carrier Code]]</f>
        <v>HZ</v>
      </c>
      <c r="D34" s="53">
        <v>0</v>
      </c>
      <c r="E34" s="53">
        <v>0</v>
      </c>
      <c r="F34" s="18">
        <f>Table33345678[[#This Row],[Company Panel]]+Table3334567[[#This Row],[MTD Company]]</f>
        <v>0</v>
      </c>
      <c r="G34" s="18">
        <f>Table33345678[[#This Row],[Our Panel]]+Table3334567[[#This Row],[MTD Panel]]</f>
        <v>0</v>
      </c>
      <c r="H34" s="13">
        <f t="shared" si="2"/>
        <v>0</v>
      </c>
      <c r="I34" s="13">
        <f t="shared" si="3"/>
        <v>0</v>
      </c>
    </row>
    <row r="35" spans="1:9">
      <c r="A35" s="11" t="str">
        <f>Table333456789101217[[#This Row],[Carrier]]</f>
        <v>Vault</v>
      </c>
      <c r="B35" s="5" t="str">
        <f>Table333456789101217[[#This Row],[IP]]</f>
        <v>213.189.94.5/213.189.94.7/111.180.64.222</v>
      </c>
      <c r="C35" s="6" t="str">
        <f>Table333456789101217[[#This Row],[Carrier Code]]</f>
        <v>VA</v>
      </c>
      <c r="D35" s="53">
        <v>0</v>
      </c>
      <c r="E35" s="53">
        <v>0</v>
      </c>
      <c r="F35" s="18">
        <f>Table33345678[[#This Row],[Company Panel]]+Table3334567[[#This Row],[MTD Company]]</f>
        <v>0</v>
      </c>
      <c r="G35" s="18">
        <f>Table33345678[[#This Row],[Our Panel]]+Table3334567[[#This Row],[MTD Panel]]</f>
        <v>0</v>
      </c>
      <c r="H35" s="13">
        <f t="shared" si="2"/>
        <v>0</v>
      </c>
      <c r="I35" s="13">
        <f t="shared" si="3"/>
        <v>0</v>
      </c>
    </row>
    <row r="36" spans="1:9">
      <c r="A36" s="11" t="str">
        <f>Table333456789101217[[#This Row],[Carrier]]</f>
        <v>Scatter</v>
      </c>
      <c r="B36" s="5" t="str">
        <f>Table333456789101217[[#This Row],[IP]]</f>
        <v>14.123.45.67/168.251.90.15</v>
      </c>
      <c r="C36" s="6" t="str">
        <f>Table333456789101217[[#This Row],[Carrier Code]]</f>
        <v>SC</v>
      </c>
      <c r="D36" s="53">
        <v>14.583333333333334</v>
      </c>
      <c r="E36" s="53">
        <v>14.583333333333334</v>
      </c>
      <c r="F36" s="18">
        <f>Table33345678[[#This Row],[Company Panel]]+Table3334567[[#This Row],[MTD Company]]</f>
        <v>61.85</v>
      </c>
      <c r="G36" s="18">
        <f>Table33345678[[#This Row],[Our Panel]]+Table3334567[[#This Row],[MTD Panel]]</f>
        <v>61.85</v>
      </c>
      <c r="H36" s="13">
        <f t="shared" si="2"/>
        <v>0</v>
      </c>
      <c r="I36" s="13">
        <f t="shared" si="3"/>
        <v>0</v>
      </c>
    </row>
    <row r="37" spans="1:9">
      <c r="A37" s="11" t="str">
        <f>Table333456789101217[[#This Row],[Carrier]]</f>
        <v>Hammer</v>
      </c>
      <c r="B37" s="5" t="str">
        <f>Table333456789101217[[#This Row],[IP]]</f>
        <v>200.111.78.9/200.111.236.62/200.111.823.89/137.79.48.56</v>
      </c>
      <c r="C37" s="6" t="str">
        <f>Table333456789101217[[#This Row],[Carrier Code]]</f>
        <v>HA</v>
      </c>
      <c r="D37" s="53">
        <v>0</v>
      </c>
      <c r="E37" s="53">
        <v>0</v>
      </c>
      <c r="F37" s="18">
        <f>Table33345678[[#This Row],[Company Panel]]+Table3334567[[#This Row],[MTD Company]]</f>
        <v>0</v>
      </c>
      <c r="G37" s="18">
        <f>Table33345678[[#This Row],[Our Panel]]+Table3334567[[#This Row],[MTD Panel]]</f>
        <v>0</v>
      </c>
      <c r="H37" s="72">
        <f t="shared" ref="H37:H44" si="4">D37-E37</f>
        <v>0</v>
      </c>
      <c r="I37" s="72">
        <f t="shared" ref="I37:I44" si="5">F37-G37</f>
        <v>0</v>
      </c>
    </row>
    <row r="38" spans="1:9">
      <c r="A38" s="11" t="str">
        <f>Table333456789101217[[#This Row],[Carrier]]</f>
        <v>Smudge</v>
      </c>
      <c r="B38" s="5" t="str">
        <f>Table333456789101217[[#This Row],[IP]]</f>
        <v>88.99.233.56/54.71.99.234</v>
      </c>
      <c r="C38" s="6" t="str">
        <f>Table333456789101217[[#This Row],[Carrier Code]]</f>
        <v>SM</v>
      </c>
      <c r="D38" s="53">
        <v>7.6</v>
      </c>
      <c r="E38" s="53">
        <v>7.6</v>
      </c>
      <c r="F38" s="18">
        <f>Table33345678[[#This Row],[Company Panel]]+Table3334567[[#This Row],[MTD Company]]</f>
        <v>60.883333333333333</v>
      </c>
      <c r="G38" s="18">
        <f>Table33345678[[#This Row],[Our Panel]]+Table3334567[[#This Row],[MTD Panel]]</f>
        <v>60.883333333333333</v>
      </c>
      <c r="H38" s="72">
        <f t="shared" si="4"/>
        <v>0</v>
      </c>
      <c r="I38" s="72">
        <f t="shared" si="5"/>
        <v>0</v>
      </c>
    </row>
    <row r="39" spans="1:9">
      <c r="A39" s="11" t="str">
        <f>Table333456789101217[[#This Row],[Carrier]]</f>
        <v>Quirk</v>
      </c>
      <c r="B39" s="5" t="str">
        <f>Table333456789101217[[#This Row],[IP]]</f>
        <v>62.45.100.31/62.45.100.15/62.45.100.65/211.95.102.6</v>
      </c>
      <c r="C39" s="6" t="str">
        <f>Table333456789101217[[#This Row],[Carrier Code]]</f>
        <v>QU</v>
      </c>
      <c r="D39" s="53">
        <v>3080.6666666666665</v>
      </c>
      <c r="E39" s="53">
        <v>3080.6666666666665</v>
      </c>
      <c r="F39" s="18">
        <f>Table33345678[[#This Row],[Company Panel]]+Table3334567[[#This Row],[MTD Company]]</f>
        <v>14187.349999999999</v>
      </c>
      <c r="G39" s="18">
        <f>Table33345678[[#This Row],[Our Panel]]+Table3334567[[#This Row],[MTD Panel]]</f>
        <v>14187.349999999999</v>
      </c>
      <c r="H39" s="13">
        <f t="shared" si="4"/>
        <v>0</v>
      </c>
      <c r="I39" s="13">
        <f t="shared" si="5"/>
        <v>0</v>
      </c>
    </row>
    <row r="40" spans="1:9">
      <c r="A40" s="11" t="str">
        <f>Table333456789101217[[#This Row],[Carrier]]</f>
        <v>Vortex</v>
      </c>
      <c r="B40" s="5" t="str">
        <f>Table333456789101217[[#This Row],[IP]]</f>
        <v>179.250.91.8/29.540.67.457/94.25.34.78/183.144.27.18</v>
      </c>
      <c r="C40" s="6" t="str">
        <f>Table333456789101217[[#This Row],[Carrier Code]]</f>
        <v>VT</v>
      </c>
      <c r="D40" s="53">
        <v>0</v>
      </c>
      <c r="E40" s="53">
        <v>0</v>
      </c>
      <c r="F40" s="18">
        <f>Table33345678[[#This Row],[Company Panel]]+Table3334567[[#This Row],[MTD Company]]</f>
        <v>0</v>
      </c>
      <c r="G40" s="18">
        <f>Table33345678[[#This Row],[Our Panel]]+Table3334567[[#This Row],[MTD Panel]]</f>
        <v>0</v>
      </c>
      <c r="H40" s="72">
        <f t="shared" si="4"/>
        <v>0</v>
      </c>
      <c r="I40" s="72">
        <f t="shared" si="5"/>
        <v>0</v>
      </c>
    </row>
    <row r="41" spans="1:9">
      <c r="A41" s="11" t="str">
        <f>Table333456789101217[[#This Row],[Carrier]]</f>
        <v>Void</v>
      </c>
      <c r="B41" s="5" t="str">
        <f>Table333456789101217[[#This Row],[IP]]</f>
        <v>156.34.123.11/156.34.123.25/156.34.123.62/92.44.233.110</v>
      </c>
      <c r="C41" s="6" t="str">
        <f>Table333456789101217[[#This Row],[Carrier Code]]</f>
        <v>VO</v>
      </c>
      <c r="D41" s="53">
        <v>87.433333333333337</v>
      </c>
      <c r="E41" s="53">
        <v>87.433333333333337</v>
      </c>
      <c r="F41" s="18">
        <f>Table33345678[[#This Row],[Company Panel]]+Table3334567[[#This Row],[MTD Company]]</f>
        <v>383.5333333333333</v>
      </c>
      <c r="G41" s="18">
        <f>Table33345678[[#This Row],[Our Panel]]+Table3334567[[#This Row],[MTD Panel]]</f>
        <v>383.5333333333333</v>
      </c>
      <c r="H41" s="13">
        <f t="shared" si="4"/>
        <v>0</v>
      </c>
      <c r="I41" s="13">
        <f t="shared" si="5"/>
        <v>0</v>
      </c>
    </row>
    <row r="42" spans="1:9">
      <c r="A42" s="11" t="str">
        <f>Table333456789101217[[#This Row],[Carrier]]</f>
        <v>Midnight</v>
      </c>
      <c r="B42" s="5" t="str">
        <f>Table333456789101217[[#This Row],[IP]]</f>
        <v>134.77.22.4/23.97.150.8</v>
      </c>
      <c r="C42" s="6" t="str">
        <f>Table333456789101217[[#This Row],[Carrier Code]]</f>
        <v>MI</v>
      </c>
      <c r="D42" s="53">
        <v>181.63333333333333</v>
      </c>
      <c r="E42" s="53">
        <v>181.63333333333333</v>
      </c>
      <c r="F42" s="18">
        <f>Table33345678[[#This Row],[Company Panel]]+Table3334567[[#This Row],[MTD Company]]</f>
        <v>551.73333333333335</v>
      </c>
      <c r="G42" s="18">
        <f>Table33345678[[#This Row],[Our Panel]]+Table3334567[[#This Row],[MTD Panel]]</f>
        <v>551.73333333333335</v>
      </c>
      <c r="H42" s="72">
        <f t="shared" si="4"/>
        <v>0</v>
      </c>
      <c r="I42" s="72">
        <f t="shared" si="5"/>
        <v>0</v>
      </c>
    </row>
    <row r="43" spans="1:9">
      <c r="A43" s="11" t="str">
        <f>Table333456789101217[[#This Row],[Carrier]]</f>
        <v>Autumn</v>
      </c>
      <c r="B43" s="5" t="str">
        <f>Table333456789101217[[#This Row],[IP]]</f>
        <v>202.54.210.88/12.331.94.73/64.19.28.175</v>
      </c>
      <c r="C43" s="6" t="str">
        <f>Table333456789101217[[#This Row],[Carrier Code]]</f>
        <v>AU</v>
      </c>
      <c r="D43" s="53">
        <v>0</v>
      </c>
      <c r="E43" s="53">
        <v>0</v>
      </c>
      <c r="F43" s="18">
        <f>Table33345678[[#This Row],[Company Panel]]+Table3334567[[#This Row],[MTD Company]]</f>
        <v>56.116666666666674</v>
      </c>
      <c r="G43" s="18">
        <f>Table33345678[[#This Row],[Our Panel]]+Table3334567[[#This Row],[MTD Panel]]</f>
        <v>56.116666666666674</v>
      </c>
      <c r="H43" s="72">
        <f t="shared" si="4"/>
        <v>0</v>
      </c>
      <c r="I43" s="72">
        <f t="shared" si="5"/>
        <v>0</v>
      </c>
    </row>
    <row r="44" spans="1:9">
      <c r="A44" s="11" t="str">
        <f>Table333456789101217[[#This Row],[Carrier]]</f>
        <v>Mystic</v>
      </c>
      <c r="B44" s="5" t="str">
        <f>Table333456789101217[[#This Row],[IP]]</f>
        <v>51.233.21.76/82.115.35.60/82.115.35.85</v>
      </c>
      <c r="C44" s="6" t="str">
        <f>Table333456789101217[[#This Row],[Carrier Code]]</f>
        <v>MY</v>
      </c>
      <c r="D44" s="53">
        <v>0</v>
      </c>
      <c r="E44" s="53">
        <v>0</v>
      </c>
      <c r="F44" s="18">
        <f>Table33345678[[#This Row],[Company Panel]]+Table3334567[[#This Row],[MTD Company]]</f>
        <v>0</v>
      </c>
      <c r="G44" s="18">
        <f>Table33345678[[#This Row],[Our Panel]]+Table3334567[[#This Row],[MTD Panel]]</f>
        <v>0</v>
      </c>
      <c r="H44" s="72">
        <f t="shared" si="4"/>
        <v>0</v>
      </c>
      <c r="I44" s="72">
        <f t="shared" si="5"/>
        <v>0</v>
      </c>
    </row>
    <row r="45" spans="1:9">
      <c r="A45" s="11" t="str">
        <f>Table333456789101217[[#This Row],[Carrier]]</f>
        <v>Clover</v>
      </c>
      <c r="B45" s="5" t="str">
        <f>Table333456789101217[[#This Row],[IP]]</f>
        <v>210.150.12.45/84.50.212.66/135.113.88.9</v>
      </c>
      <c r="C45" s="6" t="str">
        <f>Table333456789101217[[#This Row],[Carrier Code]]</f>
        <v>CO</v>
      </c>
      <c r="D45" s="53">
        <v>14230.9</v>
      </c>
      <c r="E45" s="53">
        <v>14230.9</v>
      </c>
      <c r="F45" s="18">
        <f>Table33345678[[#This Row],[Company Panel]]+Table3334567[[#This Row],[MTD Company]]</f>
        <v>28271.183333333334</v>
      </c>
      <c r="G45" s="18">
        <f>Table33345678[[#This Row],[Our Panel]]+Table3334567[[#This Row],[MTD Panel]]</f>
        <v>28271.183333333334</v>
      </c>
      <c r="H45" s="78">
        <f>D45-E45</f>
        <v>0</v>
      </c>
      <c r="I45" s="78">
        <f>F45-G45</f>
        <v>0</v>
      </c>
    </row>
    <row r="46" spans="1:9">
      <c r="A46" s="11" t="str">
        <f>Table333456789101217[[#This Row],[Carrier]]</f>
        <v>Hunter</v>
      </c>
      <c r="B46" s="5" t="str">
        <f>Table333456789101217[[#This Row],[IP]]</f>
        <v>170.199.20.87/13.693.39.280/78.30.123.47</v>
      </c>
      <c r="C46" s="6" t="str">
        <f>Table333456789101217[[#This Row],[Carrier Code]]</f>
        <v>HU</v>
      </c>
      <c r="D46" s="53">
        <v>406.88333333333333</v>
      </c>
      <c r="E46" s="53">
        <v>406.88333333333333</v>
      </c>
      <c r="F46" s="18">
        <f>Table33345678[[#This Row],[Company Panel]]+Table3334567[[#This Row],[MTD Company]]</f>
        <v>2242.9833333333331</v>
      </c>
      <c r="G46" s="18">
        <f>Table33345678[[#This Row],[Our Panel]]+Table3334567[[#This Row],[MTD Panel]]</f>
        <v>2242.9833333333331</v>
      </c>
      <c r="H46" s="13">
        <f>D46-E46</f>
        <v>0</v>
      </c>
      <c r="I46" s="13">
        <f>F46-G46</f>
        <v>0</v>
      </c>
    </row>
    <row r="47" spans="1:9">
      <c r="A47" s="11" t="str">
        <f>Table333456789101217[[#This Row],[Carrier]]</f>
        <v>Invaded</v>
      </c>
      <c r="B47" s="5" t="str">
        <f>Table333456789101217[[#This Row],[IP]]</f>
        <v>182.67.99.120/80.518.230.410/26.847.95.107/188.12.67.92</v>
      </c>
      <c r="C47" s="6" t="str">
        <f>Table333456789101217[[#This Row],[Carrier Code]]</f>
        <v>ID</v>
      </c>
      <c r="D47" s="53">
        <v>0</v>
      </c>
      <c r="E47" s="53">
        <v>0</v>
      </c>
      <c r="F47" s="18">
        <f>Table33345678[[#This Row],[Company Panel]]+Table3334567[[#This Row],[MTD Company]]</f>
        <v>0</v>
      </c>
      <c r="G47" s="18">
        <f>Table33345678[[#This Row],[Our Panel]]+Table3334567[[#This Row],[MTD Panel]]</f>
        <v>0</v>
      </c>
      <c r="H47" s="13">
        <f>D47-E47</f>
        <v>0</v>
      </c>
      <c r="I47" s="13">
        <f>F47-G47</f>
        <v>0</v>
      </c>
    </row>
    <row r="48" spans="1:9">
      <c r="A48" s="11" t="str">
        <f>Table333456789101217[[#This Row],[Carrier]]</f>
        <v>Delusion</v>
      </c>
      <c r="B48" s="5" t="str">
        <f>Table333456789101217[[#This Row],[IP]]</f>
        <v>198.51.100.72/69.887.74.738/39.153.110.645</v>
      </c>
      <c r="C48" s="6" t="str">
        <f>Table333456789101217[[#This Row],[Carrier Code]]</f>
        <v>DU</v>
      </c>
      <c r="D48" s="53">
        <v>0</v>
      </c>
      <c r="E48" s="53">
        <v>0</v>
      </c>
      <c r="F48" s="18">
        <f>Table33345678[[#This Row],[Company Panel]]+Table3334567[[#This Row],[MTD Company]]</f>
        <v>0</v>
      </c>
      <c r="G48" s="18">
        <f>Table33345678[[#This Row],[Our Panel]]+Table3334567[[#This Row],[MTD Panel]]</f>
        <v>0</v>
      </c>
      <c r="H48" s="13">
        <f>D48-E48</f>
        <v>0</v>
      </c>
      <c r="I48" s="13">
        <f>F48-G48</f>
        <v>0</v>
      </c>
    </row>
    <row r="49" spans="1:9" ht="15.5">
      <c r="A49" s="11" t="str">
        <f>Table333456789101217[[#This Row],[Carrier]]</f>
        <v>Total</v>
      </c>
      <c r="B49" s="14"/>
      <c r="C49" s="15"/>
      <c r="D49" s="16">
        <f>SUM(D3:D48)</f>
        <v>20876.666666666668</v>
      </c>
      <c r="E49" s="16">
        <f t="shared" ref="E49:I49" si="6">SUM(E3:E48)</f>
        <v>20876.666666666668</v>
      </c>
      <c r="F49" s="16">
        <f t="shared" si="6"/>
        <v>84112.799999999988</v>
      </c>
      <c r="G49" s="16">
        <f t="shared" si="6"/>
        <v>84112.799999999988</v>
      </c>
      <c r="H49" s="16">
        <f t="shared" si="6"/>
        <v>0</v>
      </c>
      <c r="I49" s="16">
        <f t="shared" si="6"/>
        <v>0</v>
      </c>
    </row>
  </sheetData>
  <conditionalFormatting sqref="H2:I48">
    <cfRule type="cellIs" dxfId="456" priority="91" operator="lessThan">
      <formula>0</formula>
    </cfRule>
  </conditionalFormatting>
  <conditionalFormatting sqref="I30:I48">
    <cfRule type="cellIs" dxfId="455" priority="90" operator="lessThan">
      <formula>0</formula>
    </cfRule>
  </conditionalFormatting>
  <conditionalFormatting sqref="H3:I48">
    <cfRule type="cellIs" dxfId="454" priority="88" operator="lessThan">
      <formula>0</formula>
    </cfRule>
  </conditionalFormatting>
  <conditionalFormatting sqref="I30:I48">
    <cfRule type="cellIs" dxfId="453" priority="84" operator="lessThan">
      <formula>0</formula>
    </cfRule>
  </conditionalFormatting>
  <conditionalFormatting sqref="I3:I48">
    <cfRule type="cellIs" dxfId="452" priority="75" operator="lessThan">
      <formula>0</formula>
    </cfRule>
    <cfRule type="cellIs" dxfId="451" priority="76" operator="lessThan">
      <formula>0</formula>
    </cfRule>
  </conditionalFormatting>
  <hyperlinks>
    <hyperlink ref="E1" location="H!A1" display="Home"/>
    <hyperlink ref="D1" location="'6'!D1" display="←"/>
    <hyperlink ref="F1" location="'8'!F1" display="→"/>
  </hyperlink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5"/>
  <sheetViews>
    <sheetView workbookViewId="0">
      <pane xSplit="3" ySplit="2" topLeftCell="D3" activePane="bottomRight" state="frozen"/>
      <selection activeCell="J2" sqref="J2"/>
      <selection pane="topRight" activeCell="J2" sqref="J2"/>
      <selection pane="bottomLeft" activeCell="J2" sqref="J2"/>
      <selection pane="bottomRight" activeCell="D3" sqref="D3"/>
    </sheetView>
  </sheetViews>
  <sheetFormatPr defaultRowHeight="14.5"/>
  <cols>
    <col min="1" max="1" width="26.7265625" bestFit="1" customWidth="1"/>
    <col min="2" max="2" width="53.453125" bestFit="1" customWidth="1"/>
    <col min="3" max="3" width="10.453125" customWidth="1"/>
    <col min="4" max="9" width="12.7265625" customWidth="1"/>
  </cols>
  <sheetData>
    <row r="1" spans="1:12" ht="18.5">
      <c r="A1" s="23" t="str">
        <f>H!A9</f>
        <v>8th April 2025</v>
      </c>
      <c r="B1" s="24"/>
      <c r="C1" s="24"/>
      <c r="D1" s="22" t="s">
        <v>16</v>
      </c>
      <c r="E1" s="22" t="s">
        <v>9</v>
      </c>
      <c r="F1" s="22" t="s">
        <v>17</v>
      </c>
    </row>
    <row r="2" spans="1:12" ht="31">
      <c r="A2" s="1" t="s">
        <v>0</v>
      </c>
      <c r="B2" s="2" t="s">
        <v>1</v>
      </c>
      <c r="C2" s="2" t="s">
        <v>2</v>
      </c>
      <c r="D2" s="2" t="s">
        <v>3</v>
      </c>
      <c r="E2" s="2" t="s">
        <v>11</v>
      </c>
      <c r="F2" s="2" t="s">
        <v>4</v>
      </c>
      <c r="G2" s="4" t="s">
        <v>6</v>
      </c>
      <c r="H2" s="4" t="s">
        <v>7</v>
      </c>
      <c r="I2" s="3" t="s">
        <v>8</v>
      </c>
    </row>
    <row r="3" spans="1:12">
      <c r="A3" s="11" t="str">
        <f>Table333456789101217[[#This Row],[Carrier]]</f>
        <v>Blaze</v>
      </c>
      <c r="B3" s="5" t="str">
        <f>Table333456789101217[[#This Row],[IP]]</f>
        <v>8.12.34.56/48.163.17.845/60.502.86.203/191.45.28.14</v>
      </c>
      <c r="C3" s="6" t="str">
        <f>Table333456789101217[[#This Row],[Carrier Code]]</f>
        <v>BZ</v>
      </c>
      <c r="D3" s="53">
        <v>0</v>
      </c>
      <c r="E3" s="53">
        <v>0</v>
      </c>
      <c r="F3" s="18">
        <f>Table333456789[[#This Row],[Company Panel]]+Table33345678[[#This Row],[MTD Company]]</f>
        <v>0</v>
      </c>
      <c r="G3" s="18">
        <f>Table333456789[[#This Row],[Our panel]]+Table33345678[[#This Row],[MTD Panel]]</f>
        <v>0</v>
      </c>
      <c r="H3" s="13">
        <f t="shared" ref="H3:H30" si="0">D3-E3</f>
        <v>0</v>
      </c>
      <c r="I3" s="13">
        <f t="shared" ref="I3:I30" si="1">F3-G3</f>
        <v>0</v>
      </c>
    </row>
    <row r="4" spans="1:12">
      <c r="A4" s="11" t="str">
        <f>Table333456789101217[[#This Row],[Carrier]]</f>
        <v>Titan</v>
      </c>
      <c r="B4" s="5" t="str">
        <f>Table333456789101217[[#This Row],[IP]]</f>
        <v>123.45.67.89/123.45.67.93/203.24.101.65</v>
      </c>
      <c r="C4" s="6" t="str">
        <f>Table333456789101217[[#This Row],[Carrier Code]]</f>
        <v>TI</v>
      </c>
      <c r="D4" s="53">
        <v>6.4833333333333334</v>
      </c>
      <c r="E4" s="53">
        <v>6.4833333333333334</v>
      </c>
      <c r="F4" s="18">
        <f>Table333456789[[#This Row],[Company Panel]]+Table33345678[[#This Row],[MTD Company]]</f>
        <v>246.2</v>
      </c>
      <c r="G4" s="18">
        <f>Table333456789[[#This Row],[Our panel]]+Table33345678[[#This Row],[MTD Panel]]</f>
        <v>246.2</v>
      </c>
      <c r="H4" s="13">
        <f t="shared" si="0"/>
        <v>0</v>
      </c>
      <c r="I4" s="13">
        <f t="shared" si="1"/>
        <v>0</v>
      </c>
      <c r="L4" s="9"/>
    </row>
    <row r="5" spans="1:12">
      <c r="A5" s="11" t="str">
        <f>Table333456789101217[[#This Row],[Carrier]]</f>
        <v>Hollow</v>
      </c>
      <c r="B5" s="5" t="str">
        <f>Table333456789101217[[#This Row],[IP]]</f>
        <v>204.56.78.100/204.56.57.169/52.94.101.12</v>
      </c>
      <c r="C5" s="6" t="str">
        <f>Table333456789101217[[#This Row],[Carrier Code]]</f>
        <v>HO</v>
      </c>
      <c r="D5" s="53">
        <v>0</v>
      </c>
      <c r="E5" s="53">
        <v>0</v>
      </c>
      <c r="F5" s="18">
        <f>Table333456789[[#This Row],[Company Panel]]+Table33345678[[#This Row],[MTD Company]]</f>
        <v>0</v>
      </c>
      <c r="G5" s="18">
        <f>Table333456789[[#This Row],[Our panel]]+Table33345678[[#This Row],[MTD Panel]]</f>
        <v>0</v>
      </c>
      <c r="H5" s="13">
        <f t="shared" si="0"/>
        <v>0</v>
      </c>
      <c r="I5" s="13">
        <f t="shared" si="1"/>
        <v>0</v>
      </c>
    </row>
    <row r="6" spans="1:12">
      <c r="A6" s="11" t="str">
        <f>Table333456789101217[[#This Row],[Carrier]]</f>
        <v>Prism</v>
      </c>
      <c r="B6" s="5" t="str">
        <f>Table333456789101217[[#This Row],[IP]]</f>
        <v>35.118.22.45/137.63.112.25</v>
      </c>
      <c r="C6" s="6" t="str">
        <f>Table333456789101217[[#This Row],[Carrier Code]]</f>
        <v>PS</v>
      </c>
      <c r="D6" s="53">
        <v>806.75</v>
      </c>
      <c r="E6" s="53">
        <v>806.75</v>
      </c>
      <c r="F6" s="18">
        <f>Table333456789[[#This Row],[Company Panel]]+Table33345678[[#This Row],[MTD Company]]</f>
        <v>34087.48333333333</v>
      </c>
      <c r="G6" s="18">
        <f>Table333456789[[#This Row],[Our panel]]+Table33345678[[#This Row],[MTD Panel]]</f>
        <v>34087.48333333333</v>
      </c>
      <c r="H6" s="13">
        <f t="shared" si="0"/>
        <v>0</v>
      </c>
      <c r="I6" s="13">
        <f t="shared" si="1"/>
        <v>0</v>
      </c>
    </row>
    <row r="7" spans="1:12">
      <c r="A7" s="11" t="str">
        <f>Table333456789101217[[#This Row],[Carrier]]</f>
        <v>Echo</v>
      </c>
      <c r="B7" s="5" t="str">
        <f>Table333456789101217[[#This Row],[IP]]</f>
        <v>66.89.101.10/66.89.101.19/66.89.101.23/66.89.101.45/66.89.101.81/85.21.34.99</v>
      </c>
      <c r="C7" s="6" t="str">
        <f>Table333456789101217[[#This Row],[Carrier Code]]</f>
        <v>EC</v>
      </c>
      <c r="D7" s="53">
        <v>1.7166666666666666</v>
      </c>
      <c r="E7" s="53">
        <v>1.7166666666666666</v>
      </c>
      <c r="F7" s="18">
        <f>Table333456789[[#This Row],[Company Panel]]+Table33345678[[#This Row],[MTD Company]]</f>
        <v>16.166666666666668</v>
      </c>
      <c r="G7" s="18">
        <f>Table333456789[[#This Row],[Our panel]]+Table33345678[[#This Row],[MTD Panel]]</f>
        <v>16.166666666666668</v>
      </c>
      <c r="H7" s="13">
        <f t="shared" si="0"/>
        <v>0</v>
      </c>
      <c r="I7" s="13">
        <f t="shared" si="1"/>
        <v>0</v>
      </c>
    </row>
    <row r="8" spans="1:12">
      <c r="A8" s="11" t="str">
        <f>Table333456789101217[[#This Row],[Carrier]]</f>
        <v>Strike</v>
      </c>
      <c r="B8" s="5" t="str">
        <f>Table333456789101217[[#This Row],[IP]]</f>
        <v>100.200.150.3/100.200.165.38/41.102.90.78</v>
      </c>
      <c r="C8" s="6" t="str">
        <f>Table333456789101217[[#This Row],[Carrier Code]]</f>
        <v>ST</v>
      </c>
      <c r="D8" s="53">
        <v>148.06666666666666</v>
      </c>
      <c r="E8" s="53">
        <v>148.06666666666666</v>
      </c>
      <c r="F8" s="18">
        <f>Table333456789[[#This Row],[Company Panel]]+Table33345678[[#This Row],[MTD Company]]</f>
        <v>785.38333333333321</v>
      </c>
      <c r="G8" s="18">
        <f>Table333456789[[#This Row],[Our panel]]+Table33345678[[#This Row],[MTD Panel]]</f>
        <v>785.38333333333321</v>
      </c>
      <c r="H8" s="13">
        <f t="shared" si="0"/>
        <v>0</v>
      </c>
      <c r="I8" s="13">
        <f t="shared" si="1"/>
        <v>0</v>
      </c>
      <c r="L8" s="9"/>
    </row>
    <row r="9" spans="1:12">
      <c r="A9" s="11" t="str">
        <f>Table333456789101217[[#This Row],[Carrier]]</f>
        <v>Blunt</v>
      </c>
      <c r="B9" s="5" t="str">
        <f>Table333456789101217[[#This Row],[IP]]</f>
        <v>52.28.191.25/52.28.191.38/52.28.191.24/61.110.23.45</v>
      </c>
      <c r="C9" s="6" t="str">
        <f>Table333456789101217[[#This Row],[Carrier Code]]</f>
        <v>BL</v>
      </c>
      <c r="D9" s="53">
        <v>244.75</v>
      </c>
      <c r="E9" s="53">
        <v>244.75</v>
      </c>
      <c r="F9" s="18">
        <f>Table333456789[[#This Row],[Company Panel]]+Table33345678[[#This Row],[MTD Company]]</f>
        <v>2157.3166666666666</v>
      </c>
      <c r="G9" s="18">
        <f>Table333456789[[#This Row],[Our panel]]+Table33345678[[#This Row],[MTD Panel]]</f>
        <v>2157.3166666666666</v>
      </c>
      <c r="H9" s="13">
        <f t="shared" si="0"/>
        <v>0</v>
      </c>
      <c r="I9" s="13">
        <f t="shared" si="1"/>
        <v>0</v>
      </c>
    </row>
    <row r="10" spans="1:12">
      <c r="A10" s="11" t="str">
        <f>Table333456789101217[[#This Row],[Carrier]]</f>
        <v>Law</v>
      </c>
      <c r="B10" s="5" t="str">
        <f>Table333456789101217[[#This Row],[IP]]</f>
        <v>77.88.99.21/77.88.99.88/77.88.99.94/110.56.211.7</v>
      </c>
      <c r="C10" s="6" t="str">
        <f>Table333456789101217[[#This Row],[Carrier Code]]</f>
        <v>LA</v>
      </c>
      <c r="D10" s="53">
        <v>0</v>
      </c>
      <c r="E10" s="53">
        <v>0</v>
      </c>
      <c r="F10" s="18">
        <f>Table333456789[[#This Row],[Company Panel]]+Table33345678[[#This Row],[MTD Company]]</f>
        <v>0</v>
      </c>
      <c r="G10" s="18">
        <f>Table333456789[[#This Row],[Our panel]]+Table33345678[[#This Row],[MTD Panel]]</f>
        <v>0</v>
      </c>
      <c r="H10" s="13">
        <f t="shared" si="0"/>
        <v>0</v>
      </c>
      <c r="I10" s="13">
        <f t="shared" si="1"/>
        <v>0</v>
      </c>
    </row>
    <row r="11" spans="1:12">
      <c r="A11" s="11" t="str">
        <f>Table333456789101217[[#This Row],[Carrier]]</f>
        <v>Pulse</v>
      </c>
      <c r="B11" s="5" t="str">
        <f>Table333456789101217[[#This Row],[IP]]</f>
        <v>198.51.100.130/31.725.16.608/66.59.61.503/167.34.122.90</v>
      </c>
      <c r="C11" s="6" t="str">
        <f>Table333456789101217[[#This Row],[Carrier Code]]</f>
        <v>PU</v>
      </c>
      <c r="D11" s="53">
        <v>0</v>
      </c>
      <c r="E11" s="53">
        <v>0</v>
      </c>
      <c r="F11" s="18">
        <f>Table333456789[[#This Row],[Company Panel]]+Table33345678[[#This Row],[MTD Company]]</f>
        <v>0</v>
      </c>
      <c r="G11" s="18">
        <f>Table333456789[[#This Row],[Our panel]]+Table33345678[[#This Row],[MTD Panel]]</f>
        <v>0</v>
      </c>
      <c r="H11" s="13">
        <f t="shared" si="0"/>
        <v>0</v>
      </c>
      <c r="I11" s="13">
        <f t="shared" si="1"/>
        <v>0</v>
      </c>
    </row>
    <row r="12" spans="1:12">
      <c r="A12" s="11" t="str">
        <f>Table333456789101217[[#This Row],[Carrier]]</f>
        <v>Phantom</v>
      </c>
      <c r="B12" s="5" t="str">
        <f>Table333456789101217[[#This Row],[IP]]</f>
        <v>141.15.210.67/141.15.42.82/179.62.211.4</v>
      </c>
      <c r="C12" s="6" t="str">
        <f>Table333456789101217[[#This Row],[Carrier Code]]</f>
        <v>PH</v>
      </c>
      <c r="D12" s="53">
        <v>853.13333333333333</v>
      </c>
      <c r="E12" s="53">
        <v>853.13333333333333</v>
      </c>
      <c r="F12" s="18">
        <f>Table333456789[[#This Row],[Company Panel]]+Table33345678[[#This Row],[MTD Company]]</f>
        <v>2710.0166666666664</v>
      </c>
      <c r="G12" s="18">
        <f>Table333456789[[#This Row],[Our panel]]+Table33345678[[#This Row],[MTD Panel]]</f>
        <v>2710.0166666666664</v>
      </c>
      <c r="H12" s="13">
        <f t="shared" si="0"/>
        <v>0</v>
      </c>
      <c r="I12" s="13">
        <f t="shared" si="1"/>
        <v>0</v>
      </c>
    </row>
    <row r="13" spans="1:12">
      <c r="A13" s="11" t="str">
        <f>Table333456789101217[[#This Row],[Carrier]]</f>
        <v>Dragon</v>
      </c>
      <c r="B13" s="5" t="str">
        <f>Table333456789101217[[#This Row],[IP]]</f>
        <v>12.34.56.78/12.34.56.128/200.180.245.18</v>
      </c>
      <c r="C13" s="6" t="str">
        <f>Table333456789101217[[#This Row],[Carrier Code]]</f>
        <v>DG</v>
      </c>
      <c r="D13" s="53">
        <v>0</v>
      </c>
      <c r="E13" s="53">
        <v>0</v>
      </c>
      <c r="F13" s="18">
        <f>Table333456789[[#This Row],[Company Panel]]+Table33345678[[#This Row],[MTD Company]]</f>
        <v>0</v>
      </c>
      <c r="G13" s="18">
        <f>Table333456789[[#This Row],[Our panel]]+Table33345678[[#This Row],[MTD Panel]]</f>
        <v>0</v>
      </c>
      <c r="H13" s="13">
        <f t="shared" si="0"/>
        <v>0</v>
      </c>
      <c r="I13" s="13">
        <f t="shared" si="1"/>
        <v>0</v>
      </c>
    </row>
    <row r="14" spans="1:12">
      <c r="A14" s="11" t="str">
        <f>Table333456789101217[[#This Row],[Carrier]]</f>
        <v>Tempest</v>
      </c>
      <c r="B14" s="5" t="str">
        <f>Table333456789101217[[#This Row],[IP]]</f>
        <v>59.144.223.88/55.39.99.60</v>
      </c>
      <c r="C14" s="6" t="str">
        <f>Table333456789101217[[#This Row],[Carrier Code]]</f>
        <v>TE</v>
      </c>
      <c r="D14" s="53">
        <v>0</v>
      </c>
      <c r="E14" s="53">
        <v>0</v>
      </c>
      <c r="F14" s="18">
        <f>Table333456789[[#This Row],[Company Panel]]+Table33345678[[#This Row],[MTD Company]]</f>
        <v>0</v>
      </c>
      <c r="G14" s="18">
        <f>Table333456789[[#This Row],[Our panel]]+Table33345678[[#This Row],[MTD Panel]]</f>
        <v>0</v>
      </c>
      <c r="H14" s="13">
        <f t="shared" si="0"/>
        <v>0</v>
      </c>
      <c r="I14" s="13">
        <f t="shared" si="1"/>
        <v>0</v>
      </c>
    </row>
    <row r="15" spans="1:12">
      <c r="A15" s="11" t="str">
        <f>Table333456789101217[[#This Row],[Carrier]]</f>
        <v>Shadow</v>
      </c>
      <c r="B15" s="5" t="str">
        <f>Table333456789101217[[#This Row],[IP]]</f>
        <v>175.45.112.100/25.851.31.153/39.80.220.100</v>
      </c>
      <c r="C15" s="6" t="str">
        <f>Table333456789101217[[#This Row],[Carrier Code]]</f>
        <v>SH</v>
      </c>
      <c r="D15" s="53">
        <v>0</v>
      </c>
      <c r="E15" s="53">
        <v>0</v>
      </c>
      <c r="F15" s="18">
        <f>Table333456789[[#This Row],[Company Panel]]+Table33345678[[#This Row],[MTD Company]]</f>
        <v>0</v>
      </c>
      <c r="G15" s="18">
        <f>Table333456789[[#This Row],[Our panel]]+Table33345678[[#This Row],[MTD Panel]]</f>
        <v>0</v>
      </c>
      <c r="H15" s="13">
        <f t="shared" si="0"/>
        <v>0</v>
      </c>
      <c r="I15" s="13">
        <f t="shared" si="1"/>
        <v>0</v>
      </c>
    </row>
    <row r="16" spans="1:12">
      <c r="A16" s="11" t="str">
        <f>Table333456789101217[[#This Row],[Carrier]]</f>
        <v>Cyclone</v>
      </c>
      <c r="B16" s="5" t="str">
        <f>Table333456789101217[[#This Row],[IP]]</f>
        <v>150.13.75.190/16.160.89.512/72.11.97.34</v>
      </c>
      <c r="C16" s="6" t="str">
        <f>Table333456789101217[[#This Row],[Carrier Code]]</f>
        <v>CY</v>
      </c>
      <c r="D16" s="53">
        <v>0</v>
      </c>
      <c r="E16" s="53">
        <v>0</v>
      </c>
      <c r="F16" s="18">
        <f>Table333456789[[#This Row],[Company Panel]]+Table33345678[[#This Row],[MTD Company]]</f>
        <v>0</v>
      </c>
      <c r="G16" s="18">
        <f>Table333456789[[#This Row],[Our panel]]+Table33345678[[#This Row],[MTD Panel]]</f>
        <v>0</v>
      </c>
      <c r="H16" s="13">
        <f t="shared" si="0"/>
        <v>0</v>
      </c>
      <c r="I16" s="13">
        <f t="shared" si="1"/>
        <v>0</v>
      </c>
    </row>
    <row r="17" spans="1:9">
      <c r="A17" s="11" t="str">
        <f>Table333456789101217[[#This Row],[Carrier]]</f>
        <v>Reaver</v>
      </c>
      <c r="B17" s="5" t="str">
        <f>Table333456789101217[[#This Row],[IP]]</f>
        <v>203.0.113.44/188.17.56.210</v>
      </c>
      <c r="C17" s="6" t="str">
        <f>Table333456789101217[[#This Row],[Carrier Code]]</f>
        <v>RE</v>
      </c>
      <c r="D17" s="53">
        <v>0</v>
      </c>
      <c r="E17" s="53">
        <v>0</v>
      </c>
      <c r="F17" s="18">
        <f>Table333456789[[#This Row],[Company Panel]]+Table33345678[[#This Row],[MTD Company]]</f>
        <v>0</v>
      </c>
      <c r="G17" s="18">
        <f>Table333456789[[#This Row],[Our panel]]+Table33345678[[#This Row],[MTD Panel]]</f>
        <v>0</v>
      </c>
      <c r="H17" s="13">
        <f t="shared" si="0"/>
        <v>0</v>
      </c>
      <c r="I17" s="13">
        <f t="shared" si="1"/>
        <v>0</v>
      </c>
    </row>
    <row r="18" spans="1:9">
      <c r="A18" s="11" t="str">
        <f>Table333456789101217[[#This Row],[Carrier]]</f>
        <v>Forge</v>
      </c>
      <c r="B18" s="5" t="str">
        <f>Table333456789101217[[#This Row],[IP]]</f>
        <v>112.54.89.168/112.54.89.138</v>
      </c>
      <c r="C18" s="6" t="str">
        <f>Table333456789101217[[#This Row],[Carrier Code]]</f>
        <v>FO</v>
      </c>
      <c r="D18" s="53">
        <v>31.15</v>
      </c>
      <c r="E18" s="53">
        <v>31.15</v>
      </c>
      <c r="F18" s="18">
        <f>Table333456789[[#This Row],[Company Panel]]+Table33345678[[#This Row],[MTD Company]]</f>
        <v>222.60000000000002</v>
      </c>
      <c r="G18" s="18">
        <f>Table333456789[[#This Row],[Our panel]]+Table33345678[[#This Row],[MTD Panel]]</f>
        <v>222.60000000000002</v>
      </c>
      <c r="H18" s="13">
        <f t="shared" si="0"/>
        <v>0</v>
      </c>
      <c r="I18" s="13">
        <f t="shared" si="1"/>
        <v>0</v>
      </c>
    </row>
    <row r="19" spans="1:9">
      <c r="A19" s="11" t="str">
        <f>Table333456789101217[[#This Row],[Carrier]]</f>
        <v>Ember</v>
      </c>
      <c r="B19" s="5" t="str">
        <f>Table333456789101217[[#This Row],[IP]]</f>
        <v>78.34.90.24/328.56.122.44/142.150.75.22</v>
      </c>
      <c r="C19" s="6" t="str">
        <f>Table333456789101217[[#This Row],[Carrier Code]]</f>
        <v>EM</v>
      </c>
      <c r="D19" s="53">
        <v>0</v>
      </c>
      <c r="E19" s="53">
        <v>0</v>
      </c>
      <c r="F19" s="18">
        <f>Table333456789[[#This Row],[Company Panel]]+Table33345678[[#This Row],[MTD Company]]</f>
        <v>0</v>
      </c>
      <c r="G19" s="18">
        <f>Table333456789[[#This Row],[Our panel]]+Table33345678[[#This Row],[MTD Panel]]</f>
        <v>0</v>
      </c>
      <c r="H19" s="13">
        <f t="shared" si="0"/>
        <v>0</v>
      </c>
      <c r="I19" s="13">
        <f t="shared" si="1"/>
        <v>0</v>
      </c>
    </row>
    <row r="20" spans="1:9">
      <c r="A20" s="11" t="str">
        <f>Table333456789101217[[#This Row],[Carrier]]</f>
        <v>Specter</v>
      </c>
      <c r="B20" s="5" t="str">
        <f>Table333456789101217[[#This Row],[IP]]</f>
        <v>205.60.34.150</v>
      </c>
      <c r="C20" s="6" t="str">
        <f>Table333456789101217[[#This Row],[Carrier Code]]</f>
        <v>SP</v>
      </c>
      <c r="D20" s="53">
        <v>0.26666666666666666</v>
      </c>
      <c r="E20" s="53">
        <v>0.26666666666666666</v>
      </c>
      <c r="F20" s="18">
        <f>Table333456789[[#This Row],[Company Panel]]+Table33345678[[#This Row],[MTD Company]]</f>
        <v>10.4</v>
      </c>
      <c r="G20" s="18">
        <f>Table333456789[[#This Row],[Our panel]]+Table33345678[[#This Row],[MTD Panel]]</f>
        <v>10.4</v>
      </c>
      <c r="H20" s="13">
        <f t="shared" si="0"/>
        <v>0</v>
      </c>
      <c r="I20" s="13">
        <f t="shared" si="1"/>
        <v>0</v>
      </c>
    </row>
    <row r="21" spans="1:9">
      <c r="A21" s="11" t="str">
        <f>Table333456789101217[[#This Row],[Carrier]]</f>
        <v>Throne</v>
      </c>
      <c r="B21" s="5" t="str">
        <f>Table333456789101217[[#This Row],[IP]]</f>
        <v>54.32.11.90/27.758.27.201/125.150.58.20</v>
      </c>
      <c r="C21" s="6" t="str">
        <f>Table333456789101217[[#This Row],[Carrier Code]]</f>
        <v>TH</v>
      </c>
      <c r="D21" s="53">
        <v>0</v>
      </c>
      <c r="E21" s="53">
        <v>0</v>
      </c>
      <c r="F21" s="18">
        <f>Table333456789[[#This Row],[Company Panel]]+Table33345678[[#This Row],[MTD Company]]</f>
        <v>0</v>
      </c>
      <c r="G21" s="18">
        <f>Table333456789[[#This Row],[Our panel]]+Table33345678[[#This Row],[MTD Panel]]</f>
        <v>0</v>
      </c>
      <c r="H21" s="13">
        <f t="shared" si="0"/>
        <v>0</v>
      </c>
      <c r="I21" s="13">
        <f t="shared" si="1"/>
        <v>0</v>
      </c>
    </row>
    <row r="22" spans="1:9">
      <c r="A22" s="11" t="str">
        <f>Table333456789101217[[#This Row],[Carrier]]</f>
        <v>Arcane</v>
      </c>
      <c r="B22" s="5" t="str">
        <f>Table333456789101217[[#This Row],[IP]]</f>
        <v>212.100.25.78/212.100.25.87</v>
      </c>
      <c r="C22" s="6" t="str">
        <f>Table333456789101217[[#This Row],[Carrier Code]]</f>
        <v>AR</v>
      </c>
      <c r="D22" s="53">
        <v>0</v>
      </c>
      <c r="E22" s="53">
        <v>0</v>
      </c>
      <c r="F22" s="18">
        <f>Table333456789[[#This Row],[Company Panel]]+Table33345678[[#This Row],[MTD Company]]</f>
        <v>0</v>
      </c>
      <c r="G22" s="18">
        <f>Table333456789[[#This Row],[Our panel]]+Table33345678[[#This Row],[MTD Panel]]</f>
        <v>0</v>
      </c>
      <c r="H22" s="13">
        <f t="shared" si="0"/>
        <v>0</v>
      </c>
      <c r="I22" s="13">
        <f t="shared" si="1"/>
        <v>0</v>
      </c>
    </row>
    <row r="23" spans="1:9">
      <c r="A23" s="11" t="str">
        <f>Table333456789101217[[#This Row],[Carrier]]</f>
        <v>Glitch</v>
      </c>
      <c r="B23" s="5" t="str">
        <f>Table333456789101217[[#This Row],[IP]]</f>
        <v>198.204.100.12/198.204.100.34/198.204.100.51</v>
      </c>
      <c r="C23" s="6" t="str">
        <f>Table333456789101217[[#This Row],[Carrier Code]]</f>
        <v>GL</v>
      </c>
      <c r="D23" s="53">
        <v>0</v>
      </c>
      <c r="E23" s="53">
        <v>0</v>
      </c>
      <c r="F23" s="18">
        <f>Table333456789[[#This Row],[Company Panel]]+Table33345678[[#This Row],[MTD Company]]</f>
        <v>0</v>
      </c>
      <c r="G23" s="18">
        <f>Table333456789[[#This Row],[Our panel]]+Table33345678[[#This Row],[MTD Panel]]</f>
        <v>0</v>
      </c>
      <c r="H23" s="13">
        <f t="shared" si="0"/>
        <v>0</v>
      </c>
      <c r="I23" s="13">
        <f t="shared" si="1"/>
        <v>0</v>
      </c>
    </row>
    <row r="24" spans="1:9">
      <c r="A24" s="11" t="str">
        <f>Table333456789101217[[#This Row],[Carrier]]</f>
        <v>Nitro</v>
      </c>
      <c r="B24" s="5" t="str">
        <f>Table333456789101217[[#This Row],[IP]]</f>
        <v>15.150.200.33/119.82.200.100</v>
      </c>
      <c r="C24" s="6" t="str">
        <f>Table333456789101217[[#This Row],[Carrier Code]]</f>
        <v>NI</v>
      </c>
      <c r="D24" s="53">
        <v>0</v>
      </c>
      <c r="E24" s="53">
        <v>0</v>
      </c>
      <c r="F24" s="18">
        <f>Table333456789[[#This Row],[Company Panel]]+Table33345678[[#This Row],[MTD Company]]</f>
        <v>0</v>
      </c>
      <c r="G24" s="18">
        <f>Table333456789[[#This Row],[Our panel]]+Table33345678[[#This Row],[MTD Panel]]</f>
        <v>0</v>
      </c>
      <c r="H24" s="13">
        <f t="shared" si="0"/>
        <v>0</v>
      </c>
      <c r="I24" s="13">
        <f t="shared" si="1"/>
        <v>0</v>
      </c>
    </row>
    <row r="25" spans="1:9">
      <c r="A25" s="11" t="str">
        <f>Table333456789101217[[#This Row],[Carrier]]</f>
        <v>Drip</v>
      </c>
      <c r="B25" s="5" t="str">
        <f>Table333456789101217[[#This Row],[IP]]</f>
        <v>84.13.76.190/90.945.80.11/198.160.234.5</v>
      </c>
      <c r="C25" s="6" t="str">
        <f>Table333456789101217[[#This Row],[Carrier Code]]</f>
        <v>DR</v>
      </c>
      <c r="D25" s="53">
        <v>0</v>
      </c>
      <c r="E25" s="53">
        <v>0</v>
      </c>
      <c r="F25" s="18">
        <f>Table333456789[[#This Row],[Company Panel]]+Table33345678[[#This Row],[MTD Company]]</f>
        <v>0</v>
      </c>
      <c r="G25" s="18">
        <f>Table333456789[[#This Row],[Our panel]]+Table33345678[[#This Row],[MTD Panel]]</f>
        <v>0</v>
      </c>
      <c r="H25" s="13">
        <f t="shared" si="0"/>
        <v>0</v>
      </c>
      <c r="I25" s="13">
        <f t="shared" si="1"/>
        <v>0</v>
      </c>
    </row>
    <row r="26" spans="1:9">
      <c r="A26" s="11" t="str">
        <f>Table333456789101217[[#This Row],[Carrier]]</f>
        <v>Glide</v>
      </c>
      <c r="B26" s="5" t="str">
        <f>Table333456789101217[[#This Row],[IP]]</f>
        <v>120.45.12.25/85.739.221.80/85.739.221.93</v>
      </c>
      <c r="C26" s="6" t="str">
        <f>Table333456789101217[[#This Row],[Carrier Code]]</f>
        <v>GI</v>
      </c>
      <c r="D26" s="53">
        <v>0</v>
      </c>
      <c r="E26" s="53">
        <v>0</v>
      </c>
      <c r="F26" s="18">
        <f>Table333456789[[#This Row],[Company Panel]]+Table33345678[[#This Row],[MTD Company]]</f>
        <v>0</v>
      </c>
      <c r="G26" s="18">
        <f>Table333456789[[#This Row],[Our panel]]+Table33345678[[#This Row],[MTD Panel]]</f>
        <v>0</v>
      </c>
      <c r="H26" s="13">
        <f t="shared" si="0"/>
        <v>0</v>
      </c>
      <c r="I26" s="13">
        <f t="shared" si="1"/>
        <v>0</v>
      </c>
    </row>
    <row r="27" spans="1:9">
      <c r="A27" s="11" t="str">
        <f>Table333456789101217[[#This Row],[Carrier]]</f>
        <v>Orbit</v>
      </c>
      <c r="B27" s="5" t="str">
        <f>Table333456789101217[[#This Row],[IP]]</f>
        <v>176.98.54.112/60.110.154.91/60.110.155.162</v>
      </c>
      <c r="C27" s="6" t="str">
        <f>Table333456789101217[[#This Row],[Carrier Code]]</f>
        <v>OR</v>
      </c>
      <c r="D27" s="53">
        <v>0</v>
      </c>
      <c r="E27" s="53">
        <v>0</v>
      </c>
      <c r="F27" s="18">
        <f>Table333456789[[#This Row],[Company Panel]]+Table33345678[[#This Row],[MTD Company]]</f>
        <v>0</v>
      </c>
      <c r="G27" s="18">
        <f>Table333456789[[#This Row],[Our panel]]+Table33345678[[#This Row],[MTD Panel]]</f>
        <v>0</v>
      </c>
      <c r="H27" s="13">
        <f t="shared" si="0"/>
        <v>0</v>
      </c>
      <c r="I27" s="13">
        <f t="shared" si="1"/>
        <v>0</v>
      </c>
    </row>
    <row r="28" spans="1:9">
      <c r="A28" s="11" t="str">
        <f>Table333456789101217[[#This Row],[Carrier]]</f>
        <v>Thunder</v>
      </c>
      <c r="B28" s="5" t="str">
        <f>Table333456789101217[[#This Row],[IP]]</f>
        <v>67.102.200.9/81.905.48.847/143.235.100.34</v>
      </c>
      <c r="C28" s="6" t="str">
        <f>Table333456789101217[[#This Row],[Carrier Code]]</f>
        <v>TU</v>
      </c>
      <c r="D28" s="53">
        <v>70.266666666666666</v>
      </c>
      <c r="E28" s="53">
        <v>70.266666666666666</v>
      </c>
      <c r="F28" s="18">
        <f>Table333456789[[#This Row],[Company Panel]]+Table33345678[[#This Row],[MTD Company]]</f>
        <v>224.18333333333334</v>
      </c>
      <c r="G28" s="18">
        <f>Table333456789[[#This Row],[Our panel]]+Table33345678[[#This Row],[MTD Panel]]</f>
        <v>224.18333333333334</v>
      </c>
      <c r="H28" s="13">
        <f t="shared" si="0"/>
        <v>0</v>
      </c>
      <c r="I28" s="13">
        <f t="shared" si="1"/>
        <v>0</v>
      </c>
    </row>
    <row r="29" spans="1:9">
      <c r="A29" s="11" t="str">
        <f>Table333456789101217[[#This Row],[Carrier]]</f>
        <v>Glimmer</v>
      </c>
      <c r="B29" s="5" t="str">
        <f>Table333456789101217[[#This Row],[IP]]</f>
        <v>99.22.211.100/71.54.85.344/71.54.85.218</v>
      </c>
      <c r="C29" s="6" t="str">
        <f>Table333456789101217[[#This Row],[Carrier Code]]</f>
        <v>GM</v>
      </c>
      <c r="D29" s="53">
        <v>0</v>
      </c>
      <c r="E29" s="53">
        <v>0</v>
      </c>
      <c r="F29" s="18">
        <f>Table333456789[[#This Row],[Company Panel]]+Table33345678[[#This Row],[MTD Company]]</f>
        <v>0</v>
      </c>
      <c r="G29" s="18">
        <f>Table333456789[[#This Row],[Our panel]]+Table33345678[[#This Row],[MTD Panel]]</f>
        <v>0</v>
      </c>
      <c r="H29" s="13">
        <f t="shared" si="0"/>
        <v>0</v>
      </c>
      <c r="I29" s="13">
        <f t="shared" si="1"/>
        <v>0</v>
      </c>
    </row>
    <row r="30" spans="1:9">
      <c r="A30" s="11" t="str">
        <f>Table333456789101217[[#This Row],[Carrier]]</f>
        <v>Fragment</v>
      </c>
      <c r="B30" s="5" t="str">
        <f>Table333456789101217[[#This Row],[IP]]</f>
        <v>203.0.113.56/195.56.101.10</v>
      </c>
      <c r="C30" s="6" t="str">
        <f>Table333456789101217[[#This Row],[Carrier Code]]</f>
        <v>FR</v>
      </c>
      <c r="D30" s="53">
        <v>0</v>
      </c>
      <c r="E30" s="53">
        <v>0</v>
      </c>
      <c r="F30" s="18">
        <f>Table333456789[[#This Row],[Company Panel]]+Table33345678[[#This Row],[MTD Company]]</f>
        <v>0</v>
      </c>
      <c r="G30" s="18">
        <f>Table333456789[[#This Row],[Our panel]]+Table33345678[[#This Row],[MTD Panel]]</f>
        <v>0</v>
      </c>
      <c r="H30" s="13">
        <f t="shared" si="0"/>
        <v>0</v>
      </c>
      <c r="I30" s="13">
        <f t="shared" si="1"/>
        <v>0</v>
      </c>
    </row>
    <row r="31" spans="1:9">
      <c r="A31" s="11" t="str">
        <f>Table333456789101217[[#This Row],[Carrier]]</f>
        <v>Dusk</v>
      </c>
      <c r="B31" s="5" t="str">
        <f>Table333456789101217[[#This Row],[IP]]</f>
        <v>33.44.55.66/33.44.55.84/33.44.55.122/214.68.90.122</v>
      </c>
      <c r="C31" s="6" t="str">
        <f>Table333456789101217[[#This Row],[Carrier Code]]</f>
        <v>DK</v>
      </c>
      <c r="D31" s="53">
        <v>0</v>
      </c>
      <c r="E31" s="53">
        <v>0</v>
      </c>
      <c r="F31" s="18">
        <f>Table333456789[[#This Row],[Company Panel]]+Table33345678[[#This Row],[MTD Company]]</f>
        <v>0</v>
      </c>
      <c r="G31" s="18">
        <f>Table333456789[[#This Row],[Our panel]]+Table33345678[[#This Row],[MTD Panel]]</f>
        <v>0</v>
      </c>
      <c r="H31" s="13">
        <f t="shared" ref="H31:H36" si="2">D31-E31</f>
        <v>0</v>
      </c>
      <c r="I31" s="13">
        <f t="shared" ref="I31:I36" si="3">F31-G31</f>
        <v>0</v>
      </c>
    </row>
    <row r="32" spans="1:9">
      <c r="A32" s="11" t="str">
        <f>Table333456789101217[[#This Row],[Carrier]]</f>
        <v>Breeze</v>
      </c>
      <c r="B32" s="5" t="str">
        <f>Table333456789101217[[#This Row],[IP]]</f>
        <v>199.123.87.45/199.123.34.52/77.189.22.56</v>
      </c>
      <c r="C32" s="6" t="str">
        <f>Table333456789101217[[#This Row],[Carrier Code]]</f>
        <v>BR</v>
      </c>
      <c r="D32" s="53">
        <v>0</v>
      </c>
      <c r="E32" s="53">
        <v>0</v>
      </c>
      <c r="F32" s="18">
        <f>Table333456789[[#This Row],[Company Panel]]+Table33345678[[#This Row],[MTD Company]]</f>
        <v>0</v>
      </c>
      <c r="G32" s="18">
        <f>Table333456789[[#This Row],[Our panel]]+Table33345678[[#This Row],[MTD Panel]]</f>
        <v>0</v>
      </c>
      <c r="H32" s="13">
        <f t="shared" si="2"/>
        <v>0</v>
      </c>
      <c r="I32" s="13">
        <f t="shared" si="3"/>
        <v>0</v>
      </c>
    </row>
    <row r="33" spans="1:9">
      <c r="A33" s="11" t="str">
        <f>Table333456789101217[[#This Row],[Carrier]]</f>
        <v>Clutch</v>
      </c>
      <c r="B33" s="5" t="str">
        <f>Table333456789101217[[#This Row],[IP]]</f>
        <v>55.66.77.88/84.126.79.28/152.233.45.11</v>
      </c>
      <c r="C33" s="6" t="str">
        <f>Table333456789101217[[#This Row],[Carrier Code]]</f>
        <v>CL</v>
      </c>
      <c r="D33" s="53">
        <v>0</v>
      </c>
      <c r="E33" s="53">
        <v>0</v>
      </c>
      <c r="F33" s="18">
        <f>Table333456789[[#This Row],[Company Panel]]+Table33345678[[#This Row],[MTD Company]]</f>
        <v>0</v>
      </c>
      <c r="G33" s="18">
        <f>Table333456789[[#This Row],[Our panel]]+Table33345678[[#This Row],[MTD Panel]]</f>
        <v>0</v>
      </c>
      <c r="H33" s="13">
        <f t="shared" si="2"/>
        <v>0</v>
      </c>
      <c r="I33" s="13">
        <f t="shared" si="3"/>
        <v>0</v>
      </c>
    </row>
    <row r="34" spans="1:9">
      <c r="A34" s="11" t="str">
        <f>Table333456789101217[[#This Row],[Carrier]]</f>
        <v>Haze</v>
      </c>
      <c r="B34" s="5" t="str">
        <f>Table333456789101217[[#This Row],[IP]]</f>
        <v>230.111.44.56</v>
      </c>
      <c r="C34" s="6" t="str">
        <f>Table333456789101217[[#This Row],[Carrier Code]]</f>
        <v>HZ</v>
      </c>
      <c r="D34" s="53">
        <v>0</v>
      </c>
      <c r="E34" s="53">
        <v>0</v>
      </c>
      <c r="F34" s="18">
        <f>Table333456789[[#This Row],[Company Panel]]+Table33345678[[#This Row],[MTD Company]]</f>
        <v>0</v>
      </c>
      <c r="G34" s="18">
        <f>Table333456789[[#This Row],[Our panel]]+Table33345678[[#This Row],[MTD Panel]]</f>
        <v>0</v>
      </c>
      <c r="H34" s="13">
        <f t="shared" si="2"/>
        <v>0</v>
      </c>
      <c r="I34" s="13">
        <f t="shared" si="3"/>
        <v>0</v>
      </c>
    </row>
    <row r="35" spans="1:9">
      <c r="A35" s="11" t="str">
        <f>Table333456789101217[[#This Row],[Carrier]]</f>
        <v>Vault</v>
      </c>
      <c r="B35" s="5" t="str">
        <f>Table333456789101217[[#This Row],[IP]]</f>
        <v>213.189.94.5/213.189.94.7/111.180.64.222</v>
      </c>
      <c r="C35" s="6" t="str">
        <f>Table333456789101217[[#This Row],[Carrier Code]]</f>
        <v>VA</v>
      </c>
      <c r="D35" s="53">
        <v>0</v>
      </c>
      <c r="E35" s="53">
        <v>0</v>
      </c>
      <c r="F35" s="18">
        <f>Table333456789[[#This Row],[Company Panel]]+Table33345678[[#This Row],[MTD Company]]</f>
        <v>0</v>
      </c>
      <c r="G35" s="18">
        <f>Table333456789[[#This Row],[Our panel]]+Table33345678[[#This Row],[MTD Panel]]</f>
        <v>0</v>
      </c>
      <c r="H35" s="13">
        <f t="shared" si="2"/>
        <v>0</v>
      </c>
      <c r="I35" s="13">
        <f t="shared" si="3"/>
        <v>0</v>
      </c>
    </row>
    <row r="36" spans="1:9">
      <c r="A36" s="11" t="str">
        <f>Table333456789101217[[#This Row],[Carrier]]</f>
        <v>Scatter</v>
      </c>
      <c r="B36" s="5" t="str">
        <f>Table333456789101217[[#This Row],[IP]]</f>
        <v>14.123.45.67/168.251.90.15</v>
      </c>
      <c r="C36" s="6" t="str">
        <f>Table333456789101217[[#This Row],[Carrier Code]]</f>
        <v>SC</v>
      </c>
      <c r="D36" s="53">
        <v>9.0833333333333339</v>
      </c>
      <c r="E36" s="53">
        <v>9.0833333333333339</v>
      </c>
      <c r="F36" s="18">
        <f>Table333456789[[#This Row],[Company Panel]]+Table33345678[[#This Row],[MTD Company]]</f>
        <v>70.933333333333337</v>
      </c>
      <c r="G36" s="18">
        <f>Table333456789[[#This Row],[Our panel]]+Table33345678[[#This Row],[MTD Panel]]</f>
        <v>70.933333333333337</v>
      </c>
      <c r="H36" s="13">
        <f t="shared" si="2"/>
        <v>0</v>
      </c>
      <c r="I36" s="13">
        <f t="shared" si="3"/>
        <v>0</v>
      </c>
    </row>
    <row r="37" spans="1:9">
      <c r="A37" s="11" t="str">
        <f>Table333456789101217[[#This Row],[Carrier]]</f>
        <v>Hammer</v>
      </c>
      <c r="B37" s="5" t="str">
        <f>Table333456789101217[[#This Row],[IP]]</f>
        <v>200.111.78.9/200.111.236.62/200.111.823.89/137.79.48.56</v>
      </c>
      <c r="C37" s="6" t="str">
        <f>Table333456789101217[[#This Row],[Carrier Code]]</f>
        <v>HA</v>
      </c>
      <c r="D37" s="53">
        <v>0</v>
      </c>
      <c r="E37" s="53">
        <v>0</v>
      </c>
      <c r="F37" s="18">
        <f>Table333456789[[#This Row],[Company Panel]]+Table33345678[[#This Row],[MTD Company]]</f>
        <v>0</v>
      </c>
      <c r="G37" s="18">
        <f>Table333456789[[#This Row],[Our panel]]+Table33345678[[#This Row],[MTD Panel]]</f>
        <v>0</v>
      </c>
      <c r="H37" s="72">
        <f t="shared" ref="H37:H44" si="4">D37-E37</f>
        <v>0</v>
      </c>
      <c r="I37" s="72">
        <f t="shared" ref="I37:I44" si="5">F37-G37</f>
        <v>0</v>
      </c>
    </row>
    <row r="38" spans="1:9">
      <c r="A38" s="11" t="str">
        <f>Table333456789101217[[#This Row],[Carrier]]</f>
        <v>Smudge</v>
      </c>
      <c r="B38" s="5" t="str">
        <f>Table333456789101217[[#This Row],[IP]]</f>
        <v>88.99.233.56/54.71.99.234</v>
      </c>
      <c r="C38" s="6" t="str">
        <f>Table333456789101217[[#This Row],[Carrier Code]]</f>
        <v>SM</v>
      </c>
      <c r="D38" s="53">
        <v>24.333333333333332</v>
      </c>
      <c r="E38" s="53">
        <v>24.333333333333332</v>
      </c>
      <c r="F38" s="18">
        <f>Table333456789[[#This Row],[Company Panel]]+Table33345678[[#This Row],[MTD Company]]</f>
        <v>85.216666666666669</v>
      </c>
      <c r="G38" s="18">
        <f>Table333456789[[#This Row],[Our panel]]+Table33345678[[#This Row],[MTD Panel]]</f>
        <v>85.216666666666669</v>
      </c>
      <c r="H38" s="72">
        <f t="shared" si="4"/>
        <v>0</v>
      </c>
      <c r="I38" s="72">
        <f t="shared" si="5"/>
        <v>0</v>
      </c>
    </row>
    <row r="39" spans="1:9">
      <c r="A39" s="11" t="str">
        <f>Table333456789101217[[#This Row],[Carrier]]</f>
        <v>Quirk</v>
      </c>
      <c r="B39" s="5" t="str">
        <f>Table333456789101217[[#This Row],[IP]]</f>
        <v>62.45.100.31/62.45.100.15/62.45.100.65/211.95.102.6</v>
      </c>
      <c r="C39" s="6" t="str">
        <f>Table333456789101217[[#This Row],[Carrier Code]]</f>
        <v>QU</v>
      </c>
      <c r="D39" s="53">
        <v>1313.7</v>
      </c>
      <c r="E39" s="53">
        <v>1313.7</v>
      </c>
      <c r="F39" s="18">
        <f>Table333456789[[#This Row],[Company Panel]]+Table33345678[[#This Row],[MTD Company]]</f>
        <v>15501.05</v>
      </c>
      <c r="G39" s="18">
        <f>Table333456789[[#This Row],[Our panel]]+Table33345678[[#This Row],[MTD Panel]]</f>
        <v>15501.05</v>
      </c>
      <c r="H39" s="13">
        <f t="shared" si="4"/>
        <v>0</v>
      </c>
      <c r="I39" s="13">
        <f t="shared" si="5"/>
        <v>0</v>
      </c>
    </row>
    <row r="40" spans="1:9">
      <c r="A40" s="11" t="str">
        <f>Table333456789101217[[#This Row],[Carrier]]</f>
        <v>Vortex</v>
      </c>
      <c r="B40" s="5" t="str">
        <f>Table333456789101217[[#This Row],[IP]]</f>
        <v>179.250.91.8/29.540.67.457/94.25.34.78/183.144.27.18</v>
      </c>
      <c r="C40" s="6" t="str">
        <f>Table333456789101217[[#This Row],[Carrier Code]]</f>
        <v>VT</v>
      </c>
      <c r="D40" s="53">
        <v>0</v>
      </c>
      <c r="E40" s="53">
        <v>0</v>
      </c>
      <c r="F40" s="18">
        <f>Table333456789[[#This Row],[Company Panel]]+Table33345678[[#This Row],[MTD Company]]</f>
        <v>0</v>
      </c>
      <c r="G40" s="18">
        <f>Table333456789[[#This Row],[Our panel]]+Table33345678[[#This Row],[MTD Panel]]</f>
        <v>0</v>
      </c>
      <c r="H40" s="72">
        <f t="shared" si="4"/>
        <v>0</v>
      </c>
      <c r="I40" s="72">
        <f t="shared" si="5"/>
        <v>0</v>
      </c>
    </row>
    <row r="41" spans="1:9">
      <c r="A41" s="11" t="str">
        <f>Table333456789101217[[#This Row],[Carrier]]</f>
        <v>Void</v>
      </c>
      <c r="B41" s="5" t="str">
        <f>Table333456789101217[[#This Row],[IP]]</f>
        <v>156.34.123.11/156.34.123.25/156.34.123.62/92.44.233.110</v>
      </c>
      <c r="C41" s="6" t="str">
        <f>Table333456789101217[[#This Row],[Carrier Code]]</f>
        <v>VO</v>
      </c>
      <c r="D41" s="53">
        <v>65.033333333333331</v>
      </c>
      <c r="E41" s="53">
        <v>65.033333333333331</v>
      </c>
      <c r="F41" s="18">
        <f>Table333456789[[#This Row],[Company Panel]]+Table33345678[[#This Row],[MTD Company]]</f>
        <v>448.56666666666661</v>
      </c>
      <c r="G41" s="18">
        <f>Table333456789[[#This Row],[Our panel]]+Table33345678[[#This Row],[MTD Panel]]</f>
        <v>448.56666666666661</v>
      </c>
      <c r="H41" s="13">
        <f t="shared" si="4"/>
        <v>0</v>
      </c>
      <c r="I41" s="13">
        <f t="shared" si="5"/>
        <v>0</v>
      </c>
    </row>
    <row r="42" spans="1:9">
      <c r="A42" s="11" t="str">
        <f>Table333456789101217[[#This Row],[Carrier]]</f>
        <v>Midnight</v>
      </c>
      <c r="B42" s="5" t="str">
        <f>Table333456789101217[[#This Row],[IP]]</f>
        <v>134.77.22.4/23.97.150.8</v>
      </c>
      <c r="C42" s="6" t="str">
        <f>Table333456789101217[[#This Row],[Carrier Code]]</f>
        <v>MI</v>
      </c>
      <c r="D42" s="53">
        <v>210.03333333333333</v>
      </c>
      <c r="E42" s="53">
        <v>210.03333333333333</v>
      </c>
      <c r="F42" s="18">
        <f>Table333456789[[#This Row],[Company Panel]]+Table33345678[[#This Row],[MTD Company]]</f>
        <v>761.76666666666665</v>
      </c>
      <c r="G42" s="18">
        <f>Table333456789[[#This Row],[Our panel]]+Table33345678[[#This Row],[MTD Panel]]</f>
        <v>761.76666666666665</v>
      </c>
      <c r="H42" s="72">
        <f t="shared" si="4"/>
        <v>0</v>
      </c>
      <c r="I42" s="72">
        <f t="shared" si="5"/>
        <v>0</v>
      </c>
    </row>
    <row r="43" spans="1:9">
      <c r="A43" s="11" t="str">
        <f>Table333456789101217[[#This Row],[Carrier]]</f>
        <v>Autumn</v>
      </c>
      <c r="B43" s="5" t="str">
        <f>Table333456789101217[[#This Row],[IP]]</f>
        <v>202.54.210.88/12.331.94.73/64.19.28.175</v>
      </c>
      <c r="C43" s="6" t="str">
        <f>Table333456789101217[[#This Row],[Carrier Code]]</f>
        <v>AU</v>
      </c>
      <c r="D43" s="53">
        <v>0.16666666666666666</v>
      </c>
      <c r="E43" s="53">
        <v>0.16666666666666666</v>
      </c>
      <c r="F43" s="18">
        <f>Table333456789[[#This Row],[Company Panel]]+Table33345678[[#This Row],[MTD Company]]</f>
        <v>56.283333333333339</v>
      </c>
      <c r="G43" s="18">
        <f>Table333456789[[#This Row],[Our panel]]+Table33345678[[#This Row],[MTD Panel]]</f>
        <v>56.283333333333339</v>
      </c>
      <c r="H43" s="72">
        <f t="shared" si="4"/>
        <v>0</v>
      </c>
      <c r="I43" s="72">
        <f t="shared" si="5"/>
        <v>0</v>
      </c>
    </row>
    <row r="44" spans="1:9">
      <c r="A44" s="11" t="str">
        <f>Table333456789101217[[#This Row],[Carrier]]</f>
        <v>Mystic</v>
      </c>
      <c r="B44" s="5" t="str">
        <f>Table333456789101217[[#This Row],[IP]]</f>
        <v>51.233.21.76/82.115.35.60/82.115.35.85</v>
      </c>
      <c r="C44" s="6" t="str">
        <f>Table333456789101217[[#This Row],[Carrier Code]]</f>
        <v>MY</v>
      </c>
      <c r="D44" s="53">
        <v>0</v>
      </c>
      <c r="E44" s="53">
        <v>0</v>
      </c>
      <c r="F44" s="18">
        <f>Table333456789[[#This Row],[Company Panel]]+Table33345678[[#This Row],[MTD Company]]</f>
        <v>0</v>
      </c>
      <c r="G44" s="18">
        <f>Table333456789[[#This Row],[Our panel]]+Table33345678[[#This Row],[MTD Panel]]</f>
        <v>0</v>
      </c>
      <c r="H44" s="72">
        <f t="shared" si="4"/>
        <v>0</v>
      </c>
      <c r="I44" s="72">
        <f t="shared" si="5"/>
        <v>0</v>
      </c>
    </row>
    <row r="45" spans="1:9">
      <c r="A45" s="11" t="str">
        <f>Table333456789101217[[#This Row],[Carrier]]</f>
        <v>Clover</v>
      </c>
      <c r="B45" s="5" t="str">
        <f>Table333456789101217[[#This Row],[IP]]</f>
        <v>210.150.12.45/84.50.212.66/135.113.88.9</v>
      </c>
      <c r="C45" s="6" t="str">
        <f>Table333456789101217[[#This Row],[Carrier Code]]</f>
        <v>CO</v>
      </c>
      <c r="D45" s="53">
        <v>4577.3166666666666</v>
      </c>
      <c r="E45" s="53">
        <v>4577.3166666666666</v>
      </c>
      <c r="F45" s="18">
        <f>Table333456789[[#This Row],[Company Panel]]+Table33345678[[#This Row],[MTD Company]]</f>
        <v>32848.5</v>
      </c>
      <c r="G45" s="18">
        <f>Table333456789[[#This Row],[Our panel]]+Table33345678[[#This Row],[MTD Panel]]</f>
        <v>32848.5</v>
      </c>
      <c r="H45" s="78">
        <f>D45-E45</f>
        <v>0</v>
      </c>
      <c r="I45" s="78">
        <f>F45-G45</f>
        <v>0</v>
      </c>
    </row>
    <row r="46" spans="1:9">
      <c r="A46" s="11" t="str">
        <f>Table333456789101217[[#This Row],[Carrier]]</f>
        <v>Hunter</v>
      </c>
      <c r="B46" s="5" t="str">
        <f>Table333456789101217[[#This Row],[IP]]</f>
        <v>170.199.20.87/13.693.39.280/78.30.123.47</v>
      </c>
      <c r="C46" s="6" t="str">
        <f>Table333456789101217[[#This Row],[Carrier Code]]</f>
        <v>HU</v>
      </c>
      <c r="D46" s="53">
        <v>268.76666666666665</v>
      </c>
      <c r="E46" s="53">
        <v>268.76666666666665</v>
      </c>
      <c r="F46" s="18">
        <f>Table333456789[[#This Row],[Company Panel]]+Table33345678[[#This Row],[MTD Company]]</f>
        <v>2511.75</v>
      </c>
      <c r="G46" s="18">
        <f>Table333456789[[#This Row],[Our panel]]+Table33345678[[#This Row],[MTD Panel]]</f>
        <v>2511.75</v>
      </c>
      <c r="H46" s="13">
        <f>D46-E46</f>
        <v>0</v>
      </c>
      <c r="I46" s="13">
        <f>F46-G46</f>
        <v>0</v>
      </c>
    </row>
    <row r="47" spans="1:9">
      <c r="A47" s="11" t="str">
        <f>Table333456789101217[[#This Row],[Carrier]]</f>
        <v>Invaded</v>
      </c>
      <c r="B47" s="5" t="str">
        <f>Table333456789101217[[#This Row],[IP]]</f>
        <v>182.67.99.120/80.518.230.410/26.847.95.107/188.12.67.92</v>
      </c>
      <c r="C47" s="6" t="str">
        <f>Table333456789101217[[#This Row],[Carrier Code]]</f>
        <v>ID</v>
      </c>
      <c r="D47" s="7">
        <v>0</v>
      </c>
      <c r="E47" s="7">
        <v>0</v>
      </c>
      <c r="F47" s="18">
        <f>Table333456789[[#This Row],[Company Panel]]+Table33345678[[#This Row],[MTD Company]]</f>
        <v>0</v>
      </c>
      <c r="G47" s="18">
        <f>Table333456789[[#This Row],[Our panel]]+Table33345678[[#This Row],[MTD Panel]]</f>
        <v>0</v>
      </c>
      <c r="H47" s="13">
        <f>D47-E47</f>
        <v>0</v>
      </c>
      <c r="I47" s="13">
        <f>F47-G47</f>
        <v>0</v>
      </c>
    </row>
    <row r="48" spans="1:9">
      <c r="A48" s="11" t="str">
        <f>Table333456789101217[[#This Row],[Carrier]]</f>
        <v>Delusion</v>
      </c>
      <c r="B48" s="5" t="str">
        <f>Table333456789101217[[#This Row],[IP]]</f>
        <v>198.51.100.72/69.887.74.738/39.153.110.645</v>
      </c>
      <c r="C48" s="6" t="str">
        <f>Table333456789101217[[#This Row],[Carrier Code]]</f>
        <v>DU</v>
      </c>
      <c r="D48" s="7">
        <v>0</v>
      </c>
      <c r="E48" s="7">
        <v>0</v>
      </c>
      <c r="F48" s="18">
        <f>Table333456789[[#This Row],[Company Panel]]+Table33345678[[#This Row],[MTD Company]]</f>
        <v>0</v>
      </c>
      <c r="G48" s="18">
        <f>Table333456789[[#This Row],[Our panel]]+Table33345678[[#This Row],[MTD Panel]]</f>
        <v>0</v>
      </c>
      <c r="H48" s="13">
        <f>D48-E48</f>
        <v>0</v>
      </c>
      <c r="I48" s="13">
        <f>F48-G48</f>
        <v>0</v>
      </c>
    </row>
    <row r="49" spans="1:9" ht="15.5">
      <c r="A49" s="11" t="str">
        <f>Table333456789101217[[#This Row],[Carrier]]</f>
        <v>Total</v>
      </c>
      <c r="B49" s="14"/>
      <c r="C49" s="15"/>
      <c r="D49" s="16">
        <f>SUM(D3:D48)</f>
        <v>8631.0166666666664</v>
      </c>
      <c r="E49" s="16">
        <f t="shared" ref="E49:I49" si="6">SUM(E3:E48)</f>
        <v>8631.0166666666664</v>
      </c>
      <c r="F49" s="16">
        <f t="shared" si="6"/>
        <v>92743.816666666651</v>
      </c>
      <c r="G49" s="16">
        <f t="shared" si="6"/>
        <v>92743.816666666651</v>
      </c>
      <c r="H49" s="16">
        <f t="shared" si="6"/>
        <v>0</v>
      </c>
      <c r="I49" s="16">
        <f t="shared" si="6"/>
        <v>0</v>
      </c>
    </row>
    <row r="51" spans="1:9">
      <c r="E51" s="52"/>
      <c r="F51" s="26"/>
      <c r="G51" s="26"/>
      <c r="H51" s="26"/>
    </row>
    <row r="52" spans="1:9">
      <c r="E52" s="25"/>
      <c r="F52" s="26"/>
      <c r="G52" s="52"/>
      <c r="H52" s="26"/>
    </row>
    <row r="53" spans="1:9">
      <c r="E53" s="27"/>
      <c r="F53" s="26"/>
      <c r="G53" s="27"/>
      <c r="H53" s="26"/>
    </row>
    <row r="54" spans="1:9">
      <c r="E54" s="26"/>
      <c r="F54" s="26"/>
      <c r="G54" s="26"/>
      <c r="H54" s="26"/>
    </row>
    <row r="55" spans="1:9">
      <c r="E55" s="26"/>
      <c r="F55" s="26"/>
      <c r="G55" s="26"/>
      <c r="H55" s="26"/>
    </row>
  </sheetData>
  <conditionalFormatting sqref="H2:I48">
    <cfRule type="cellIs" dxfId="437" priority="17" operator="lessThan">
      <formula>0</formula>
    </cfRule>
  </conditionalFormatting>
  <conditionalFormatting sqref="I3:I48">
    <cfRule type="cellIs" dxfId="436" priority="1" operator="lessThan">
      <formula>0</formula>
    </cfRule>
    <cfRule type="cellIs" dxfId="435" priority="2" operator="lessThan">
      <formula>0</formula>
    </cfRule>
  </conditionalFormatting>
  <hyperlinks>
    <hyperlink ref="E1" location="H!A1" display="Home"/>
    <hyperlink ref="D1" location="'7'!D1" display="←"/>
    <hyperlink ref="F1" location="'9'!F1" display="→"/>
  </hyperlink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3"/>
  <sheetViews>
    <sheetView workbookViewId="0">
      <pane xSplit="3" ySplit="2" topLeftCell="D3" activePane="bottomRight" state="frozen"/>
      <selection activeCell="J2" sqref="J2"/>
      <selection pane="topRight" activeCell="J2" sqref="J2"/>
      <selection pane="bottomLeft" activeCell="J2" sqref="J2"/>
      <selection pane="bottomRight" activeCell="D3" sqref="D3"/>
    </sheetView>
  </sheetViews>
  <sheetFormatPr defaultRowHeight="14.5"/>
  <cols>
    <col min="1" max="1" width="26.7265625" bestFit="1" customWidth="1"/>
    <col min="2" max="2" width="53.453125" bestFit="1" customWidth="1"/>
    <col min="3" max="3" width="10.453125" customWidth="1"/>
    <col min="4" max="9" width="12.7265625" customWidth="1"/>
  </cols>
  <sheetData>
    <row r="1" spans="1:12" ht="18.5">
      <c r="A1" s="23" t="str">
        <f>H!A10</f>
        <v>9th April 2025</v>
      </c>
      <c r="B1" s="24"/>
      <c r="C1" s="24"/>
      <c r="D1" s="22" t="s">
        <v>16</v>
      </c>
      <c r="E1" s="22" t="s">
        <v>9</v>
      </c>
      <c r="F1" s="22" t="s">
        <v>17</v>
      </c>
    </row>
    <row r="2" spans="1:12" ht="31">
      <c r="A2" s="1" t="s">
        <v>0</v>
      </c>
      <c r="B2" s="2" t="s">
        <v>1</v>
      </c>
      <c r="C2" s="2" t="s">
        <v>2</v>
      </c>
      <c r="D2" s="2" t="s">
        <v>3</v>
      </c>
      <c r="E2" s="2" t="s">
        <v>11</v>
      </c>
      <c r="F2" s="2" t="s">
        <v>4</v>
      </c>
      <c r="G2" s="4" t="s">
        <v>6</v>
      </c>
      <c r="H2" s="4" t="s">
        <v>7</v>
      </c>
      <c r="I2" s="3" t="s">
        <v>8</v>
      </c>
    </row>
    <row r="3" spans="1:12">
      <c r="A3" s="11" t="str">
        <f>Table333456789101217[[#This Row],[Carrier]]</f>
        <v>Blaze</v>
      </c>
      <c r="B3" s="5" t="str">
        <f>Table333456789101217[[#This Row],[IP]]</f>
        <v>8.12.34.56/48.163.17.845/60.502.86.203/191.45.28.14</v>
      </c>
      <c r="C3" s="6" t="str">
        <f>Table333456789101217[[#This Row],[Carrier Code]]</f>
        <v>BZ</v>
      </c>
      <c r="D3" s="53">
        <v>0</v>
      </c>
      <c r="E3" s="53">
        <v>0</v>
      </c>
      <c r="F3" s="18">
        <f>Table33345678910[[#This Row],[Company Panel]]+Table333456789[[#This Row],[MTD Company]]</f>
        <v>0</v>
      </c>
      <c r="G3" s="18">
        <f>Table33345678910[[#This Row],[Our panel]]+Table333456789[[#This Row],[MTD Panel]]</f>
        <v>0</v>
      </c>
      <c r="H3" s="13">
        <f>Table33345678910[[#This Row],[Company Panel]]-Table33345678910[[#This Row],[Our panel]]</f>
        <v>0</v>
      </c>
      <c r="I3" s="13">
        <f>Table33345678910[[#This Row],[MTD Company]]-Table33345678910[[#This Row],[MTD Panel]]</f>
        <v>0</v>
      </c>
    </row>
    <row r="4" spans="1:12">
      <c r="A4" s="11" t="str">
        <f>Table333456789101217[[#This Row],[Carrier]]</f>
        <v>Titan</v>
      </c>
      <c r="B4" s="5" t="str">
        <f>Table333456789101217[[#This Row],[IP]]</f>
        <v>123.45.67.89/123.45.67.93/203.24.101.65</v>
      </c>
      <c r="C4" s="6" t="str">
        <f>Table333456789101217[[#This Row],[Carrier Code]]</f>
        <v>TI</v>
      </c>
      <c r="D4" s="53">
        <v>0.76666666666666672</v>
      </c>
      <c r="E4" s="53">
        <v>0.76666666666666672</v>
      </c>
      <c r="F4" s="18">
        <f>Table33345678910[[#This Row],[Company Panel]]+Table333456789[[#This Row],[MTD Company]]</f>
        <v>246.96666666666667</v>
      </c>
      <c r="G4" s="18">
        <f>Table33345678910[[#This Row],[Our panel]]+Table333456789[[#This Row],[MTD Panel]]</f>
        <v>246.96666666666667</v>
      </c>
      <c r="H4" s="13">
        <f>Table33345678910[[#This Row],[Company Panel]]-Table33345678910[[#This Row],[Our panel]]</f>
        <v>0</v>
      </c>
      <c r="I4" s="13">
        <f>Table33345678910[[#This Row],[MTD Company]]-Table33345678910[[#This Row],[MTD Panel]]</f>
        <v>0</v>
      </c>
      <c r="L4" s="9"/>
    </row>
    <row r="5" spans="1:12">
      <c r="A5" s="11" t="str">
        <f>Table333456789101217[[#This Row],[Carrier]]</f>
        <v>Hollow</v>
      </c>
      <c r="B5" s="5" t="str">
        <f>Table333456789101217[[#This Row],[IP]]</f>
        <v>204.56.78.100/204.56.57.169/52.94.101.12</v>
      </c>
      <c r="C5" s="6" t="str">
        <f>Table333456789101217[[#This Row],[Carrier Code]]</f>
        <v>HO</v>
      </c>
      <c r="D5" s="53">
        <v>0</v>
      </c>
      <c r="E5" s="53">
        <v>0</v>
      </c>
      <c r="F5" s="18">
        <f>Table33345678910[[#This Row],[Company Panel]]+Table333456789[[#This Row],[MTD Company]]</f>
        <v>0</v>
      </c>
      <c r="G5" s="18">
        <f>Table33345678910[[#This Row],[Our panel]]+Table333456789[[#This Row],[MTD Panel]]</f>
        <v>0</v>
      </c>
      <c r="H5" s="13">
        <f>Table33345678910[[#This Row],[Company Panel]]-Table33345678910[[#This Row],[Our panel]]</f>
        <v>0</v>
      </c>
      <c r="I5" s="13">
        <f>Table33345678910[[#This Row],[MTD Company]]-Table33345678910[[#This Row],[MTD Panel]]</f>
        <v>0</v>
      </c>
    </row>
    <row r="6" spans="1:12">
      <c r="A6" s="11" t="str">
        <f>Table333456789101217[[#This Row],[Carrier]]</f>
        <v>Prism</v>
      </c>
      <c r="B6" s="5" t="str">
        <f>Table333456789101217[[#This Row],[IP]]</f>
        <v>35.118.22.45/137.63.112.25</v>
      </c>
      <c r="C6" s="6" t="str">
        <f>Table333456789101217[[#This Row],[Carrier Code]]</f>
        <v>PS</v>
      </c>
      <c r="D6" s="53">
        <v>725.06666666666672</v>
      </c>
      <c r="E6" s="53">
        <v>725.06666666666672</v>
      </c>
      <c r="F6" s="18">
        <f>Table33345678910[[#This Row],[Company Panel]]+Table333456789[[#This Row],[MTD Company]]</f>
        <v>34812.549999999996</v>
      </c>
      <c r="G6" s="18">
        <f>Table33345678910[[#This Row],[Our panel]]+Table333456789[[#This Row],[MTD Panel]]</f>
        <v>34812.549999999996</v>
      </c>
      <c r="H6" s="13">
        <f>Table33345678910[[#This Row],[Company Panel]]-Table33345678910[[#This Row],[Our panel]]</f>
        <v>0</v>
      </c>
      <c r="I6" s="13">
        <f>Table33345678910[[#This Row],[MTD Company]]-Table33345678910[[#This Row],[MTD Panel]]</f>
        <v>0</v>
      </c>
    </row>
    <row r="7" spans="1:12">
      <c r="A7" s="11" t="str">
        <f>Table333456789101217[[#This Row],[Carrier]]</f>
        <v>Echo</v>
      </c>
      <c r="B7" s="5" t="str">
        <f>Table333456789101217[[#This Row],[IP]]</f>
        <v>66.89.101.10/66.89.101.19/66.89.101.23/66.89.101.45/66.89.101.81/85.21.34.99</v>
      </c>
      <c r="C7" s="6" t="str">
        <f>Table333456789101217[[#This Row],[Carrier Code]]</f>
        <v>EC</v>
      </c>
      <c r="D7" s="53">
        <v>4.4666666666666668</v>
      </c>
      <c r="E7" s="53">
        <v>4.4666666666666668</v>
      </c>
      <c r="F7" s="18">
        <f>Table33345678910[[#This Row],[Company Panel]]+Table333456789[[#This Row],[MTD Company]]</f>
        <v>20.633333333333333</v>
      </c>
      <c r="G7" s="18">
        <f>Table33345678910[[#This Row],[Our panel]]+Table333456789[[#This Row],[MTD Panel]]</f>
        <v>20.633333333333333</v>
      </c>
      <c r="H7" s="13">
        <f>Table33345678910[[#This Row],[Company Panel]]-Table33345678910[[#This Row],[Our panel]]</f>
        <v>0</v>
      </c>
      <c r="I7" s="13">
        <f>Table33345678910[[#This Row],[MTD Company]]-Table33345678910[[#This Row],[MTD Panel]]</f>
        <v>0</v>
      </c>
    </row>
    <row r="8" spans="1:12">
      <c r="A8" s="11" t="str">
        <f>Table333456789101217[[#This Row],[Carrier]]</f>
        <v>Strike</v>
      </c>
      <c r="B8" s="5" t="str">
        <f>Table333456789101217[[#This Row],[IP]]</f>
        <v>100.200.150.3/100.200.165.38/41.102.90.78</v>
      </c>
      <c r="C8" s="6" t="str">
        <f>Table333456789101217[[#This Row],[Carrier Code]]</f>
        <v>ST</v>
      </c>
      <c r="D8" s="53">
        <v>158.15</v>
      </c>
      <c r="E8" s="53">
        <v>158.15</v>
      </c>
      <c r="F8" s="18">
        <f>Table33345678910[[#This Row],[Company Panel]]+Table333456789[[#This Row],[MTD Company]]</f>
        <v>943.53333333333319</v>
      </c>
      <c r="G8" s="18">
        <f>Table33345678910[[#This Row],[Our panel]]+Table333456789[[#This Row],[MTD Panel]]</f>
        <v>943.53333333333319</v>
      </c>
      <c r="H8" s="13">
        <f>Table33345678910[[#This Row],[Company Panel]]-Table33345678910[[#This Row],[Our panel]]</f>
        <v>0</v>
      </c>
      <c r="I8" s="13">
        <f>Table33345678910[[#This Row],[MTD Company]]-Table33345678910[[#This Row],[MTD Panel]]</f>
        <v>0</v>
      </c>
      <c r="L8" s="9"/>
    </row>
    <row r="9" spans="1:12">
      <c r="A9" s="11" t="str">
        <f>Table333456789101217[[#This Row],[Carrier]]</f>
        <v>Blunt</v>
      </c>
      <c r="B9" s="5" t="str">
        <f>Table333456789101217[[#This Row],[IP]]</f>
        <v>52.28.191.25/52.28.191.38/52.28.191.24/61.110.23.45</v>
      </c>
      <c r="C9" s="6" t="str">
        <f>Table333456789101217[[#This Row],[Carrier Code]]</f>
        <v>BL</v>
      </c>
      <c r="D9" s="53">
        <v>1602.0333333333333</v>
      </c>
      <c r="E9" s="53">
        <v>1602.0333333333333</v>
      </c>
      <c r="F9" s="18">
        <f>Table33345678910[[#This Row],[Company Panel]]+Table333456789[[#This Row],[MTD Company]]</f>
        <v>3759.35</v>
      </c>
      <c r="G9" s="18">
        <f>Table33345678910[[#This Row],[Our panel]]+Table333456789[[#This Row],[MTD Panel]]</f>
        <v>3759.35</v>
      </c>
      <c r="H9" s="13">
        <f>Table33345678910[[#This Row],[Company Panel]]-Table33345678910[[#This Row],[Our panel]]</f>
        <v>0</v>
      </c>
      <c r="I9" s="13">
        <f>Table33345678910[[#This Row],[MTD Company]]-Table33345678910[[#This Row],[MTD Panel]]</f>
        <v>0</v>
      </c>
    </row>
    <row r="10" spans="1:12">
      <c r="A10" s="11" t="str">
        <f>Table333456789101217[[#This Row],[Carrier]]</f>
        <v>Law</v>
      </c>
      <c r="B10" s="5" t="str">
        <f>Table333456789101217[[#This Row],[IP]]</f>
        <v>77.88.99.21/77.88.99.88/77.88.99.94/110.56.211.7</v>
      </c>
      <c r="C10" s="6" t="str">
        <f>Table333456789101217[[#This Row],[Carrier Code]]</f>
        <v>LA</v>
      </c>
      <c r="D10" s="53">
        <v>0</v>
      </c>
      <c r="E10" s="53">
        <v>0</v>
      </c>
      <c r="F10" s="18">
        <f>Table33345678910[[#This Row],[Company Panel]]+Table333456789[[#This Row],[MTD Company]]</f>
        <v>0</v>
      </c>
      <c r="G10" s="18">
        <f>Table33345678910[[#This Row],[Our panel]]+Table333456789[[#This Row],[MTD Panel]]</f>
        <v>0</v>
      </c>
      <c r="H10" s="13">
        <f>Table33345678910[[#This Row],[Company Panel]]-Table33345678910[[#This Row],[Our panel]]</f>
        <v>0</v>
      </c>
      <c r="I10" s="13">
        <f>Table33345678910[[#This Row],[MTD Company]]-Table33345678910[[#This Row],[MTD Panel]]</f>
        <v>0</v>
      </c>
    </row>
    <row r="11" spans="1:12">
      <c r="A11" s="11" t="str">
        <f>Table333456789101217[[#This Row],[Carrier]]</f>
        <v>Pulse</v>
      </c>
      <c r="B11" s="5" t="str">
        <f>Table333456789101217[[#This Row],[IP]]</f>
        <v>198.51.100.130/31.725.16.608/66.59.61.503/167.34.122.90</v>
      </c>
      <c r="C11" s="6" t="str">
        <f>Table333456789101217[[#This Row],[Carrier Code]]</f>
        <v>PU</v>
      </c>
      <c r="D11" s="53">
        <v>0</v>
      </c>
      <c r="E11" s="53">
        <v>0</v>
      </c>
      <c r="F11" s="18">
        <f>Table33345678910[[#This Row],[Company Panel]]+Table333456789[[#This Row],[MTD Company]]</f>
        <v>0</v>
      </c>
      <c r="G11" s="18">
        <f>Table33345678910[[#This Row],[Our panel]]+Table333456789[[#This Row],[MTD Panel]]</f>
        <v>0</v>
      </c>
      <c r="H11" s="13">
        <f>Table33345678910[[#This Row],[Company Panel]]-Table33345678910[[#This Row],[Our panel]]</f>
        <v>0</v>
      </c>
      <c r="I11" s="13">
        <f>Table33345678910[[#This Row],[MTD Company]]-Table33345678910[[#This Row],[MTD Panel]]</f>
        <v>0</v>
      </c>
    </row>
    <row r="12" spans="1:12">
      <c r="A12" s="11" t="str">
        <f>Table333456789101217[[#This Row],[Carrier]]</f>
        <v>Phantom</v>
      </c>
      <c r="B12" s="5" t="str">
        <f>Table333456789101217[[#This Row],[IP]]</f>
        <v>141.15.210.67/141.15.42.82/179.62.211.4</v>
      </c>
      <c r="C12" s="6" t="str">
        <f>Table333456789101217[[#This Row],[Carrier Code]]</f>
        <v>PH</v>
      </c>
      <c r="D12" s="53">
        <v>302.06666666666666</v>
      </c>
      <c r="E12" s="53">
        <v>302.06666666666666</v>
      </c>
      <c r="F12" s="18">
        <f>Table33345678910[[#This Row],[Company Panel]]+Table333456789[[#This Row],[MTD Company]]</f>
        <v>3012.083333333333</v>
      </c>
      <c r="G12" s="18">
        <f>Table33345678910[[#This Row],[Our panel]]+Table333456789[[#This Row],[MTD Panel]]</f>
        <v>3012.083333333333</v>
      </c>
      <c r="H12" s="13">
        <f>Table33345678910[[#This Row],[Company Panel]]-Table33345678910[[#This Row],[Our panel]]</f>
        <v>0</v>
      </c>
      <c r="I12" s="13">
        <f>Table33345678910[[#This Row],[MTD Company]]-Table33345678910[[#This Row],[MTD Panel]]</f>
        <v>0</v>
      </c>
    </row>
    <row r="13" spans="1:12">
      <c r="A13" s="11" t="str">
        <f>Table333456789101217[[#This Row],[Carrier]]</f>
        <v>Dragon</v>
      </c>
      <c r="B13" s="5" t="str">
        <f>Table333456789101217[[#This Row],[IP]]</f>
        <v>12.34.56.78/12.34.56.128/200.180.245.18</v>
      </c>
      <c r="C13" s="6" t="str">
        <f>Table333456789101217[[#This Row],[Carrier Code]]</f>
        <v>DG</v>
      </c>
      <c r="D13" s="53">
        <v>0</v>
      </c>
      <c r="E13" s="53">
        <v>0</v>
      </c>
      <c r="F13" s="18">
        <f>Table33345678910[[#This Row],[Company Panel]]+Table333456789[[#This Row],[MTD Company]]</f>
        <v>0</v>
      </c>
      <c r="G13" s="18">
        <f>Table33345678910[[#This Row],[Our panel]]+Table333456789[[#This Row],[MTD Panel]]</f>
        <v>0</v>
      </c>
      <c r="H13" s="13">
        <f>Table33345678910[[#This Row],[Company Panel]]-Table33345678910[[#This Row],[Our panel]]</f>
        <v>0</v>
      </c>
      <c r="I13" s="13">
        <f>Table33345678910[[#This Row],[MTD Company]]-Table33345678910[[#This Row],[MTD Panel]]</f>
        <v>0</v>
      </c>
    </row>
    <row r="14" spans="1:12">
      <c r="A14" s="11" t="str">
        <f>Table333456789101217[[#This Row],[Carrier]]</f>
        <v>Tempest</v>
      </c>
      <c r="B14" s="5" t="str">
        <f>Table333456789101217[[#This Row],[IP]]</f>
        <v>59.144.223.88/55.39.99.60</v>
      </c>
      <c r="C14" s="6" t="str">
        <f>Table333456789101217[[#This Row],[Carrier Code]]</f>
        <v>TE</v>
      </c>
      <c r="D14" s="53">
        <v>0</v>
      </c>
      <c r="E14" s="53">
        <v>0</v>
      </c>
      <c r="F14" s="18">
        <f>Table33345678910[[#This Row],[Company Panel]]+Table333456789[[#This Row],[MTD Company]]</f>
        <v>0</v>
      </c>
      <c r="G14" s="18">
        <f>Table33345678910[[#This Row],[Our panel]]+Table333456789[[#This Row],[MTD Panel]]</f>
        <v>0</v>
      </c>
      <c r="H14" s="13">
        <f>Table33345678910[[#This Row],[Company Panel]]-Table33345678910[[#This Row],[Our panel]]</f>
        <v>0</v>
      </c>
      <c r="I14" s="13">
        <f>Table33345678910[[#This Row],[MTD Company]]-Table33345678910[[#This Row],[MTD Panel]]</f>
        <v>0</v>
      </c>
    </row>
    <row r="15" spans="1:12">
      <c r="A15" s="11" t="str">
        <f>Table333456789101217[[#This Row],[Carrier]]</f>
        <v>Shadow</v>
      </c>
      <c r="B15" s="5" t="str">
        <f>Table333456789101217[[#This Row],[IP]]</f>
        <v>175.45.112.100/25.851.31.153/39.80.220.100</v>
      </c>
      <c r="C15" s="6" t="str">
        <f>Table333456789101217[[#This Row],[Carrier Code]]</f>
        <v>SH</v>
      </c>
      <c r="D15" s="53">
        <v>0</v>
      </c>
      <c r="E15" s="53">
        <v>0</v>
      </c>
      <c r="F15" s="18">
        <f>Table33345678910[[#This Row],[Company Panel]]+Table333456789[[#This Row],[MTD Company]]</f>
        <v>0</v>
      </c>
      <c r="G15" s="18">
        <f>Table33345678910[[#This Row],[Our panel]]+Table333456789[[#This Row],[MTD Panel]]</f>
        <v>0</v>
      </c>
      <c r="H15" s="13">
        <f>Table33345678910[[#This Row],[Company Panel]]-Table33345678910[[#This Row],[Our panel]]</f>
        <v>0</v>
      </c>
      <c r="I15" s="13">
        <f>Table33345678910[[#This Row],[MTD Company]]-Table33345678910[[#This Row],[MTD Panel]]</f>
        <v>0</v>
      </c>
    </row>
    <row r="16" spans="1:12">
      <c r="A16" s="11" t="str">
        <f>Table333456789101217[[#This Row],[Carrier]]</f>
        <v>Cyclone</v>
      </c>
      <c r="B16" s="5" t="str">
        <f>Table333456789101217[[#This Row],[IP]]</f>
        <v>150.13.75.190/16.160.89.512/72.11.97.34</v>
      </c>
      <c r="C16" s="6" t="str">
        <f>Table333456789101217[[#This Row],[Carrier Code]]</f>
        <v>CY</v>
      </c>
      <c r="D16" s="53">
        <v>0</v>
      </c>
      <c r="E16" s="53">
        <v>0</v>
      </c>
      <c r="F16" s="18">
        <f>Table33345678910[[#This Row],[Company Panel]]+Table333456789[[#This Row],[MTD Company]]</f>
        <v>0</v>
      </c>
      <c r="G16" s="18">
        <f>Table33345678910[[#This Row],[Our panel]]+Table333456789[[#This Row],[MTD Panel]]</f>
        <v>0</v>
      </c>
      <c r="H16" s="13">
        <f>Table33345678910[[#This Row],[Company Panel]]-Table33345678910[[#This Row],[Our panel]]</f>
        <v>0</v>
      </c>
      <c r="I16" s="13">
        <f>Table33345678910[[#This Row],[MTD Company]]-Table33345678910[[#This Row],[MTD Panel]]</f>
        <v>0</v>
      </c>
    </row>
    <row r="17" spans="1:9">
      <c r="A17" s="11" t="str">
        <f>Table333456789101217[[#This Row],[Carrier]]</f>
        <v>Reaver</v>
      </c>
      <c r="B17" s="5" t="str">
        <f>Table333456789101217[[#This Row],[IP]]</f>
        <v>203.0.113.44/188.17.56.210</v>
      </c>
      <c r="C17" s="6" t="str">
        <f>Table333456789101217[[#This Row],[Carrier Code]]</f>
        <v>RE</v>
      </c>
      <c r="D17" s="53">
        <v>0</v>
      </c>
      <c r="E17" s="53">
        <v>0</v>
      </c>
      <c r="F17" s="18">
        <f>Table33345678910[[#This Row],[Company Panel]]+Table333456789[[#This Row],[MTD Company]]</f>
        <v>0</v>
      </c>
      <c r="G17" s="18">
        <f>Table33345678910[[#This Row],[Our panel]]+Table333456789[[#This Row],[MTD Panel]]</f>
        <v>0</v>
      </c>
      <c r="H17" s="13">
        <f>Table33345678910[[#This Row],[Company Panel]]-Table33345678910[[#This Row],[Our panel]]</f>
        <v>0</v>
      </c>
      <c r="I17" s="13">
        <f>Table33345678910[[#This Row],[MTD Company]]-Table33345678910[[#This Row],[MTD Panel]]</f>
        <v>0</v>
      </c>
    </row>
    <row r="18" spans="1:9">
      <c r="A18" s="11" t="str">
        <f>Table333456789101217[[#This Row],[Carrier]]</f>
        <v>Forge</v>
      </c>
      <c r="B18" s="5" t="str">
        <f>Table333456789101217[[#This Row],[IP]]</f>
        <v>112.54.89.168/112.54.89.138</v>
      </c>
      <c r="C18" s="6" t="str">
        <f>Table333456789101217[[#This Row],[Carrier Code]]</f>
        <v>FO</v>
      </c>
      <c r="D18" s="53">
        <v>32.716666666666669</v>
      </c>
      <c r="E18" s="53">
        <v>32.716666666666669</v>
      </c>
      <c r="F18" s="18">
        <f>Table33345678910[[#This Row],[Company Panel]]+Table333456789[[#This Row],[MTD Company]]</f>
        <v>255.31666666666669</v>
      </c>
      <c r="G18" s="18">
        <f>Table33345678910[[#This Row],[Our panel]]+Table333456789[[#This Row],[MTD Panel]]</f>
        <v>255.31666666666669</v>
      </c>
      <c r="H18" s="13">
        <f>Table33345678910[[#This Row],[Company Panel]]-Table33345678910[[#This Row],[Our panel]]</f>
        <v>0</v>
      </c>
      <c r="I18" s="13">
        <f>Table33345678910[[#This Row],[MTD Company]]-Table33345678910[[#This Row],[MTD Panel]]</f>
        <v>0</v>
      </c>
    </row>
    <row r="19" spans="1:9">
      <c r="A19" s="11" t="str">
        <f>Table333456789101217[[#This Row],[Carrier]]</f>
        <v>Ember</v>
      </c>
      <c r="B19" s="5" t="str">
        <f>Table333456789101217[[#This Row],[IP]]</f>
        <v>78.34.90.24/328.56.122.44/142.150.75.22</v>
      </c>
      <c r="C19" s="6" t="str">
        <f>Table333456789101217[[#This Row],[Carrier Code]]</f>
        <v>EM</v>
      </c>
      <c r="D19" s="53">
        <v>0</v>
      </c>
      <c r="E19" s="53">
        <v>0</v>
      </c>
      <c r="F19" s="18">
        <f>Table33345678910[[#This Row],[Company Panel]]+Table333456789[[#This Row],[MTD Company]]</f>
        <v>0</v>
      </c>
      <c r="G19" s="18">
        <f>Table33345678910[[#This Row],[Our panel]]+Table333456789[[#This Row],[MTD Panel]]</f>
        <v>0</v>
      </c>
      <c r="H19" s="13">
        <f>Table33345678910[[#This Row],[Company Panel]]-Table33345678910[[#This Row],[Our panel]]</f>
        <v>0</v>
      </c>
      <c r="I19" s="13">
        <f>Table33345678910[[#This Row],[MTD Company]]-Table33345678910[[#This Row],[MTD Panel]]</f>
        <v>0</v>
      </c>
    </row>
    <row r="20" spans="1:9">
      <c r="A20" s="11" t="str">
        <f>Table333456789101217[[#This Row],[Carrier]]</f>
        <v>Specter</v>
      </c>
      <c r="B20" s="5" t="str">
        <f>Table333456789101217[[#This Row],[IP]]</f>
        <v>205.60.34.150</v>
      </c>
      <c r="C20" s="6" t="str">
        <f>Table333456789101217[[#This Row],[Carrier Code]]</f>
        <v>SP</v>
      </c>
      <c r="D20" s="53">
        <v>0.75</v>
      </c>
      <c r="E20" s="53">
        <v>0.75</v>
      </c>
      <c r="F20" s="18">
        <f>Table33345678910[[#This Row],[Company Panel]]+Table333456789[[#This Row],[MTD Company]]</f>
        <v>11.15</v>
      </c>
      <c r="G20" s="18">
        <f>Table33345678910[[#This Row],[Our panel]]+Table333456789[[#This Row],[MTD Panel]]</f>
        <v>11.15</v>
      </c>
      <c r="H20" s="13">
        <f>Table33345678910[[#This Row],[Company Panel]]-Table33345678910[[#This Row],[Our panel]]</f>
        <v>0</v>
      </c>
      <c r="I20" s="13">
        <f>Table33345678910[[#This Row],[MTD Company]]-Table33345678910[[#This Row],[MTD Panel]]</f>
        <v>0</v>
      </c>
    </row>
    <row r="21" spans="1:9">
      <c r="A21" s="11" t="str">
        <f>Table333456789101217[[#This Row],[Carrier]]</f>
        <v>Throne</v>
      </c>
      <c r="B21" s="5" t="str">
        <f>Table333456789101217[[#This Row],[IP]]</f>
        <v>54.32.11.90/27.758.27.201/125.150.58.20</v>
      </c>
      <c r="C21" s="6" t="str">
        <f>Table333456789101217[[#This Row],[Carrier Code]]</f>
        <v>TH</v>
      </c>
      <c r="D21" s="53">
        <v>0</v>
      </c>
      <c r="E21" s="53">
        <v>0</v>
      </c>
      <c r="F21" s="18">
        <f>Table33345678910[[#This Row],[Company Panel]]+Table333456789[[#This Row],[MTD Company]]</f>
        <v>0</v>
      </c>
      <c r="G21" s="18">
        <f>Table33345678910[[#This Row],[Our panel]]+Table333456789[[#This Row],[MTD Panel]]</f>
        <v>0</v>
      </c>
      <c r="H21" s="13">
        <f>Table33345678910[[#This Row],[Company Panel]]-Table33345678910[[#This Row],[Our panel]]</f>
        <v>0</v>
      </c>
      <c r="I21" s="13">
        <f>Table33345678910[[#This Row],[MTD Company]]-Table33345678910[[#This Row],[MTD Panel]]</f>
        <v>0</v>
      </c>
    </row>
    <row r="22" spans="1:9">
      <c r="A22" s="11" t="str">
        <f>Table333456789101217[[#This Row],[Carrier]]</f>
        <v>Arcane</v>
      </c>
      <c r="B22" s="5" t="str">
        <f>Table333456789101217[[#This Row],[IP]]</f>
        <v>212.100.25.78/212.100.25.87</v>
      </c>
      <c r="C22" s="6" t="str">
        <f>Table333456789101217[[#This Row],[Carrier Code]]</f>
        <v>AR</v>
      </c>
      <c r="D22" s="53">
        <v>0.58333333333333337</v>
      </c>
      <c r="E22" s="53">
        <v>0.58333333333333337</v>
      </c>
      <c r="F22" s="18">
        <f>Table33345678910[[#This Row],[Company Panel]]+Table333456789[[#This Row],[MTD Company]]</f>
        <v>0.58333333333333337</v>
      </c>
      <c r="G22" s="18">
        <f>Table33345678910[[#This Row],[Our panel]]+Table333456789[[#This Row],[MTD Panel]]</f>
        <v>0.58333333333333337</v>
      </c>
      <c r="H22" s="13">
        <f>Table33345678910[[#This Row],[Company Panel]]-Table33345678910[[#This Row],[Our panel]]</f>
        <v>0</v>
      </c>
      <c r="I22" s="13">
        <f>Table33345678910[[#This Row],[MTD Company]]-Table33345678910[[#This Row],[MTD Panel]]</f>
        <v>0</v>
      </c>
    </row>
    <row r="23" spans="1:9">
      <c r="A23" s="11" t="str">
        <f>Table333456789101217[[#This Row],[Carrier]]</f>
        <v>Glitch</v>
      </c>
      <c r="B23" s="5" t="str">
        <f>Table333456789101217[[#This Row],[IP]]</f>
        <v>198.204.100.12/198.204.100.34/198.204.100.51</v>
      </c>
      <c r="C23" s="6" t="str">
        <f>Table333456789101217[[#This Row],[Carrier Code]]</f>
        <v>GL</v>
      </c>
      <c r="D23" s="53">
        <v>0</v>
      </c>
      <c r="E23" s="53">
        <v>0</v>
      </c>
      <c r="F23" s="18">
        <f>Table33345678910[[#This Row],[Company Panel]]+Table333456789[[#This Row],[MTD Company]]</f>
        <v>0</v>
      </c>
      <c r="G23" s="18">
        <f>Table33345678910[[#This Row],[Our panel]]+Table333456789[[#This Row],[MTD Panel]]</f>
        <v>0</v>
      </c>
      <c r="H23" s="13">
        <f>Table33345678910[[#This Row],[Company Panel]]-Table33345678910[[#This Row],[Our panel]]</f>
        <v>0</v>
      </c>
      <c r="I23" s="13">
        <f>Table33345678910[[#This Row],[MTD Company]]-Table33345678910[[#This Row],[MTD Panel]]</f>
        <v>0</v>
      </c>
    </row>
    <row r="24" spans="1:9">
      <c r="A24" s="11" t="str">
        <f>Table333456789101217[[#This Row],[Carrier]]</f>
        <v>Nitro</v>
      </c>
      <c r="B24" s="5" t="str">
        <f>Table333456789101217[[#This Row],[IP]]</f>
        <v>15.150.200.33/119.82.200.100</v>
      </c>
      <c r="C24" s="6" t="str">
        <f>Table333456789101217[[#This Row],[Carrier Code]]</f>
        <v>NI</v>
      </c>
      <c r="D24" s="53">
        <v>0</v>
      </c>
      <c r="E24" s="53">
        <v>0</v>
      </c>
      <c r="F24" s="18">
        <f>Table33345678910[[#This Row],[Company Panel]]+Table333456789[[#This Row],[MTD Company]]</f>
        <v>0</v>
      </c>
      <c r="G24" s="18">
        <f>Table33345678910[[#This Row],[Our panel]]+Table333456789[[#This Row],[MTD Panel]]</f>
        <v>0</v>
      </c>
      <c r="H24" s="13">
        <f>Table33345678910[[#This Row],[Company Panel]]-Table33345678910[[#This Row],[Our panel]]</f>
        <v>0</v>
      </c>
      <c r="I24" s="13">
        <f>Table33345678910[[#This Row],[MTD Company]]-Table33345678910[[#This Row],[MTD Panel]]</f>
        <v>0</v>
      </c>
    </row>
    <row r="25" spans="1:9">
      <c r="A25" s="11" t="str">
        <f>Table333456789101217[[#This Row],[Carrier]]</f>
        <v>Drip</v>
      </c>
      <c r="B25" s="5" t="str">
        <f>Table333456789101217[[#This Row],[IP]]</f>
        <v>84.13.76.190/90.945.80.11/198.160.234.5</v>
      </c>
      <c r="C25" s="6" t="str">
        <f>Table333456789101217[[#This Row],[Carrier Code]]</f>
        <v>DR</v>
      </c>
      <c r="D25" s="53">
        <v>0</v>
      </c>
      <c r="E25" s="53">
        <v>0</v>
      </c>
      <c r="F25" s="18">
        <f>Table33345678910[[#This Row],[Company Panel]]+Table333456789[[#This Row],[MTD Company]]</f>
        <v>0</v>
      </c>
      <c r="G25" s="18">
        <f>Table33345678910[[#This Row],[Our panel]]+Table333456789[[#This Row],[MTD Panel]]</f>
        <v>0</v>
      </c>
      <c r="H25" s="13">
        <f>Table33345678910[[#This Row],[Company Panel]]-Table33345678910[[#This Row],[Our panel]]</f>
        <v>0</v>
      </c>
      <c r="I25" s="13">
        <f>Table33345678910[[#This Row],[MTD Company]]-Table33345678910[[#This Row],[MTD Panel]]</f>
        <v>0</v>
      </c>
    </row>
    <row r="26" spans="1:9">
      <c r="A26" s="11" t="str">
        <f>Table333456789101217[[#This Row],[Carrier]]</f>
        <v>Glide</v>
      </c>
      <c r="B26" s="5" t="str">
        <f>Table333456789101217[[#This Row],[IP]]</f>
        <v>120.45.12.25/85.739.221.80/85.739.221.93</v>
      </c>
      <c r="C26" s="6" t="str">
        <f>Table333456789101217[[#This Row],[Carrier Code]]</f>
        <v>GI</v>
      </c>
      <c r="D26" s="53">
        <v>0</v>
      </c>
      <c r="E26" s="53">
        <v>0</v>
      </c>
      <c r="F26" s="18">
        <f>Table33345678910[[#This Row],[Company Panel]]+Table333456789[[#This Row],[MTD Company]]</f>
        <v>0</v>
      </c>
      <c r="G26" s="18">
        <f>Table33345678910[[#This Row],[Our panel]]+Table333456789[[#This Row],[MTD Panel]]</f>
        <v>0</v>
      </c>
      <c r="H26" s="13">
        <f>Table33345678910[[#This Row],[Company Panel]]-Table33345678910[[#This Row],[Our panel]]</f>
        <v>0</v>
      </c>
      <c r="I26" s="13">
        <f>Table33345678910[[#This Row],[MTD Company]]-Table33345678910[[#This Row],[MTD Panel]]</f>
        <v>0</v>
      </c>
    </row>
    <row r="27" spans="1:9">
      <c r="A27" s="11" t="str">
        <f>Table333456789101217[[#This Row],[Carrier]]</f>
        <v>Orbit</v>
      </c>
      <c r="B27" s="5" t="str">
        <f>Table333456789101217[[#This Row],[IP]]</f>
        <v>176.98.54.112/60.110.154.91/60.110.155.162</v>
      </c>
      <c r="C27" s="6" t="str">
        <f>Table333456789101217[[#This Row],[Carrier Code]]</f>
        <v>OR</v>
      </c>
      <c r="D27" s="53">
        <v>0</v>
      </c>
      <c r="E27" s="53">
        <v>0</v>
      </c>
      <c r="F27" s="18">
        <f>Table33345678910[[#This Row],[Company Panel]]+Table333456789[[#This Row],[MTD Company]]</f>
        <v>0</v>
      </c>
      <c r="G27" s="18">
        <f>Table33345678910[[#This Row],[Our panel]]+Table333456789[[#This Row],[MTD Panel]]</f>
        <v>0</v>
      </c>
      <c r="H27" s="13">
        <f>Table33345678910[[#This Row],[Company Panel]]-Table33345678910[[#This Row],[Our panel]]</f>
        <v>0</v>
      </c>
      <c r="I27" s="13">
        <f>Table33345678910[[#This Row],[MTD Company]]-Table33345678910[[#This Row],[MTD Panel]]</f>
        <v>0</v>
      </c>
    </row>
    <row r="28" spans="1:9">
      <c r="A28" s="11" t="str">
        <f>Table333456789101217[[#This Row],[Carrier]]</f>
        <v>Thunder</v>
      </c>
      <c r="B28" s="5" t="str">
        <f>Table333456789101217[[#This Row],[IP]]</f>
        <v>67.102.200.9/81.905.48.847/143.235.100.34</v>
      </c>
      <c r="C28" s="6" t="str">
        <f>Table333456789101217[[#This Row],[Carrier Code]]</f>
        <v>TU</v>
      </c>
      <c r="D28" s="53">
        <v>8.5500000000000007</v>
      </c>
      <c r="E28" s="53">
        <v>8.5500000000000007</v>
      </c>
      <c r="F28" s="18">
        <f>Table33345678910[[#This Row],[Company Panel]]+Table333456789[[#This Row],[MTD Company]]</f>
        <v>232.73333333333335</v>
      </c>
      <c r="G28" s="18">
        <f>Table33345678910[[#This Row],[Our panel]]+Table333456789[[#This Row],[MTD Panel]]</f>
        <v>232.73333333333335</v>
      </c>
      <c r="H28" s="13">
        <f>Table33345678910[[#This Row],[Company Panel]]-Table33345678910[[#This Row],[Our panel]]</f>
        <v>0</v>
      </c>
      <c r="I28" s="13">
        <f>Table33345678910[[#This Row],[MTD Company]]-Table33345678910[[#This Row],[MTD Panel]]</f>
        <v>0</v>
      </c>
    </row>
    <row r="29" spans="1:9">
      <c r="A29" s="11" t="str">
        <f>Table333456789101217[[#This Row],[Carrier]]</f>
        <v>Glimmer</v>
      </c>
      <c r="B29" s="5" t="str">
        <f>Table333456789101217[[#This Row],[IP]]</f>
        <v>99.22.211.100/71.54.85.344/71.54.85.218</v>
      </c>
      <c r="C29" s="6" t="str">
        <f>Table333456789101217[[#This Row],[Carrier Code]]</f>
        <v>GM</v>
      </c>
      <c r="D29" s="53">
        <v>0</v>
      </c>
      <c r="E29" s="53">
        <v>0</v>
      </c>
      <c r="F29" s="18">
        <f>Table33345678910[[#This Row],[Company Panel]]+Table333456789[[#This Row],[MTD Company]]</f>
        <v>0</v>
      </c>
      <c r="G29" s="18">
        <f>Table33345678910[[#This Row],[Our panel]]+Table333456789[[#This Row],[MTD Panel]]</f>
        <v>0</v>
      </c>
      <c r="H29" s="13">
        <f>Table33345678910[[#This Row],[Company Panel]]-Table33345678910[[#This Row],[Our panel]]</f>
        <v>0</v>
      </c>
      <c r="I29" s="13">
        <f>Table33345678910[[#This Row],[MTD Company]]-Table33345678910[[#This Row],[MTD Panel]]</f>
        <v>0</v>
      </c>
    </row>
    <row r="30" spans="1:9">
      <c r="A30" s="11" t="str">
        <f>Table333456789101217[[#This Row],[Carrier]]</f>
        <v>Fragment</v>
      </c>
      <c r="B30" s="5" t="str">
        <f>Table333456789101217[[#This Row],[IP]]</f>
        <v>203.0.113.56/195.56.101.10</v>
      </c>
      <c r="C30" s="6" t="str">
        <f>Table333456789101217[[#This Row],[Carrier Code]]</f>
        <v>FR</v>
      </c>
      <c r="D30" s="53">
        <v>0</v>
      </c>
      <c r="E30" s="53">
        <v>0</v>
      </c>
      <c r="F30" s="18">
        <f>Table33345678910[[#This Row],[Company Panel]]+Table333456789[[#This Row],[MTD Company]]</f>
        <v>0</v>
      </c>
      <c r="G30" s="18">
        <f>Table33345678910[[#This Row],[Our panel]]+Table333456789[[#This Row],[MTD Panel]]</f>
        <v>0</v>
      </c>
      <c r="H30" s="13">
        <f>Table33345678910[[#This Row],[Company Panel]]-Table33345678910[[#This Row],[Our panel]]</f>
        <v>0</v>
      </c>
      <c r="I30" s="13">
        <f>Table33345678910[[#This Row],[MTD Company]]-Table33345678910[[#This Row],[MTD Panel]]</f>
        <v>0</v>
      </c>
    </row>
    <row r="31" spans="1:9">
      <c r="A31" s="11" t="str">
        <f>Table333456789101217[[#This Row],[Carrier]]</f>
        <v>Dusk</v>
      </c>
      <c r="B31" s="5" t="str">
        <f>Table333456789101217[[#This Row],[IP]]</f>
        <v>33.44.55.66/33.44.55.84/33.44.55.122/214.68.90.122</v>
      </c>
      <c r="C31" s="6" t="str">
        <f>Table333456789101217[[#This Row],[Carrier Code]]</f>
        <v>DK</v>
      </c>
      <c r="D31" s="53">
        <v>0</v>
      </c>
      <c r="E31" s="53">
        <v>0</v>
      </c>
      <c r="F31" s="18">
        <f>Table33345678910[[#This Row],[Company Panel]]+Table333456789[[#This Row],[MTD Company]]</f>
        <v>0</v>
      </c>
      <c r="G31" s="18">
        <f>Table33345678910[[#This Row],[Our panel]]+Table333456789[[#This Row],[MTD Panel]]</f>
        <v>0</v>
      </c>
      <c r="H31" s="13">
        <f>Table33345678910[[#This Row],[Company Panel]]-Table33345678910[[#This Row],[Our panel]]</f>
        <v>0</v>
      </c>
      <c r="I31" s="13">
        <f>Table33345678910[[#This Row],[MTD Company]]-Table33345678910[[#This Row],[MTD Panel]]</f>
        <v>0</v>
      </c>
    </row>
    <row r="32" spans="1:9">
      <c r="A32" s="11" t="str">
        <f>Table333456789101217[[#This Row],[Carrier]]</f>
        <v>Breeze</v>
      </c>
      <c r="B32" s="5" t="str">
        <f>Table333456789101217[[#This Row],[IP]]</f>
        <v>199.123.87.45/199.123.34.52/77.189.22.56</v>
      </c>
      <c r="C32" s="6" t="str">
        <f>Table333456789101217[[#This Row],[Carrier Code]]</f>
        <v>BR</v>
      </c>
      <c r="D32" s="53">
        <v>0</v>
      </c>
      <c r="E32" s="53">
        <v>0</v>
      </c>
      <c r="F32" s="18">
        <f>Table33345678910[[#This Row],[Company Panel]]+Table333456789[[#This Row],[MTD Company]]</f>
        <v>0</v>
      </c>
      <c r="G32" s="18">
        <f>Table33345678910[[#This Row],[Our panel]]+Table333456789[[#This Row],[MTD Panel]]</f>
        <v>0</v>
      </c>
      <c r="H32" s="13">
        <f>Table33345678910[[#This Row],[Company Panel]]-Table33345678910[[#This Row],[Our panel]]</f>
        <v>0</v>
      </c>
      <c r="I32" s="13">
        <f>Table33345678910[[#This Row],[MTD Company]]-Table33345678910[[#This Row],[MTD Panel]]</f>
        <v>0</v>
      </c>
    </row>
    <row r="33" spans="1:9">
      <c r="A33" s="11" t="str">
        <f>Table333456789101217[[#This Row],[Carrier]]</f>
        <v>Clutch</v>
      </c>
      <c r="B33" s="5" t="str">
        <f>Table333456789101217[[#This Row],[IP]]</f>
        <v>55.66.77.88/84.126.79.28/152.233.45.11</v>
      </c>
      <c r="C33" s="6" t="str">
        <f>Table333456789101217[[#This Row],[Carrier Code]]</f>
        <v>CL</v>
      </c>
      <c r="D33" s="53">
        <v>0</v>
      </c>
      <c r="E33" s="53">
        <v>0</v>
      </c>
      <c r="F33" s="18">
        <f>Table33345678910[[#This Row],[Company Panel]]+Table333456789[[#This Row],[MTD Company]]</f>
        <v>0</v>
      </c>
      <c r="G33" s="18">
        <f>Table33345678910[[#This Row],[Our panel]]+Table333456789[[#This Row],[MTD Panel]]</f>
        <v>0</v>
      </c>
      <c r="H33" s="13">
        <f>Table33345678910[[#This Row],[Company Panel]]-Table33345678910[[#This Row],[Our panel]]</f>
        <v>0</v>
      </c>
      <c r="I33" s="13">
        <f>Table33345678910[[#This Row],[MTD Company]]-Table33345678910[[#This Row],[MTD Panel]]</f>
        <v>0</v>
      </c>
    </row>
    <row r="34" spans="1:9">
      <c r="A34" s="11" t="str">
        <f>Table333456789101217[[#This Row],[Carrier]]</f>
        <v>Haze</v>
      </c>
      <c r="B34" s="5" t="str">
        <f>Table333456789101217[[#This Row],[IP]]</f>
        <v>230.111.44.56</v>
      </c>
      <c r="C34" s="6" t="str">
        <f>Table333456789101217[[#This Row],[Carrier Code]]</f>
        <v>HZ</v>
      </c>
      <c r="D34" s="53">
        <v>0</v>
      </c>
      <c r="E34" s="53">
        <v>0</v>
      </c>
      <c r="F34" s="18">
        <f>Table33345678910[[#This Row],[Company Panel]]+Table333456789[[#This Row],[MTD Company]]</f>
        <v>0</v>
      </c>
      <c r="G34" s="18">
        <f>Table33345678910[[#This Row],[Our panel]]+Table333456789[[#This Row],[MTD Panel]]</f>
        <v>0</v>
      </c>
      <c r="H34" s="13">
        <f>Table33345678910[[#This Row],[Company Panel]]-Table33345678910[[#This Row],[Our panel]]</f>
        <v>0</v>
      </c>
      <c r="I34" s="13">
        <f>Table33345678910[[#This Row],[MTD Company]]-Table33345678910[[#This Row],[MTD Panel]]</f>
        <v>0</v>
      </c>
    </row>
    <row r="35" spans="1:9">
      <c r="A35" s="11" t="str">
        <f>Table333456789101217[[#This Row],[Carrier]]</f>
        <v>Vault</v>
      </c>
      <c r="B35" s="5" t="str">
        <f>Table333456789101217[[#This Row],[IP]]</f>
        <v>213.189.94.5/213.189.94.7/111.180.64.222</v>
      </c>
      <c r="C35" s="6" t="str">
        <f>Table333456789101217[[#This Row],[Carrier Code]]</f>
        <v>VA</v>
      </c>
      <c r="D35" s="53">
        <v>0</v>
      </c>
      <c r="E35" s="53">
        <v>0</v>
      </c>
      <c r="F35" s="18">
        <f>Table33345678910[[#This Row],[Company Panel]]+Table333456789[[#This Row],[MTD Company]]</f>
        <v>0</v>
      </c>
      <c r="G35" s="18">
        <f>Table33345678910[[#This Row],[Our panel]]+Table333456789[[#This Row],[MTD Panel]]</f>
        <v>0</v>
      </c>
      <c r="H35" s="13">
        <f>Table33345678910[[#This Row],[Company Panel]]-Table33345678910[[#This Row],[Our panel]]</f>
        <v>0</v>
      </c>
      <c r="I35" s="13">
        <f>Table33345678910[[#This Row],[MTD Company]]-Table33345678910[[#This Row],[MTD Panel]]</f>
        <v>0</v>
      </c>
    </row>
    <row r="36" spans="1:9">
      <c r="A36" s="11" t="str">
        <f>Table333456789101217[[#This Row],[Carrier]]</f>
        <v>Scatter</v>
      </c>
      <c r="B36" s="5" t="str">
        <f>Table333456789101217[[#This Row],[IP]]</f>
        <v>14.123.45.67/168.251.90.15</v>
      </c>
      <c r="C36" s="6" t="str">
        <f>Table333456789101217[[#This Row],[Carrier Code]]</f>
        <v>SC</v>
      </c>
      <c r="D36" s="53">
        <v>129.69999999999999</v>
      </c>
      <c r="E36" s="53">
        <v>129.69999999999999</v>
      </c>
      <c r="F36" s="18">
        <f>Table33345678910[[#This Row],[Company Panel]]+Table333456789[[#This Row],[MTD Company]]</f>
        <v>200.63333333333333</v>
      </c>
      <c r="G36" s="18">
        <f>Table33345678910[[#This Row],[Our panel]]+Table333456789[[#This Row],[MTD Panel]]</f>
        <v>200.63333333333333</v>
      </c>
      <c r="H36" s="13">
        <f>Table33345678910[[#This Row],[Company Panel]]-Table33345678910[[#This Row],[Our panel]]</f>
        <v>0</v>
      </c>
      <c r="I36" s="13">
        <f>Table33345678910[[#This Row],[MTD Company]]-Table33345678910[[#This Row],[MTD Panel]]</f>
        <v>0</v>
      </c>
    </row>
    <row r="37" spans="1:9">
      <c r="A37" s="11" t="str">
        <f>Table333456789101217[[#This Row],[Carrier]]</f>
        <v>Hammer</v>
      </c>
      <c r="B37" s="5" t="str">
        <f>Table333456789101217[[#This Row],[IP]]</f>
        <v>200.111.78.9/200.111.236.62/200.111.823.89/137.79.48.56</v>
      </c>
      <c r="C37" s="6" t="str">
        <f>Table333456789101217[[#This Row],[Carrier Code]]</f>
        <v>HA</v>
      </c>
      <c r="D37" s="53">
        <v>0</v>
      </c>
      <c r="E37" s="53">
        <v>0</v>
      </c>
      <c r="F37" s="18">
        <f>Table33345678910[[#This Row],[Company Panel]]+Table333456789[[#This Row],[MTD Company]]</f>
        <v>0</v>
      </c>
      <c r="G37" s="18">
        <f>Table33345678910[[#This Row],[Our panel]]+Table333456789[[#This Row],[MTD Panel]]</f>
        <v>0</v>
      </c>
      <c r="H37" s="72">
        <f>Table33345678910[[#This Row],[Company Panel]]-Table33345678910[[#This Row],[Our panel]]</f>
        <v>0</v>
      </c>
      <c r="I37" s="72">
        <f>Table33345678910[[#This Row],[MTD Company]]-Table33345678910[[#This Row],[MTD Panel]]</f>
        <v>0</v>
      </c>
    </row>
    <row r="38" spans="1:9">
      <c r="A38" s="11" t="str">
        <f>Table333456789101217[[#This Row],[Carrier]]</f>
        <v>Smudge</v>
      </c>
      <c r="B38" s="5" t="str">
        <f>Table333456789101217[[#This Row],[IP]]</f>
        <v>88.99.233.56/54.71.99.234</v>
      </c>
      <c r="C38" s="6" t="str">
        <f>Table333456789101217[[#This Row],[Carrier Code]]</f>
        <v>SM</v>
      </c>
      <c r="D38" s="53">
        <v>16.100000000000001</v>
      </c>
      <c r="E38" s="53">
        <v>16.100000000000001</v>
      </c>
      <c r="F38" s="18">
        <f>Table33345678910[[#This Row],[Company Panel]]+Table333456789[[#This Row],[MTD Company]]</f>
        <v>101.31666666666666</v>
      </c>
      <c r="G38" s="18">
        <f>Table33345678910[[#This Row],[Our panel]]+Table333456789[[#This Row],[MTD Panel]]</f>
        <v>101.31666666666666</v>
      </c>
      <c r="H38" s="72">
        <f>Table33345678910[[#This Row],[Company Panel]]-Table33345678910[[#This Row],[Our panel]]</f>
        <v>0</v>
      </c>
      <c r="I38" s="72">
        <f>Table33345678910[[#This Row],[MTD Company]]-Table33345678910[[#This Row],[MTD Panel]]</f>
        <v>0</v>
      </c>
    </row>
    <row r="39" spans="1:9">
      <c r="A39" s="11" t="str">
        <f>Table333456789101217[[#This Row],[Carrier]]</f>
        <v>Quirk</v>
      </c>
      <c r="B39" s="5" t="str">
        <f>Table333456789101217[[#This Row],[IP]]</f>
        <v>62.45.100.31/62.45.100.15/62.45.100.65/211.95.102.6</v>
      </c>
      <c r="C39" s="6" t="str">
        <f>Table333456789101217[[#This Row],[Carrier Code]]</f>
        <v>QU</v>
      </c>
      <c r="D39" s="53">
        <v>2193.5333333333333</v>
      </c>
      <c r="E39" s="53">
        <v>2193.5333333333333</v>
      </c>
      <c r="F39" s="18">
        <f>Table33345678910[[#This Row],[Company Panel]]+Table333456789[[#This Row],[MTD Company]]</f>
        <v>17694.583333333332</v>
      </c>
      <c r="G39" s="18">
        <f>Table33345678910[[#This Row],[Our panel]]+Table333456789[[#This Row],[MTD Panel]]</f>
        <v>17694.583333333332</v>
      </c>
      <c r="H39" s="13">
        <f>Table33345678910[[#This Row],[Company Panel]]-Table33345678910[[#This Row],[Our panel]]</f>
        <v>0</v>
      </c>
      <c r="I39" s="13">
        <f>Table33345678910[[#This Row],[MTD Company]]-Table33345678910[[#This Row],[MTD Panel]]</f>
        <v>0</v>
      </c>
    </row>
    <row r="40" spans="1:9">
      <c r="A40" s="11" t="str">
        <f>Table333456789101217[[#This Row],[Carrier]]</f>
        <v>Vortex</v>
      </c>
      <c r="B40" s="5" t="str">
        <f>Table333456789101217[[#This Row],[IP]]</f>
        <v>179.250.91.8/29.540.67.457/94.25.34.78/183.144.27.18</v>
      </c>
      <c r="C40" s="6" t="str">
        <f>Table333456789101217[[#This Row],[Carrier Code]]</f>
        <v>VT</v>
      </c>
      <c r="D40" s="53">
        <v>0</v>
      </c>
      <c r="E40" s="53">
        <v>0</v>
      </c>
      <c r="F40" s="18">
        <f>Table33345678910[[#This Row],[Company Panel]]+Table333456789[[#This Row],[MTD Company]]</f>
        <v>0</v>
      </c>
      <c r="G40" s="18">
        <f>Table33345678910[[#This Row],[Our panel]]+Table333456789[[#This Row],[MTD Panel]]</f>
        <v>0</v>
      </c>
      <c r="H40" s="72">
        <f>Table33345678910[[#This Row],[Company Panel]]-Table33345678910[[#This Row],[Our panel]]</f>
        <v>0</v>
      </c>
      <c r="I40" s="72">
        <f>Table33345678910[[#This Row],[MTD Company]]-Table33345678910[[#This Row],[MTD Panel]]</f>
        <v>0</v>
      </c>
    </row>
    <row r="41" spans="1:9">
      <c r="A41" s="11" t="str">
        <f>Table333456789101217[[#This Row],[Carrier]]</f>
        <v>Void</v>
      </c>
      <c r="B41" s="5" t="str">
        <f>Table333456789101217[[#This Row],[IP]]</f>
        <v>156.34.123.11/156.34.123.25/156.34.123.62/92.44.233.110</v>
      </c>
      <c r="C41" s="6" t="str">
        <f>Table333456789101217[[#This Row],[Carrier Code]]</f>
        <v>VO</v>
      </c>
      <c r="D41" s="53">
        <v>49.43333333333333</v>
      </c>
      <c r="E41" s="53">
        <v>49.43333333333333</v>
      </c>
      <c r="F41" s="18">
        <f>Table33345678910[[#This Row],[Company Panel]]+Table333456789[[#This Row],[MTD Company]]</f>
        <v>497.99999999999994</v>
      </c>
      <c r="G41" s="18">
        <f>Table33345678910[[#This Row],[Our panel]]+Table333456789[[#This Row],[MTD Panel]]</f>
        <v>497.99999999999994</v>
      </c>
      <c r="H41" s="13">
        <f>Table33345678910[[#This Row],[Company Panel]]-Table33345678910[[#This Row],[Our panel]]</f>
        <v>0</v>
      </c>
      <c r="I41" s="13">
        <f>Table33345678910[[#This Row],[MTD Company]]-Table33345678910[[#This Row],[MTD Panel]]</f>
        <v>0</v>
      </c>
    </row>
    <row r="42" spans="1:9">
      <c r="A42" s="11" t="str">
        <f>Table333456789101217[[#This Row],[Carrier]]</f>
        <v>Midnight</v>
      </c>
      <c r="B42" s="5" t="str">
        <f>Table333456789101217[[#This Row],[IP]]</f>
        <v>134.77.22.4/23.97.150.8</v>
      </c>
      <c r="C42" s="6" t="str">
        <f>Table333456789101217[[#This Row],[Carrier Code]]</f>
        <v>MI</v>
      </c>
      <c r="D42" s="53">
        <v>244.28333333333333</v>
      </c>
      <c r="E42" s="53">
        <v>244.28333333333333</v>
      </c>
      <c r="F42" s="18">
        <f>Table33345678910[[#This Row],[Company Panel]]+Table333456789[[#This Row],[MTD Company]]</f>
        <v>1006.05</v>
      </c>
      <c r="G42" s="18">
        <f>Table33345678910[[#This Row],[Our panel]]+Table333456789[[#This Row],[MTD Panel]]</f>
        <v>1006.05</v>
      </c>
      <c r="H42" s="72">
        <f>Table33345678910[[#This Row],[Company Panel]]-Table33345678910[[#This Row],[Our panel]]</f>
        <v>0</v>
      </c>
      <c r="I42" s="72">
        <f>Table33345678910[[#This Row],[MTD Company]]-Table33345678910[[#This Row],[MTD Panel]]</f>
        <v>0</v>
      </c>
    </row>
    <row r="43" spans="1:9">
      <c r="A43" s="11" t="str">
        <f>Table333456789101217[[#This Row],[Carrier]]</f>
        <v>Autumn</v>
      </c>
      <c r="B43" s="5" t="str">
        <f>Table333456789101217[[#This Row],[IP]]</f>
        <v>202.54.210.88/12.331.94.73/64.19.28.175</v>
      </c>
      <c r="C43" s="6" t="str">
        <f>Table333456789101217[[#This Row],[Carrier Code]]</f>
        <v>AU</v>
      </c>
      <c r="D43" s="53">
        <v>21.55</v>
      </c>
      <c r="E43" s="53">
        <v>21.55</v>
      </c>
      <c r="F43" s="18">
        <f>Table33345678910[[#This Row],[Company Panel]]+Table333456789[[#This Row],[MTD Company]]</f>
        <v>77.833333333333343</v>
      </c>
      <c r="G43" s="18">
        <f>Table33345678910[[#This Row],[Our panel]]+Table333456789[[#This Row],[MTD Panel]]</f>
        <v>77.833333333333343</v>
      </c>
      <c r="H43" s="72">
        <f>Table33345678910[[#This Row],[Company Panel]]-Table33345678910[[#This Row],[Our panel]]</f>
        <v>0</v>
      </c>
      <c r="I43" s="72">
        <f>Table33345678910[[#This Row],[MTD Company]]-Table33345678910[[#This Row],[MTD Panel]]</f>
        <v>0</v>
      </c>
    </row>
    <row r="44" spans="1:9">
      <c r="A44" s="11" t="str">
        <f>Table333456789101217[[#This Row],[Carrier]]</f>
        <v>Mystic</v>
      </c>
      <c r="B44" s="5" t="str">
        <f>Table333456789101217[[#This Row],[IP]]</f>
        <v>51.233.21.76/82.115.35.60/82.115.35.85</v>
      </c>
      <c r="C44" s="6" t="str">
        <f>Table333456789101217[[#This Row],[Carrier Code]]</f>
        <v>MY</v>
      </c>
      <c r="D44" s="53">
        <v>0</v>
      </c>
      <c r="E44" s="53">
        <v>0</v>
      </c>
      <c r="F44" s="18">
        <f>Table33345678910[[#This Row],[Company Panel]]+Table333456789[[#This Row],[MTD Company]]</f>
        <v>0</v>
      </c>
      <c r="G44" s="18">
        <f>Table33345678910[[#This Row],[Our panel]]+Table333456789[[#This Row],[MTD Panel]]</f>
        <v>0</v>
      </c>
      <c r="H44" s="72">
        <f>Table33345678910[[#This Row],[Company Panel]]-Table33345678910[[#This Row],[Our panel]]</f>
        <v>0</v>
      </c>
      <c r="I44" s="72">
        <f>Table33345678910[[#This Row],[MTD Company]]-Table33345678910[[#This Row],[MTD Panel]]</f>
        <v>0</v>
      </c>
    </row>
    <row r="45" spans="1:9">
      <c r="A45" s="11" t="str">
        <f>Table333456789101217[[#This Row],[Carrier]]</f>
        <v>Clover</v>
      </c>
      <c r="B45" s="5" t="str">
        <f>Table333456789101217[[#This Row],[IP]]</f>
        <v>210.150.12.45/84.50.212.66/135.113.88.9</v>
      </c>
      <c r="C45" s="6" t="str">
        <f>Table333456789101217[[#This Row],[Carrier Code]]</f>
        <v>CO</v>
      </c>
      <c r="D45" s="53">
        <v>594.76666666666665</v>
      </c>
      <c r="E45" s="53">
        <v>594.76666666666665</v>
      </c>
      <c r="F45" s="18">
        <f>Table33345678910[[#This Row],[Company Panel]]+Table333456789[[#This Row],[MTD Company]]</f>
        <v>33443.26666666667</v>
      </c>
      <c r="G45" s="18">
        <f>Table33345678910[[#This Row],[Our panel]]+Table333456789[[#This Row],[MTD Panel]]</f>
        <v>33443.26666666667</v>
      </c>
      <c r="H45" s="78">
        <f>Table33345678910[[#This Row],[Company Panel]]-Table33345678910[[#This Row],[Our panel]]</f>
        <v>0</v>
      </c>
      <c r="I45" s="78">
        <f>Table33345678910[[#This Row],[MTD Company]]-Table33345678910[[#This Row],[MTD Panel]]</f>
        <v>0</v>
      </c>
    </row>
    <row r="46" spans="1:9">
      <c r="A46" s="11" t="str">
        <f>Table333456789101217[[#This Row],[Carrier]]</f>
        <v>Hunter</v>
      </c>
      <c r="B46" s="5" t="str">
        <f>Table333456789101217[[#This Row],[IP]]</f>
        <v>170.199.20.87/13.693.39.280/78.30.123.47</v>
      </c>
      <c r="C46" s="6" t="str">
        <f>Table333456789101217[[#This Row],[Carrier Code]]</f>
        <v>HU</v>
      </c>
      <c r="D46" s="53">
        <v>651.9666666666667</v>
      </c>
      <c r="E46" s="53">
        <v>651.9666666666667</v>
      </c>
      <c r="F46" s="18">
        <f>Table33345678910[[#This Row],[Company Panel]]+Table333456789[[#This Row],[MTD Company]]</f>
        <v>3163.7166666666667</v>
      </c>
      <c r="G46" s="18">
        <f>Table33345678910[[#This Row],[Our panel]]+Table333456789[[#This Row],[MTD Panel]]</f>
        <v>3163.7166666666667</v>
      </c>
      <c r="H46" s="13">
        <f>Table33345678910[[#This Row],[Company Panel]]-Table33345678910[[#This Row],[Our panel]]</f>
        <v>0</v>
      </c>
      <c r="I46" s="13">
        <f>Table33345678910[[#This Row],[MTD Company]]-Table33345678910[[#This Row],[MTD Panel]]</f>
        <v>0</v>
      </c>
    </row>
    <row r="47" spans="1:9">
      <c r="A47" s="11" t="str">
        <f>Table333456789101217[[#This Row],[Carrier]]</f>
        <v>Invaded</v>
      </c>
      <c r="B47" s="5" t="str">
        <f>Table333456789101217[[#This Row],[IP]]</f>
        <v>182.67.99.120/80.518.230.410/26.847.95.107/188.12.67.92</v>
      </c>
      <c r="C47" s="6" t="str">
        <f>Table333456789101217[[#This Row],[Carrier Code]]</f>
        <v>ID</v>
      </c>
      <c r="D47" s="7">
        <v>0</v>
      </c>
      <c r="E47" s="7">
        <v>0</v>
      </c>
      <c r="F47" s="18">
        <f>Table33345678910[[#This Row],[Company Panel]]+Table333456789[[#This Row],[MTD Company]]</f>
        <v>0</v>
      </c>
      <c r="G47" s="18">
        <f>Table33345678910[[#This Row],[Our panel]]+Table333456789[[#This Row],[MTD Panel]]</f>
        <v>0</v>
      </c>
      <c r="H47" s="13">
        <f>Table33345678910[[#This Row],[Company Panel]]-Table33345678910[[#This Row],[Our panel]]</f>
        <v>0</v>
      </c>
      <c r="I47" s="13">
        <f>Table33345678910[[#This Row],[MTD Company]]-Table33345678910[[#This Row],[MTD Panel]]</f>
        <v>0</v>
      </c>
    </row>
    <row r="48" spans="1:9">
      <c r="A48" s="11" t="str">
        <f>Table333456789101217[[#This Row],[Carrier]]</f>
        <v>Delusion</v>
      </c>
      <c r="B48" s="5" t="str">
        <f>Table333456789101217[[#This Row],[IP]]</f>
        <v>198.51.100.72/69.887.74.738/39.153.110.645</v>
      </c>
      <c r="C48" s="6" t="str">
        <f>Table333456789101217[[#This Row],[Carrier Code]]</f>
        <v>DU</v>
      </c>
      <c r="D48" s="7">
        <v>0</v>
      </c>
      <c r="E48" s="7">
        <v>0</v>
      </c>
      <c r="F48" s="18">
        <f>Table33345678910[[#This Row],[Company Panel]]+Table333456789[[#This Row],[MTD Company]]</f>
        <v>0</v>
      </c>
      <c r="G48" s="18">
        <f>Table33345678910[[#This Row],[Our panel]]+Table333456789[[#This Row],[MTD Panel]]</f>
        <v>0</v>
      </c>
      <c r="H48" s="13">
        <f>Table33345678910[[#This Row],[Company Panel]]-Table33345678910[[#This Row],[Our panel]]</f>
        <v>0</v>
      </c>
      <c r="I48" s="13">
        <f>Table33345678910[[#This Row],[MTD Company]]-Table33345678910[[#This Row],[MTD Panel]]</f>
        <v>0</v>
      </c>
    </row>
    <row r="49" spans="1:9" ht="15.5">
      <c r="A49" s="11" t="str">
        <f>Table333456789101217[[#This Row],[Carrier]]</f>
        <v>Total</v>
      </c>
      <c r="B49" s="14"/>
      <c r="C49" s="15"/>
      <c r="D49" s="16">
        <f>SUM(D3:D48)</f>
        <v>6736.4833333333336</v>
      </c>
      <c r="E49" s="16">
        <f t="shared" ref="E49:I49" si="0">SUM(E3:E48)</f>
        <v>6736.4833333333336</v>
      </c>
      <c r="F49" s="16">
        <f t="shared" si="0"/>
        <v>99480.299999999988</v>
      </c>
      <c r="G49" s="16">
        <f t="shared" si="0"/>
        <v>99480.299999999988</v>
      </c>
      <c r="H49" s="16">
        <f t="shared" si="0"/>
        <v>0</v>
      </c>
      <c r="I49" s="16">
        <f t="shared" si="0"/>
        <v>0</v>
      </c>
    </row>
    <row r="52" spans="1:9">
      <c r="G52" s="52"/>
    </row>
    <row r="53" spans="1:9">
      <c r="G53" s="9"/>
    </row>
  </sheetData>
  <conditionalFormatting sqref="H2:I48">
    <cfRule type="cellIs" dxfId="421" priority="13" operator="lessThan">
      <formula>0</formula>
    </cfRule>
  </conditionalFormatting>
  <conditionalFormatting sqref="I30:I48">
    <cfRule type="cellIs" dxfId="420" priority="12" operator="lessThan">
      <formula>0</formula>
    </cfRule>
  </conditionalFormatting>
  <conditionalFormatting sqref="H3:I48">
    <cfRule type="cellIs" dxfId="419" priority="11" operator="lessThan">
      <formula>0</formula>
    </cfRule>
  </conditionalFormatting>
  <conditionalFormatting sqref="I30:I48">
    <cfRule type="cellIs" dxfId="418" priority="10" operator="lessThan">
      <formula>0</formula>
    </cfRule>
  </conditionalFormatting>
  <conditionalFormatting sqref="I3:I48">
    <cfRule type="cellIs" dxfId="417" priority="1" operator="lessThan">
      <formula>0</formula>
    </cfRule>
    <cfRule type="cellIs" dxfId="416" priority="2" operator="lessThan">
      <formula>0</formula>
    </cfRule>
  </conditionalFormatting>
  <hyperlinks>
    <hyperlink ref="E1" location="H!A1" display="Home"/>
    <hyperlink ref="D1" location="'8'!D1" display="←"/>
    <hyperlink ref="F1" location="'10'!F1" display="→"/>
  </hyperlink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2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D3" sqref="D3"/>
    </sheetView>
  </sheetViews>
  <sheetFormatPr defaultRowHeight="14.5"/>
  <cols>
    <col min="1" max="1" width="26.7265625" bestFit="1" customWidth="1"/>
    <col min="2" max="2" width="37.1796875" customWidth="1"/>
    <col min="3" max="3" width="10.453125" customWidth="1"/>
    <col min="4" max="9" width="12.7265625" customWidth="1"/>
  </cols>
  <sheetData>
    <row r="1" spans="1:11" ht="18.5">
      <c r="A1" s="23" t="str">
        <f>H!A11</f>
        <v>10th April 2025</v>
      </c>
      <c r="B1" s="24"/>
      <c r="C1" s="24"/>
      <c r="D1" s="22" t="s">
        <v>16</v>
      </c>
      <c r="E1" s="22" t="s">
        <v>9</v>
      </c>
      <c r="F1" s="22" t="s">
        <v>17</v>
      </c>
    </row>
    <row r="2" spans="1:11" ht="31">
      <c r="A2" s="1" t="s">
        <v>0</v>
      </c>
      <c r="B2" s="2" t="s">
        <v>1</v>
      </c>
      <c r="C2" s="2" t="s">
        <v>2</v>
      </c>
      <c r="D2" s="2" t="s">
        <v>3</v>
      </c>
      <c r="E2" s="2" t="s">
        <v>11</v>
      </c>
      <c r="F2" s="2" t="s">
        <v>4</v>
      </c>
      <c r="G2" s="4" t="s">
        <v>6</v>
      </c>
      <c r="H2" s="4" t="s">
        <v>7</v>
      </c>
      <c r="I2" s="3" t="s">
        <v>8</v>
      </c>
    </row>
    <row r="3" spans="1:11">
      <c r="A3" s="11" t="str">
        <f>Table333456789101217[[#This Row],[Carrier]]</f>
        <v>Blaze</v>
      </c>
      <c r="B3" s="5" t="str">
        <f>Table333456789101217[[#This Row],[IP]]</f>
        <v>8.12.34.56/48.163.17.845/60.502.86.203/191.45.28.14</v>
      </c>
      <c r="C3" s="6" t="str">
        <f>Table333456789101217[[#This Row],[Carrier Code]]</f>
        <v>BZ</v>
      </c>
      <c r="D3" s="53">
        <v>0</v>
      </c>
      <c r="E3" s="53">
        <v>0</v>
      </c>
      <c r="F3" s="18">
        <f>Table3334567891012[[#This Row],[Company Panel]]+Table33345678910[[#This Row],[MTD Company]]</f>
        <v>0</v>
      </c>
      <c r="G3" s="18">
        <f>Table3334567891012[[#This Row],[Our panel]]+Table33345678910[[#This Row],[MTD Panel]]</f>
        <v>0</v>
      </c>
      <c r="H3" s="13">
        <f>Table3334567891012[[#This Row],[Company Panel]]-Table3334567891012[[#This Row],[Our panel]]</f>
        <v>0</v>
      </c>
      <c r="I3" s="13">
        <f>Table3334567891012[[#This Row],[MTD Company]]-Table3334567891012[[#This Row],[MTD Panel]]</f>
        <v>0</v>
      </c>
    </row>
    <row r="4" spans="1:11">
      <c r="A4" s="11" t="str">
        <f>Table333456789101217[[#This Row],[Carrier]]</f>
        <v>Titan</v>
      </c>
      <c r="B4" s="5" t="str">
        <f>Table333456789101217[[#This Row],[IP]]</f>
        <v>123.45.67.89/123.45.67.93/203.24.101.65</v>
      </c>
      <c r="C4" s="6" t="str">
        <f>Table333456789101217[[#This Row],[Carrier Code]]</f>
        <v>TI</v>
      </c>
      <c r="D4" s="53">
        <v>46.366666666666667</v>
      </c>
      <c r="E4" s="53">
        <v>46.366666666666667</v>
      </c>
      <c r="F4" s="18">
        <f>Table3334567891012[[#This Row],[Company Panel]]+Table33345678910[[#This Row],[MTD Company]]</f>
        <v>293.33333333333331</v>
      </c>
      <c r="G4" s="18">
        <f>Table3334567891012[[#This Row],[Our panel]]+Table33345678910[[#This Row],[MTD Panel]]</f>
        <v>293.33333333333331</v>
      </c>
      <c r="H4" s="13">
        <f>Table3334567891012[[#This Row],[Company Panel]]-Table3334567891012[[#This Row],[Our panel]]</f>
        <v>0</v>
      </c>
      <c r="I4" s="13">
        <f>Table3334567891012[[#This Row],[MTD Company]]-Table3334567891012[[#This Row],[MTD Panel]]</f>
        <v>0</v>
      </c>
      <c r="K4" s="9"/>
    </row>
    <row r="5" spans="1:11">
      <c r="A5" s="11" t="str">
        <f>Table333456789101217[[#This Row],[Carrier]]</f>
        <v>Hollow</v>
      </c>
      <c r="B5" s="5" t="str">
        <f>Table333456789101217[[#This Row],[IP]]</f>
        <v>204.56.78.100/204.56.57.169/52.94.101.12</v>
      </c>
      <c r="C5" s="6" t="str">
        <f>Table333456789101217[[#This Row],[Carrier Code]]</f>
        <v>HO</v>
      </c>
      <c r="D5" s="53">
        <v>0</v>
      </c>
      <c r="E5" s="53">
        <v>0</v>
      </c>
      <c r="F5" s="18">
        <f>Table3334567891012[[#This Row],[Company Panel]]+Table33345678910[[#This Row],[MTD Company]]</f>
        <v>0</v>
      </c>
      <c r="G5" s="18">
        <f>Table3334567891012[[#This Row],[Our panel]]+Table33345678910[[#This Row],[MTD Panel]]</f>
        <v>0</v>
      </c>
      <c r="H5" s="13">
        <f>Table3334567891012[[#This Row],[Company Panel]]-Table3334567891012[[#This Row],[Our panel]]</f>
        <v>0</v>
      </c>
      <c r="I5" s="13">
        <f>Table3334567891012[[#This Row],[MTD Company]]-Table3334567891012[[#This Row],[MTD Panel]]</f>
        <v>0</v>
      </c>
    </row>
    <row r="6" spans="1:11">
      <c r="A6" s="11" t="str">
        <f>Table333456789101217[[#This Row],[Carrier]]</f>
        <v>Prism</v>
      </c>
      <c r="B6" s="5" t="str">
        <f>Table333456789101217[[#This Row],[IP]]</f>
        <v>35.118.22.45/137.63.112.25</v>
      </c>
      <c r="C6" s="6" t="str">
        <f>Table333456789101217[[#This Row],[Carrier Code]]</f>
        <v>PS</v>
      </c>
      <c r="D6" s="53">
        <v>7502.9333333333334</v>
      </c>
      <c r="E6" s="53">
        <v>7502.9333333333334</v>
      </c>
      <c r="F6" s="18">
        <f>Table3334567891012[[#This Row],[Company Panel]]+Table33345678910[[#This Row],[MTD Company]]</f>
        <v>42315.48333333333</v>
      </c>
      <c r="G6" s="18">
        <f>Table3334567891012[[#This Row],[Our panel]]+Table33345678910[[#This Row],[MTD Panel]]</f>
        <v>42315.48333333333</v>
      </c>
      <c r="H6" s="13">
        <f>Table3334567891012[[#This Row],[Company Panel]]-Table3334567891012[[#This Row],[Our panel]]</f>
        <v>0</v>
      </c>
      <c r="I6" s="13">
        <f>Table3334567891012[[#This Row],[MTD Company]]-Table3334567891012[[#This Row],[MTD Panel]]</f>
        <v>0</v>
      </c>
    </row>
    <row r="7" spans="1:11">
      <c r="A7" s="11" t="str">
        <f>Table333456789101217[[#This Row],[Carrier]]</f>
        <v>Echo</v>
      </c>
      <c r="B7" s="5" t="str">
        <f>Table333456789101217[[#This Row],[IP]]</f>
        <v>66.89.101.10/66.89.101.19/66.89.101.23/66.89.101.45/66.89.101.81/85.21.34.99</v>
      </c>
      <c r="C7" s="6" t="str">
        <f>Table333456789101217[[#This Row],[Carrier Code]]</f>
        <v>EC</v>
      </c>
      <c r="D7" s="53">
        <v>2.1166666666666667</v>
      </c>
      <c r="E7" s="53">
        <v>2.1166666666666667</v>
      </c>
      <c r="F7" s="18">
        <f>Table3334567891012[[#This Row],[Company Panel]]+Table33345678910[[#This Row],[MTD Company]]</f>
        <v>22.75</v>
      </c>
      <c r="G7" s="18">
        <f>Table3334567891012[[#This Row],[Our panel]]+Table33345678910[[#This Row],[MTD Panel]]</f>
        <v>22.75</v>
      </c>
      <c r="H7" s="13">
        <f>Table3334567891012[[#This Row],[Company Panel]]-Table3334567891012[[#This Row],[Our panel]]</f>
        <v>0</v>
      </c>
      <c r="I7" s="13">
        <f>Table3334567891012[[#This Row],[MTD Company]]-Table3334567891012[[#This Row],[MTD Panel]]</f>
        <v>0</v>
      </c>
    </row>
    <row r="8" spans="1:11">
      <c r="A8" s="11" t="str">
        <f>Table333456789101217[[#This Row],[Carrier]]</f>
        <v>Strike</v>
      </c>
      <c r="B8" s="5" t="str">
        <f>Table333456789101217[[#This Row],[IP]]</f>
        <v>100.200.150.3/100.200.165.38/41.102.90.78</v>
      </c>
      <c r="C8" s="6" t="str">
        <f>Table333456789101217[[#This Row],[Carrier Code]]</f>
        <v>ST</v>
      </c>
      <c r="D8" s="53">
        <v>143.69999999999999</v>
      </c>
      <c r="E8" s="53">
        <v>143.69999999999999</v>
      </c>
      <c r="F8" s="18">
        <f>Table3334567891012[[#This Row],[Company Panel]]+Table33345678910[[#This Row],[MTD Company]]</f>
        <v>1087.2333333333331</v>
      </c>
      <c r="G8" s="18">
        <f>Table3334567891012[[#This Row],[Our panel]]+Table33345678910[[#This Row],[MTD Panel]]</f>
        <v>1087.2333333333331</v>
      </c>
      <c r="H8" s="13">
        <f>Table3334567891012[[#This Row],[Company Panel]]-Table3334567891012[[#This Row],[Our panel]]</f>
        <v>0</v>
      </c>
      <c r="I8" s="13">
        <f>Table3334567891012[[#This Row],[MTD Company]]-Table3334567891012[[#This Row],[MTD Panel]]</f>
        <v>0</v>
      </c>
      <c r="K8" s="9"/>
    </row>
    <row r="9" spans="1:11">
      <c r="A9" s="11" t="str">
        <f>Table333456789101217[[#This Row],[Carrier]]</f>
        <v>Blunt</v>
      </c>
      <c r="B9" s="5" t="str">
        <f>Table333456789101217[[#This Row],[IP]]</f>
        <v>52.28.191.25/52.28.191.38/52.28.191.24/61.110.23.45</v>
      </c>
      <c r="C9" s="6" t="str">
        <f>Table333456789101217[[#This Row],[Carrier Code]]</f>
        <v>BL</v>
      </c>
      <c r="D9" s="53">
        <v>1789.3333333333333</v>
      </c>
      <c r="E9" s="53">
        <v>1789.3333333333333</v>
      </c>
      <c r="F9" s="18">
        <f>Table3334567891012[[#This Row],[Company Panel]]+Table33345678910[[#This Row],[MTD Company]]</f>
        <v>5548.6833333333334</v>
      </c>
      <c r="G9" s="18">
        <f>Table3334567891012[[#This Row],[Our panel]]+Table33345678910[[#This Row],[MTD Panel]]</f>
        <v>5548.6833333333334</v>
      </c>
      <c r="H9" s="13">
        <f>Table3334567891012[[#This Row],[Company Panel]]-Table3334567891012[[#This Row],[Our panel]]</f>
        <v>0</v>
      </c>
      <c r="I9" s="13">
        <f>Table3334567891012[[#This Row],[MTD Company]]-Table3334567891012[[#This Row],[MTD Panel]]</f>
        <v>0</v>
      </c>
    </row>
    <row r="10" spans="1:11">
      <c r="A10" s="11" t="str">
        <f>Table333456789101217[[#This Row],[Carrier]]</f>
        <v>Law</v>
      </c>
      <c r="B10" s="5" t="str">
        <f>Table333456789101217[[#This Row],[IP]]</f>
        <v>77.88.99.21/77.88.99.88/77.88.99.94/110.56.211.7</v>
      </c>
      <c r="C10" s="6" t="str">
        <f>Table333456789101217[[#This Row],[Carrier Code]]</f>
        <v>LA</v>
      </c>
      <c r="D10" s="53">
        <v>0</v>
      </c>
      <c r="E10" s="53">
        <v>0</v>
      </c>
      <c r="F10" s="18">
        <f>Table3334567891012[[#This Row],[Company Panel]]+Table33345678910[[#This Row],[MTD Company]]</f>
        <v>0</v>
      </c>
      <c r="G10" s="18">
        <f>Table3334567891012[[#This Row],[Our panel]]+Table33345678910[[#This Row],[MTD Panel]]</f>
        <v>0</v>
      </c>
      <c r="H10" s="13">
        <f>Table3334567891012[[#This Row],[Company Panel]]-Table3334567891012[[#This Row],[Our panel]]</f>
        <v>0</v>
      </c>
      <c r="I10" s="13">
        <f>Table3334567891012[[#This Row],[MTD Company]]-Table3334567891012[[#This Row],[MTD Panel]]</f>
        <v>0</v>
      </c>
    </row>
    <row r="11" spans="1:11">
      <c r="A11" s="11" t="str">
        <f>Table333456789101217[[#This Row],[Carrier]]</f>
        <v>Pulse</v>
      </c>
      <c r="B11" s="5" t="str">
        <f>Table333456789101217[[#This Row],[IP]]</f>
        <v>198.51.100.130/31.725.16.608/66.59.61.503/167.34.122.90</v>
      </c>
      <c r="C11" s="6" t="str">
        <f>Table333456789101217[[#This Row],[Carrier Code]]</f>
        <v>PU</v>
      </c>
      <c r="D11" s="53">
        <v>0</v>
      </c>
      <c r="E11" s="53">
        <v>0</v>
      </c>
      <c r="F11" s="18">
        <f>Table3334567891012[[#This Row],[Company Panel]]+Table33345678910[[#This Row],[MTD Company]]</f>
        <v>0</v>
      </c>
      <c r="G11" s="18">
        <f>Table3334567891012[[#This Row],[Our panel]]+Table33345678910[[#This Row],[MTD Panel]]</f>
        <v>0</v>
      </c>
      <c r="H11" s="13">
        <f>Table3334567891012[[#This Row],[Company Panel]]-Table3334567891012[[#This Row],[Our panel]]</f>
        <v>0</v>
      </c>
      <c r="I11" s="13">
        <f>Table3334567891012[[#This Row],[MTD Company]]-Table3334567891012[[#This Row],[MTD Panel]]</f>
        <v>0</v>
      </c>
    </row>
    <row r="12" spans="1:11">
      <c r="A12" s="11" t="str">
        <f>Table333456789101217[[#This Row],[Carrier]]</f>
        <v>Phantom</v>
      </c>
      <c r="B12" s="5" t="str">
        <f>Table333456789101217[[#This Row],[IP]]</f>
        <v>141.15.210.67/141.15.42.82/179.62.211.4</v>
      </c>
      <c r="C12" s="6" t="str">
        <f>Table333456789101217[[#This Row],[Carrier Code]]</f>
        <v>PH</v>
      </c>
      <c r="D12" s="53">
        <v>261.76666666666665</v>
      </c>
      <c r="E12" s="53">
        <v>261.76666666666665</v>
      </c>
      <c r="F12" s="18">
        <f>Table3334567891012[[#This Row],[Company Panel]]+Table33345678910[[#This Row],[MTD Company]]</f>
        <v>3273.8499999999995</v>
      </c>
      <c r="G12" s="18">
        <f>Table3334567891012[[#This Row],[Our panel]]+Table33345678910[[#This Row],[MTD Panel]]</f>
        <v>3273.8499999999995</v>
      </c>
      <c r="H12" s="13">
        <f>Table3334567891012[[#This Row],[Company Panel]]-Table3334567891012[[#This Row],[Our panel]]</f>
        <v>0</v>
      </c>
      <c r="I12" s="13">
        <f>Table3334567891012[[#This Row],[MTD Company]]-Table3334567891012[[#This Row],[MTD Panel]]</f>
        <v>0</v>
      </c>
    </row>
    <row r="13" spans="1:11">
      <c r="A13" s="11" t="str">
        <f>Table333456789101217[[#This Row],[Carrier]]</f>
        <v>Dragon</v>
      </c>
      <c r="B13" s="5" t="str">
        <f>Table333456789101217[[#This Row],[IP]]</f>
        <v>12.34.56.78/12.34.56.128/200.180.245.18</v>
      </c>
      <c r="C13" s="6" t="str">
        <f>Table333456789101217[[#This Row],[Carrier Code]]</f>
        <v>DG</v>
      </c>
      <c r="D13" s="53">
        <v>0</v>
      </c>
      <c r="E13" s="53">
        <v>0</v>
      </c>
      <c r="F13" s="18">
        <f>Table3334567891012[[#This Row],[Company Panel]]+Table33345678910[[#This Row],[MTD Company]]</f>
        <v>0</v>
      </c>
      <c r="G13" s="18">
        <f>Table3334567891012[[#This Row],[Our panel]]+Table33345678910[[#This Row],[MTD Panel]]</f>
        <v>0</v>
      </c>
      <c r="H13" s="13">
        <f>Table3334567891012[[#This Row],[Company Panel]]-Table3334567891012[[#This Row],[Our panel]]</f>
        <v>0</v>
      </c>
      <c r="I13" s="13">
        <f>Table3334567891012[[#This Row],[MTD Company]]-Table3334567891012[[#This Row],[MTD Panel]]</f>
        <v>0</v>
      </c>
    </row>
    <row r="14" spans="1:11">
      <c r="A14" s="11" t="str">
        <f>Table333456789101217[[#This Row],[Carrier]]</f>
        <v>Tempest</v>
      </c>
      <c r="B14" s="5" t="str">
        <f>Table333456789101217[[#This Row],[IP]]</f>
        <v>59.144.223.88/55.39.99.60</v>
      </c>
      <c r="C14" s="6" t="str">
        <f>Table333456789101217[[#This Row],[Carrier Code]]</f>
        <v>TE</v>
      </c>
      <c r="D14" s="53">
        <v>0</v>
      </c>
      <c r="E14" s="53">
        <v>0</v>
      </c>
      <c r="F14" s="18">
        <f>Table3334567891012[[#This Row],[Company Panel]]+Table33345678910[[#This Row],[MTD Company]]</f>
        <v>0</v>
      </c>
      <c r="G14" s="18">
        <f>Table3334567891012[[#This Row],[Our panel]]+Table33345678910[[#This Row],[MTD Panel]]</f>
        <v>0</v>
      </c>
      <c r="H14" s="13">
        <f>Table3334567891012[[#This Row],[Company Panel]]-Table3334567891012[[#This Row],[Our panel]]</f>
        <v>0</v>
      </c>
      <c r="I14" s="13">
        <f>Table3334567891012[[#This Row],[MTD Company]]-Table3334567891012[[#This Row],[MTD Panel]]</f>
        <v>0</v>
      </c>
    </row>
    <row r="15" spans="1:11">
      <c r="A15" s="11" t="str">
        <f>Table333456789101217[[#This Row],[Carrier]]</f>
        <v>Shadow</v>
      </c>
      <c r="B15" s="5" t="str">
        <f>Table333456789101217[[#This Row],[IP]]</f>
        <v>175.45.112.100/25.851.31.153/39.80.220.100</v>
      </c>
      <c r="C15" s="6" t="str">
        <f>Table333456789101217[[#This Row],[Carrier Code]]</f>
        <v>SH</v>
      </c>
      <c r="D15" s="53">
        <v>0</v>
      </c>
      <c r="E15" s="53">
        <v>0</v>
      </c>
      <c r="F15" s="18">
        <f>Table3334567891012[[#This Row],[Company Panel]]+Table33345678910[[#This Row],[MTD Company]]</f>
        <v>0</v>
      </c>
      <c r="G15" s="18">
        <f>Table3334567891012[[#This Row],[Our panel]]+Table33345678910[[#This Row],[MTD Panel]]</f>
        <v>0</v>
      </c>
      <c r="H15" s="13">
        <f>Table3334567891012[[#This Row],[Company Panel]]-Table3334567891012[[#This Row],[Our panel]]</f>
        <v>0</v>
      </c>
      <c r="I15" s="13">
        <f>Table3334567891012[[#This Row],[MTD Company]]-Table3334567891012[[#This Row],[MTD Panel]]</f>
        <v>0</v>
      </c>
    </row>
    <row r="16" spans="1:11">
      <c r="A16" s="11" t="str">
        <f>Table333456789101217[[#This Row],[Carrier]]</f>
        <v>Cyclone</v>
      </c>
      <c r="B16" s="5" t="str">
        <f>Table333456789101217[[#This Row],[IP]]</f>
        <v>150.13.75.190/16.160.89.512/72.11.97.34</v>
      </c>
      <c r="C16" s="6" t="str">
        <f>Table333456789101217[[#This Row],[Carrier Code]]</f>
        <v>CY</v>
      </c>
      <c r="D16" s="53">
        <v>0</v>
      </c>
      <c r="E16" s="53">
        <v>0</v>
      </c>
      <c r="F16" s="18">
        <f>Table3334567891012[[#This Row],[Company Panel]]+Table33345678910[[#This Row],[MTD Company]]</f>
        <v>0</v>
      </c>
      <c r="G16" s="18">
        <f>Table3334567891012[[#This Row],[Our panel]]+Table33345678910[[#This Row],[MTD Panel]]</f>
        <v>0</v>
      </c>
      <c r="H16" s="13">
        <f>Table3334567891012[[#This Row],[Company Panel]]-Table3334567891012[[#This Row],[Our panel]]</f>
        <v>0</v>
      </c>
      <c r="I16" s="13">
        <f>Table3334567891012[[#This Row],[MTD Company]]-Table3334567891012[[#This Row],[MTD Panel]]</f>
        <v>0</v>
      </c>
    </row>
    <row r="17" spans="1:9">
      <c r="A17" s="11" t="str">
        <f>Table333456789101217[[#This Row],[Carrier]]</f>
        <v>Reaver</v>
      </c>
      <c r="B17" s="5" t="str">
        <f>Table333456789101217[[#This Row],[IP]]</f>
        <v>203.0.113.44/188.17.56.210</v>
      </c>
      <c r="C17" s="6" t="str">
        <f>Table333456789101217[[#This Row],[Carrier Code]]</f>
        <v>RE</v>
      </c>
      <c r="D17" s="53">
        <v>0</v>
      </c>
      <c r="E17" s="53">
        <v>0</v>
      </c>
      <c r="F17" s="18">
        <f>Table3334567891012[[#This Row],[Company Panel]]+Table33345678910[[#This Row],[MTD Company]]</f>
        <v>0</v>
      </c>
      <c r="G17" s="18">
        <f>Table3334567891012[[#This Row],[Our panel]]+Table33345678910[[#This Row],[MTD Panel]]</f>
        <v>0</v>
      </c>
      <c r="H17" s="13">
        <f>Table3334567891012[[#This Row],[Company Panel]]-Table3334567891012[[#This Row],[Our panel]]</f>
        <v>0</v>
      </c>
      <c r="I17" s="13">
        <f>Table3334567891012[[#This Row],[MTD Company]]-Table3334567891012[[#This Row],[MTD Panel]]</f>
        <v>0</v>
      </c>
    </row>
    <row r="18" spans="1:9">
      <c r="A18" s="11" t="str">
        <f>Table333456789101217[[#This Row],[Carrier]]</f>
        <v>Forge</v>
      </c>
      <c r="B18" s="5" t="str">
        <f>Table333456789101217[[#This Row],[IP]]</f>
        <v>112.54.89.168/112.54.89.138</v>
      </c>
      <c r="C18" s="6" t="str">
        <f>Table333456789101217[[#This Row],[Carrier Code]]</f>
        <v>FO</v>
      </c>
      <c r="D18" s="53">
        <v>32.216666666666669</v>
      </c>
      <c r="E18" s="53">
        <v>32.216666666666669</v>
      </c>
      <c r="F18" s="18">
        <f>Table3334567891012[[#This Row],[Company Panel]]+Table33345678910[[#This Row],[MTD Company]]</f>
        <v>287.53333333333336</v>
      </c>
      <c r="G18" s="18">
        <f>Table3334567891012[[#This Row],[Our panel]]+Table33345678910[[#This Row],[MTD Panel]]</f>
        <v>287.53333333333336</v>
      </c>
      <c r="H18" s="13">
        <f>Table3334567891012[[#This Row],[Company Panel]]-Table3334567891012[[#This Row],[Our panel]]</f>
        <v>0</v>
      </c>
      <c r="I18" s="13">
        <f>Table3334567891012[[#This Row],[MTD Company]]-Table3334567891012[[#This Row],[MTD Panel]]</f>
        <v>0</v>
      </c>
    </row>
    <row r="19" spans="1:9">
      <c r="A19" s="11" t="str">
        <f>Table333456789101217[[#This Row],[Carrier]]</f>
        <v>Ember</v>
      </c>
      <c r="B19" s="5" t="str">
        <f>Table333456789101217[[#This Row],[IP]]</f>
        <v>78.34.90.24/328.56.122.44/142.150.75.22</v>
      </c>
      <c r="C19" s="6" t="str">
        <f>Table333456789101217[[#This Row],[Carrier Code]]</f>
        <v>EM</v>
      </c>
      <c r="D19" s="53">
        <v>0</v>
      </c>
      <c r="E19" s="53">
        <v>0</v>
      </c>
      <c r="F19" s="18">
        <f>Table3334567891012[[#This Row],[Company Panel]]+Table33345678910[[#This Row],[MTD Company]]</f>
        <v>0</v>
      </c>
      <c r="G19" s="18">
        <f>Table3334567891012[[#This Row],[Our panel]]+Table33345678910[[#This Row],[MTD Panel]]</f>
        <v>0</v>
      </c>
      <c r="H19" s="13">
        <f>Table3334567891012[[#This Row],[Company Panel]]-Table3334567891012[[#This Row],[Our panel]]</f>
        <v>0</v>
      </c>
      <c r="I19" s="13">
        <f>Table3334567891012[[#This Row],[MTD Company]]-Table3334567891012[[#This Row],[MTD Panel]]</f>
        <v>0</v>
      </c>
    </row>
    <row r="20" spans="1:9">
      <c r="A20" s="11" t="str">
        <f>Table333456789101217[[#This Row],[Carrier]]</f>
        <v>Specter</v>
      </c>
      <c r="B20" s="5" t="str">
        <f>Table333456789101217[[#This Row],[IP]]</f>
        <v>205.60.34.150</v>
      </c>
      <c r="C20" s="6" t="str">
        <f>Table333456789101217[[#This Row],[Carrier Code]]</f>
        <v>SP</v>
      </c>
      <c r="D20" s="53">
        <v>0.15</v>
      </c>
      <c r="E20" s="53">
        <v>0.15</v>
      </c>
      <c r="F20" s="18">
        <f>Table3334567891012[[#This Row],[Company Panel]]+Table33345678910[[#This Row],[MTD Company]]</f>
        <v>11.3</v>
      </c>
      <c r="G20" s="18">
        <f>Table3334567891012[[#This Row],[Our panel]]+Table33345678910[[#This Row],[MTD Panel]]</f>
        <v>11.3</v>
      </c>
      <c r="H20" s="13">
        <f>Table3334567891012[[#This Row],[Company Panel]]-Table3334567891012[[#This Row],[Our panel]]</f>
        <v>0</v>
      </c>
      <c r="I20" s="13">
        <f>Table3334567891012[[#This Row],[MTD Company]]-Table3334567891012[[#This Row],[MTD Panel]]</f>
        <v>0</v>
      </c>
    </row>
    <row r="21" spans="1:9">
      <c r="A21" s="11" t="str">
        <f>Table333456789101217[[#This Row],[Carrier]]</f>
        <v>Throne</v>
      </c>
      <c r="B21" s="5" t="str">
        <f>Table333456789101217[[#This Row],[IP]]</f>
        <v>54.32.11.90/27.758.27.201/125.150.58.20</v>
      </c>
      <c r="C21" s="6" t="str">
        <f>Table333456789101217[[#This Row],[Carrier Code]]</f>
        <v>TH</v>
      </c>
      <c r="D21" s="53">
        <v>0</v>
      </c>
      <c r="E21" s="53">
        <v>0</v>
      </c>
      <c r="F21" s="18">
        <f>Table3334567891012[[#This Row],[Company Panel]]+Table33345678910[[#This Row],[MTD Company]]</f>
        <v>0</v>
      </c>
      <c r="G21" s="18">
        <f>Table3334567891012[[#This Row],[Our panel]]+Table33345678910[[#This Row],[MTD Panel]]</f>
        <v>0</v>
      </c>
      <c r="H21" s="13">
        <f>Table3334567891012[[#This Row],[Company Panel]]-Table3334567891012[[#This Row],[Our panel]]</f>
        <v>0</v>
      </c>
      <c r="I21" s="13">
        <f>Table3334567891012[[#This Row],[MTD Company]]-Table3334567891012[[#This Row],[MTD Panel]]</f>
        <v>0</v>
      </c>
    </row>
    <row r="22" spans="1:9">
      <c r="A22" s="11" t="str">
        <f>Table333456789101217[[#This Row],[Carrier]]</f>
        <v>Arcane</v>
      </c>
      <c r="B22" s="5" t="str">
        <f>Table333456789101217[[#This Row],[IP]]</f>
        <v>212.100.25.78/212.100.25.87</v>
      </c>
      <c r="C22" s="6" t="str">
        <f>Table333456789101217[[#This Row],[Carrier Code]]</f>
        <v>AR</v>
      </c>
      <c r="D22" s="53">
        <v>0</v>
      </c>
      <c r="E22" s="53">
        <v>0</v>
      </c>
      <c r="F22" s="18">
        <f>Table3334567891012[[#This Row],[Company Panel]]+Table33345678910[[#This Row],[MTD Company]]</f>
        <v>0.58333333333333337</v>
      </c>
      <c r="G22" s="18">
        <f>Table3334567891012[[#This Row],[Our panel]]+Table33345678910[[#This Row],[MTD Panel]]</f>
        <v>0.58333333333333337</v>
      </c>
      <c r="H22" s="13">
        <f>Table3334567891012[[#This Row],[Company Panel]]-Table3334567891012[[#This Row],[Our panel]]</f>
        <v>0</v>
      </c>
      <c r="I22" s="13">
        <f>Table3334567891012[[#This Row],[MTD Company]]-Table3334567891012[[#This Row],[MTD Panel]]</f>
        <v>0</v>
      </c>
    </row>
    <row r="23" spans="1:9">
      <c r="A23" s="11" t="str">
        <f>Table333456789101217[[#This Row],[Carrier]]</f>
        <v>Glitch</v>
      </c>
      <c r="B23" s="5" t="str">
        <f>Table333456789101217[[#This Row],[IP]]</f>
        <v>198.204.100.12/198.204.100.34/198.204.100.51</v>
      </c>
      <c r="C23" s="6" t="str">
        <f>Table333456789101217[[#This Row],[Carrier Code]]</f>
        <v>GL</v>
      </c>
      <c r="D23" s="53">
        <v>0</v>
      </c>
      <c r="E23" s="53">
        <v>0</v>
      </c>
      <c r="F23" s="18">
        <f>Table3334567891012[[#This Row],[Company Panel]]+Table33345678910[[#This Row],[MTD Company]]</f>
        <v>0</v>
      </c>
      <c r="G23" s="18">
        <f>Table3334567891012[[#This Row],[Our panel]]+Table33345678910[[#This Row],[MTD Panel]]</f>
        <v>0</v>
      </c>
      <c r="H23" s="13">
        <f>Table3334567891012[[#This Row],[Company Panel]]-Table3334567891012[[#This Row],[Our panel]]</f>
        <v>0</v>
      </c>
      <c r="I23" s="13">
        <f>Table3334567891012[[#This Row],[MTD Company]]-Table3334567891012[[#This Row],[MTD Panel]]</f>
        <v>0</v>
      </c>
    </row>
    <row r="24" spans="1:9">
      <c r="A24" s="11" t="str">
        <f>Table333456789101217[[#This Row],[Carrier]]</f>
        <v>Nitro</v>
      </c>
      <c r="B24" s="5" t="str">
        <f>Table333456789101217[[#This Row],[IP]]</f>
        <v>15.150.200.33/119.82.200.100</v>
      </c>
      <c r="C24" s="6" t="str">
        <f>Table333456789101217[[#This Row],[Carrier Code]]</f>
        <v>NI</v>
      </c>
      <c r="D24" s="53">
        <v>0</v>
      </c>
      <c r="E24" s="53">
        <v>0</v>
      </c>
      <c r="F24" s="18">
        <f>Table3334567891012[[#This Row],[Company Panel]]+Table33345678910[[#This Row],[MTD Company]]</f>
        <v>0</v>
      </c>
      <c r="G24" s="18">
        <f>Table3334567891012[[#This Row],[Our panel]]+Table33345678910[[#This Row],[MTD Panel]]</f>
        <v>0</v>
      </c>
      <c r="H24" s="13">
        <f>Table3334567891012[[#This Row],[Company Panel]]-Table3334567891012[[#This Row],[Our panel]]</f>
        <v>0</v>
      </c>
      <c r="I24" s="13">
        <f>Table3334567891012[[#This Row],[MTD Company]]-Table3334567891012[[#This Row],[MTD Panel]]</f>
        <v>0</v>
      </c>
    </row>
    <row r="25" spans="1:9">
      <c r="A25" s="11" t="str">
        <f>Table333456789101217[[#This Row],[Carrier]]</f>
        <v>Drip</v>
      </c>
      <c r="B25" s="5" t="str">
        <f>Table333456789101217[[#This Row],[IP]]</f>
        <v>84.13.76.190/90.945.80.11/198.160.234.5</v>
      </c>
      <c r="C25" s="6" t="str">
        <f>Table333456789101217[[#This Row],[Carrier Code]]</f>
        <v>DR</v>
      </c>
      <c r="D25" s="53">
        <v>0</v>
      </c>
      <c r="E25" s="53">
        <v>0</v>
      </c>
      <c r="F25" s="18">
        <f>Table3334567891012[[#This Row],[Company Panel]]+Table33345678910[[#This Row],[MTD Company]]</f>
        <v>0</v>
      </c>
      <c r="G25" s="18">
        <f>Table3334567891012[[#This Row],[Our panel]]+Table33345678910[[#This Row],[MTD Panel]]</f>
        <v>0</v>
      </c>
      <c r="H25" s="13">
        <f>Table3334567891012[[#This Row],[Company Panel]]-Table3334567891012[[#This Row],[Our panel]]</f>
        <v>0</v>
      </c>
      <c r="I25" s="13">
        <f>Table3334567891012[[#This Row],[MTD Company]]-Table3334567891012[[#This Row],[MTD Panel]]</f>
        <v>0</v>
      </c>
    </row>
    <row r="26" spans="1:9">
      <c r="A26" s="11" t="str">
        <f>Table333456789101217[[#This Row],[Carrier]]</f>
        <v>Glide</v>
      </c>
      <c r="B26" s="5" t="str">
        <f>Table333456789101217[[#This Row],[IP]]</f>
        <v>120.45.12.25/85.739.221.80/85.739.221.93</v>
      </c>
      <c r="C26" s="6" t="str">
        <f>Table333456789101217[[#This Row],[Carrier Code]]</f>
        <v>GI</v>
      </c>
      <c r="D26" s="53">
        <v>0</v>
      </c>
      <c r="E26" s="53">
        <v>0</v>
      </c>
      <c r="F26" s="18">
        <f>Table3334567891012[[#This Row],[Company Panel]]+Table33345678910[[#This Row],[MTD Company]]</f>
        <v>0</v>
      </c>
      <c r="G26" s="18">
        <f>Table3334567891012[[#This Row],[Our panel]]+Table33345678910[[#This Row],[MTD Panel]]</f>
        <v>0</v>
      </c>
      <c r="H26" s="13">
        <f>Table3334567891012[[#This Row],[Company Panel]]-Table3334567891012[[#This Row],[Our panel]]</f>
        <v>0</v>
      </c>
      <c r="I26" s="13">
        <f>Table3334567891012[[#This Row],[MTD Company]]-Table3334567891012[[#This Row],[MTD Panel]]</f>
        <v>0</v>
      </c>
    </row>
    <row r="27" spans="1:9">
      <c r="A27" s="11" t="str">
        <f>Table333456789101217[[#This Row],[Carrier]]</f>
        <v>Orbit</v>
      </c>
      <c r="B27" s="5" t="str">
        <f>Table333456789101217[[#This Row],[IP]]</f>
        <v>176.98.54.112/60.110.154.91/60.110.155.162</v>
      </c>
      <c r="C27" s="6" t="str">
        <f>Table333456789101217[[#This Row],[Carrier Code]]</f>
        <v>OR</v>
      </c>
      <c r="D27" s="53">
        <v>0</v>
      </c>
      <c r="E27" s="53">
        <v>0</v>
      </c>
      <c r="F27" s="18">
        <f>Table3334567891012[[#This Row],[Company Panel]]+Table33345678910[[#This Row],[MTD Company]]</f>
        <v>0</v>
      </c>
      <c r="G27" s="18">
        <f>Table3334567891012[[#This Row],[Our panel]]+Table33345678910[[#This Row],[MTD Panel]]</f>
        <v>0</v>
      </c>
      <c r="H27" s="13">
        <f>Table3334567891012[[#This Row],[Company Panel]]-Table3334567891012[[#This Row],[Our panel]]</f>
        <v>0</v>
      </c>
      <c r="I27" s="13">
        <f>Table3334567891012[[#This Row],[MTD Company]]-Table3334567891012[[#This Row],[MTD Panel]]</f>
        <v>0</v>
      </c>
    </row>
    <row r="28" spans="1:9">
      <c r="A28" s="11" t="str">
        <f>Table333456789101217[[#This Row],[Carrier]]</f>
        <v>Thunder</v>
      </c>
      <c r="B28" s="5" t="str">
        <f>Table333456789101217[[#This Row],[IP]]</f>
        <v>67.102.200.9/81.905.48.847/143.235.100.34</v>
      </c>
      <c r="C28" s="6" t="str">
        <f>Table333456789101217[[#This Row],[Carrier Code]]</f>
        <v>TU</v>
      </c>
      <c r="D28" s="53">
        <v>75.033333333333331</v>
      </c>
      <c r="E28" s="53">
        <v>75.033333333333331</v>
      </c>
      <c r="F28" s="18">
        <f>Table3334567891012[[#This Row],[Company Panel]]+Table33345678910[[#This Row],[MTD Company]]</f>
        <v>307.76666666666665</v>
      </c>
      <c r="G28" s="18">
        <f>Table3334567891012[[#This Row],[Our panel]]+Table33345678910[[#This Row],[MTD Panel]]</f>
        <v>307.76666666666665</v>
      </c>
      <c r="H28" s="13">
        <f>Table3334567891012[[#This Row],[Company Panel]]-Table3334567891012[[#This Row],[Our panel]]</f>
        <v>0</v>
      </c>
      <c r="I28" s="13">
        <f>Table3334567891012[[#This Row],[MTD Company]]-Table3334567891012[[#This Row],[MTD Panel]]</f>
        <v>0</v>
      </c>
    </row>
    <row r="29" spans="1:9">
      <c r="A29" s="11" t="str">
        <f>Table333456789101217[[#This Row],[Carrier]]</f>
        <v>Glimmer</v>
      </c>
      <c r="B29" s="5" t="str">
        <f>Table333456789101217[[#This Row],[IP]]</f>
        <v>99.22.211.100/71.54.85.344/71.54.85.218</v>
      </c>
      <c r="C29" s="6" t="str">
        <f>Table333456789101217[[#This Row],[Carrier Code]]</f>
        <v>GM</v>
      </c>
      <c r="D29" s="53">
        <v>0</v>
      </c>
      <c r="E29" s="53">
        <v>0</v>
      </c>
      <c r="F29" s="18">
        <f>Table3334567891012[[#This Row],[Company Panel]]+Table33345678910[[#This Row],[MTD Company]]</f>
        <v>0</v>
      </c>
      <c r="G29" s="18">
        <f>Table3334567891012[[#This Row],[Our panel]]+Table33345678910[[#This Row],[MTD Panel]]</f>
        <v>0</v>
      </c>
      <c r="H29" s="13">
        <f>Table3334567891012[[#This Row],[Company Panel]]-Table3334567891012[[#This Row],[Our panel]]</f>
        <v>0</v>
      </c>
      <c r="I29" s="13">
        <f>Table3334567891012[[#This Row],[MTD Company]]-Table3334567891012[[#This Row],[MTD Panel]]</f>
        <v>0</v>
      </c>
    </row>
    <row r="30" spans="1:9">
      <c r="A30" s="11" t="str">
        <f>Table333456789101217[[#This Row],[Carrier]]</f>
        <v>Fragment</v>
      </c>
      <c r="B30" s="5" t="str">
        <f>Table333456789101217[[#This Row],[IP]]</f>
        <v>203.0.113.56/195.56.101.10</v>
      </c>
      <c r="C30" s="6" t="str">
        <f>Table333456789101217[[#This Row],[Carrier Code]]</f>
        <v>FR</v>
      </c>
      <c r="D30" s="53">
        <v>0</v>
      </c>
      <c r="E30" s="53">
        <v>0</v>
      </c>
      <c r="F30" s="18">
        <f>Table3334567891012[[#This Row],[Company Panel]]+Table33345678910[[#This Row],[MTD Company]]</f>
        <v>0</v>
      </c>
      <c r="G30" s="18">
        <f>Table3334567891012[[#This Row],[Our panel]]+Table33345678910[[#This Row],[MTD Panel]]</f>
        <v>0</v>
      </c>
      <c r="H30" s="13">
        <f>Table3334567891012[[#This Row],[Company Panel]]-Table3334567891012[[#This Row],[Our panel]]</f>
        <v>0</v>
      </c>
      <c r="I30" s="13">
        <f>Table3334567891012[[#This Row],[MTD Company]]-Table3334567891012[[#This Row],[MTD Panel]]</f>
        <v>0</v>
      </c>
    </row>
    <row r="31" spans="1:9">
      <c r="A31" s="11" t="str">
        <f>Table333456789101217[[#This Row],[Carrier]]</f>
        <v>Dusk</v>
      </c>
      <c r="B31" s="5" t="str">
        <f>Table333456789101217[[#This Row],[IP]]</f>
        <v>33.44.55.66/33.44.55.84/33.44.55.122/214.68.90.122</v>
      </c>
      <c r="C31" s="6" t="str">
        <f>Table333456789101217[[#This Row],[Carrier Code]]</f>
        <v>DK</v>
      </c>
      <c r="D31" s="53">
        <v>0</v>
      </c>
      <c r="E31" s="53">
        <v>0</v>
      </c>
      <c r="F31" s="18">
        <f>Table3334567891012[[#This Row],[Company Panel]]+Table33345678910[[#This Row],[MTD Company]]</f>
        <v>0</v>
      </c>
      <c r="G31" s="18">
        <f>Table3334567891012[[#This Row],[Our panel]]+Table33345678910[[#This Row],[MTD Panel]]</f>
        <v>0</v>
      </c>
      <c r="H31" s="13">
        <f>Table3334567891012[[#This Row],[Company Panel]]-Table3334567891012[[#This Row],[Our panel]]</f>
        <v>0</v>
      </c>
      <c r="I31" s="13">
        <f>Table3334567891012[[#This Row],[MTD Company]]-Table3334567891012[[#This Row],[MTD Panel]]</f>
        <v>0</v>
      </c>
    </row>
    <row r="32" spans="1:9">
      <c r="A32" s="11" t="str">
        <f>Table333456789101217[[#This Row],[Carrier]]</f>
        <v>Breeze</v>
      </c>
      <c r="B32" s="5" t="str">
        <f>Table333456789101217[[#This Row],[IP]]</f>
        <v>199.123.87.45/199.123.34.52/77.189.22.56</v>
      </c>
      <c r="C32" s="6" t="str">
        <f>Table333456789101217[[#This Row],[Carrier Code]]</f>
        <v>BR</v>
      </c>
      <c r="D32" s="53">
        <v>0</v>
      </c>
      <c r="E32" s="53">
        <v>0</v>
      </c>
      <c r="F32" s="18">
        <f>Table3334567891012[[#This Row],[Company Panel]]+Table33345678910[[#This Row],[MTD Company]]</f>
        <v>0</v>
      </c>
      <c r="G32" s="18">
        <f>Table3334567891012[[#This Row],[Our panel]]+Table33345678910[[#This Row],[MTD Panel]]</f>
        <v>0</v>
      </c>
      <c r="H32" s="13">
        <f>Table3334567891012[[#This Row],[Company Panel]]-Table3334567891012[[#This Row],[Our panel]]</f>
        <v>0</v>
      </c>
      <c r="I32" s="13">
        <f>Table3334567891012[[#This Row],[MTD Company]]-Table3334567891012[[#This Row],[MTD Panel]]</f>
        <v>0</v>
      </c>
    </row>
    <row r="33" spans="1:9">
      <c r="A33" s="11" t="str">
        <f>Table333456789101217[[#This Row],[Carrier]]</f>
        <v>Clutch</v>
      </c>
      <c r="B33" s="5" t="str">
        <f>Table333456789101217[[#This Row],[IP]]</f>
        <v>55.66.77.88/84.126.79.28/152.233.45.11</v>
      </c>
      <c r="C33" s="6" t="str">
        <f>Table333456789101217[[#This Row],[Carrier Code]]</f>
        <v>CL</v>
      </c>
      <c r="D33" s="53">
        <v>0</v>
      </c>
      <c r="E33" s="53">
        <v>0</v>
      </c>
      <c r="F33" s="18">
        <f>Table3334567891012[[#This Row],[Company Panel]]+Table33345678910[[#This Row],[MTD Company]]</f>
        <v>0</v>
      </c>
      <c r="G33" s="18">
        <f>Table3334567891012[[#This Row],[Our panel]]+Table33345678910[[#This Row],[MTD Panel]]</f>
        <v>0</v>
      </c>
      <c r="H33" s="13">
        <f>Table3334567891012[[#This Row],[Company Panel]]-Table3334567891012[[#This Row],[Our panel]]</f>
        <v>0</v>
      </c>
      <c r="I33" s="13">
        <f>Table3334567891012[[#This Row],[MTD Company]]-Table3334567891012[[#This Row],[MTD Panel]]</f>
        <v>0</v>
      </c>
    </row>
    <row r="34" spans="1:9">
      <c r="A34" s="11" t="str">
        <f>Table333456789101217[[#This Row],[Carrier]]</f>
        <v>Haze</v>
      </c>
      <c r="B34" s="5" t="str">
        <f>Table333456789101217[[#This Row],[IP]]</f>
        <v>230.111.44.56</v>
      </c>
      <c r="C34" s="6" t="str">
        <f>Table333456789101217[[#This Row],[Carrier Code]]</f>
        <v>HZ</v>
      </c>
      <c r="D34" s="53">
        <v>0.56666666666666665</v>
      </c>
      <c r="E34" s="53">
        <v>0.56666666666666665</v>
      </c>
      <c r="F34" s="18">
        <f>Table3334567891012[[#This Row],[Company Panel]]+Table33345678910[[#This Row],[MTD Company]]</f>
        <v>0.56666666666666665</v>
      </c>
      <c r="G34" s="18">
        <f>Table3334567891012[[#This Row],[Our panel]]+Table33345678910[[#This Row],[MTD Panel]]</f>
        <v>0.56666666666666665</v>
      </c>
      <c r="H34" s="13">
        <f>Table3334567891012[[#This Row],[Company Panel]]-Table3334567891012[[#This Row],[Our panel]]</f>
        <v>0</v>
      </c>
      <c r="I34" s="13">
        <f>Table3334567891012[[#This Row],[MTD Company]]-Table3334567891012[[#This Row],[MTD Panel]]</f>
        <v>0</v>
      </c>
    </row>
    <row r="35" spans="1:9">
      <c r="A35" s="11" t="str">
        <f>Table333456789101217[[#This Row],[Carrier]]</f>
        <v>Vault</v>
      </c>
      <c r="B35" s="5" t="str">
        <f>Table333456789101217[[#This Row],[IP]]</f>
        <v>213.189.94.5/213.189.94.7/111.180.64.222</v>
      </c>
      <c r="C35" s="6" t="str">
        <f>Table333456789101217[[#This Row],[Carrier Code]]</f>
        <v>VA</v>
      </c>
      <c r="D35" s="53">
        <v>0</v>
      </c>
      <c r="E35" s="53">
        <v>0</v>
      </c>
      <c r="F35" s="18">
        <f>Table3334567891012[[#This Row],[Company Panel]]+Table33345678910[[#This Row],[MTD Company]]</f>
        <v>0</v>
      </c>
      <c r="G35" s="18">
        <f>Table3334567891012[[#This Row],[Our panel]]+Table33345678910[[#This Row],[MTD Panel]]</f>
        <v>0</v>
      </c>
      <c r="H35" s="13">
        <f>Table3334567891012[[#This Row],[Company Panel]]-Table3334567891012[[#This Row],[Our panel]]</f>
        <v>0</v>
      </c>
      <c r="I35" s="13">
        <f>Table3334567891012[[#This Row],[MTD Company]]-Table3334567891012[[#This Row],[MTD Panel]]</f>
        <v>0</v>
      </c>
    </row>
    <row r="36" spans="1:9">
      <c r="A36" s="11" t="str">
        <f>Table333456789101217[[#This Row],[Carrier]]</f>
        <v>Scatter</v>
      </c>
      <c r="B36" s="5" t="str">
        <f>Table333456789101217[[#This Row],[IP]]</f>
        <v>14.123.45.67/168.251.90.15</v>
      </c>
      <c r="C36" s="6" t="str">
        <f>Table333456789101217[[#This Row],[Carrier Code]]</f>
        <v>SC</v>
      </c>
      <c r="D36" s="53">
        <v>101.65</v>
      </c>
      <c r="E36" s="53">
        <v>101.65</v>
      </c>
      <c r="F36" s="18">
        <f>Table3334567891012[[#This Row],[Company Panel]]+Table33345678910[[#This Row],[MTD Company]]</f>
        <v>302.2833333333333</v>
      </c>
      <c r="G36" s="18">
        <f>Table3334567891012[[#This Row],[Our panel]]+Table33345678910[[#This Row],[MTD Panel]]</f>
        <v>302.2833333333333</v>
      </c>
      <c r="H36" s="13">
        <f>Table3334567891012[[#This Row],[Company Panel]]-Table3334567891012[[#This Row],[Our panel]]</f>
        <v>0</v>
      </c>
      <c r="I36" s="13">
        <f>Table3334567891012[[#This Row],[MTD Company]]-Table3334567891012[[#This Row],[MTD Panel]]</f>
        <v>0</v>
      </c>
    </row>
    <row r="37" spans="1:9">
      <c r="A37" s="11" t="str">
        <f>Table333456789101217[[#This Row],[Carrier]]</f>
        <v>Hammer</v>
      </c>
      <c r="B37" s="5" t="str">
        <f>Table333456789101217[[#This Row],[IP]]</f>
        <v>200.111.78.9/200.111.236.62/200.111.823.89/137.79.48.56</v>
      </c>
      <c r="C37" s="6" t="str">
        <f>Table333456789101217[[#This Row],[Carrier Code]]</f>
        <v>HA</v>
      </c>
      <c r="D37" s="53">
        <v>0</v>
      </c>
      <c r="E37" s="53">
        <v>0</v>
      </c>
      <c r="F37" s="18">
        <f>Table3334567891012[[#This Row],[Company Panel]]+Table33345678910[[#This Row],[MTD Company]]</f>
        <v>0</v>
      </c>
      <c r="G37" s="18">
        <f>Table3334567891012[[#This Row],[Our panel]]+Table33345678910[[#This Row],[MTD Panel]]</f>
        <v>0</v>
      </c>
      <c r="H37" s="72">
        <f>Table3334567891012[[#This Row],[Company Panel]]-Table3334567891012[[#This Row],[Our panel]]</f>
        <v>0</v>
      </c>
      <c r="I37" s="72">
        <f>Table3334567891012[[#This Row],[MTD Company]]-Table3334567891012[[#This Row],[MTD Panel]]</f>
        <v>0</v>
      </c>
    </row>
    <row r="38" spans="1:9">
      <c r="A38" s="11" t="str">
        <f>Table333456789101217[[#This Row],[Carrier]]</f>
        <v>Smudge</v>
      </c>
      <c r="B38" s="5" t="str">
        <f>Table333456789101217[[#This Row],[IP]]</f>
        <v>88.99.233.56/54.71.99.234</v>
      </c>
      <c r="C38" s="6" t="str">
        <f>Table333456789101217[[#This Row],[Carrier Code]]</f>
        <v>SM</v>
      </c>
      <c r="D38" s="53">
        <v>24.183333333333334</v>
      </c>
      <c r="E38" s="53">
        <v>24.183333333333334</v>
      </c>
      <c r="F38" s="18">
        <f>Table3334567891012[[#This Row],[Company Panel]]+Table33345678910[[#This Row],[MTD Company]]</f>
        <v>125.5</v>
      </c>
      <c r="G38" s="18">
        <f>Table3334567891012[[#This Row],[Our panel]]+Table33345678910[[#This Row],[MTD Panel]]</f>
        <v>125.5</v>
      </c>
      <c r="H38" s="72">
        <f>Table3334567891012[[#This Row],[Company Panel]]-Table3334567891012[[#This Row],[Our panel]]</f>
        <v>0</v>
      </c>
      <c r="I38" s="72">
        <f>Table3334567891012[[#This Row],[MTD Company]]-Table3334567891012[[#This Row],[MTD Panel]]</f>
        <v>0</v>
      </c>
    </row>
    <row r="39" spans="1:9">
      <c r="A39" s="11" t="str">
        <f>Table333456789101217[[#This Row],[Carrier]]</f>
        <v>Quirk</v>
      </c>
      <c r="B39" s="5" t="str">
        <f>Table333456789101217[[#This Row],[IP]]</f>
        <v>62.45.100.31/62.45.100.15/62.45.100.65/211.95.102.6</v>
      </c>
      <c r="C39" s="6" t="str">
        <f>Table333456789101217[[#This Row],[Carrier Code]]</f>
        <v>QU</v>
      </c>
      <c r="D39" s="53">
        <v>969.45</v>
      </c>
      <c r="E39" s="53">
        <v>969.45</v>
      </c>
      <c r="F39" s="18">
        <f>Table3334567891012[[#This Row],[Company Panel]]+Table33345678910[[#This Row],[MTD Company]]</f>
        <v>18664.033333333333</v>
      </c>
      <c r="G39" s="18">
        <f>Table3334567891012[[#This Row],[Our panel]]+Table33345678910[[#This Row],[MTD Panel]]</f>
        <v>18664.033333333333</v>
      </c>
      <c r="H39" s="13">
        <f>Table3334567891012[[#This Row],[Company Panel]]-Table3334567891012[[#This Row],[Our panel]]</f>
        <v>0</v>
      </c>
      <c r="I39" s="13">
        <f>Table3334567891012[[#This Row],[MTD Company]]-Table3334567891012[[#This Row],[MTD Panel]]</f>
        <v>0</v>
      </c>
    </row>
    <row r="40" spans="1:9">
      <c r="A40" s="11" t="str">
        <f>Table333456789101217[[#This Row],[Carrier]]</f>
        <v>Vortex</v>
      </c>
      <c r="B40" s="5" t="str">
        <f>Table333456789101217[[#This Row],[IP]]</f>
        <v>179.250.91.8/29.540.67.457/94.25.34.78/183.144.27.18</v>
      </c>
      <c r="C40" s="6" t="str">
        <f>Table333456789101217[[#This Row],[Carrier Code]]</f>
        <v>VT</v>
      </c>
      <c r="D40" s="53">
        <v>0</v>
      </c>
      <c r="E40" s="53">
        <v>0</v>
      </c>
      <c r="F40" s="18">
        <f>Table3334567891012[[#This Row],[Company Panel]]+Table33345678910[[#This Row],[MTD Company]]</f>
        <v>0</v>
      </c>
      <c r="G40" s="18">
        <f>Table3334567891012[[#This Row],[Our panel]]+Table33345678910[[#This Row],[MTD Panel]]</f>
        <v>0</v>
      </c>
      <c r="H40" s="72">
        <f>Table3334567891012[[#This Row],[Company Panel]]-Table3334567891012[[#This Row],[Our panel]]</f>
        <v>0</v>
      </c>
      <c r="I40" s="72">
        <f>Table3334567891012[[#This Row],[MTD Company]]-Table3334567891012[[#This Row],[MTD Panel]]</f>
        <v>0</v>
      </c>
    </row>
    <row r="41" spans="1:9">
      <c r="A41" s="11" t="str">
        <f>Table333456789101217[[#This Row],[Carrier]]</f>
        <v>Void</v>
      </c>
      <c r="B41" s="5" t="str">
        <f>Table333456789101217[[#This Row],[IP]]</f>
        <v>156.34.123.11/156.34.123.25/156.34.123.62/92.44.233.110</v>
      </c>
      <c r="C41" s="6" t="str">
        <f>Table333456789101217[[#This Row],[Carrier Code]]</f>
        <v>VO</v>
      </c>
      <c r="D41" s="53">
        <v>40.533333333333331</v>
      </c>
      <c r="E41" s="53">
        <v>40.533333333333331</v>
      </c>
      <c r="F41" s="18">
        <f>Table3334567891012[[#This Row],[Company Panel]]+Table33345678910[[#This Row],[MTD Company]]</f>
        <v>538.5333333333333</v>
      </c>
      <c r="G41" s="18">
        <f>Table3334567891012[[#This Row],[Our panel]]+Table33345678910[[#This Row],[MTD Panel]]</f>
        <v>538.5333333333333</v>
      </c>
      <c r="H41" s="13">
        <f>Table3334567891012[[#This Row],[Company Panel]]-Table3334567891012[[#This Row],[Our panel]]</f>
        <v>0</v>
      </c>
      <c r="I41" s="13">
        <f>Table3334567891012[[#This Row],[MTD Company]]-Table3334567891012[[#This Row],[MTD Panel]]</f>
        <v>0</v>
      </c>
    </row>
    <row r="42" spans="1:9">
      <c r="A42" s="11" t="str">
        <f>Table333456789101217[[#This Row],[Carrier]]</f>
        <v>Midnight</v>
      </c>
      <c r="B42" s="5" t="str">
        <f>Table333456789101217[[#This Row],[IP]]</f>
        <v>134.77.22.4/23.97.150.8</v>
      </c>
      <c r="C42" s="6" t="str">
        <f>Table333456789101217[[#This Row],[Carrier Code]]</f>
        <v>MI</v>
      </c>
      <c r="D42" s="53">
        <v>209.06666666666666</v>
      </c>
      <c r="E42" s="53">
        <v>209.06666666666666</v>
      </c>
      <c r="F42" s="18">
        <f>Table3334567891012[[#This Row],[Company Panel]]+Table33345678910[[#This Row],[MTD Company]]</f>
        <v>1215.1166666666666</v>
      </c>
      <c r="G42" s="18">
        <f>Table3334567891012[[#This Row],[Our panel]]+Table33345678910[[#This Row],[MTD Panel]]</f>
        <v>1215.1166666666666</v>
      </c>
      <c r="H42" s="72">
        <f>Table3334567891012[[#This Row],[Company Panel]]-Table3334567891012[[#This Row],[Our panel]]</f>
        <v>0</v>
      </c>
      <c r="I42" s="72">
        <f>Table3334567891012[[#This Row],[MTD Company]]-Table3334567891012[[#This Row],[MTD Panel]]</f>
        <v>0</v>
      </c>
    </row>
    <row r="43" spans="1:9">
      <c r="A43" s="11" t="str">
        <f>Table333456789101217[[#This Row],[Carrier]]</f>
        <v>Autumn</v>
      </c>
      <c r="B43" s="5" t="str">
        <f>Table333456789101217[[#This Row],[IP]]</f>
        <v>202.54.210.88/12.331.94.73/64.19.28.175</v>
      </c>
      <c r="C43" s="6" t="str">
        <f>Table333456789101217[[#This Row],[Carrier Code]]</f>
        <v>AU</v>
      </c>
      <c r="D43" s="53">
        <v>57.55</v>
      </c>
      <c r="E43" s="53">
        <v>57.55</v>
      </c>
      <c r="F43" s="18">
        <f>Table3334567891012[[#This Row],[Company Panel]]+Table33345678910[[#This Row],[MTD Company]]</f>
        <v>135.38333333333333</v>
      </c>
      <c r="G43" s="18">
        <f>Table3334567891012[[#This Row],[Our panel]]+Table33345678910[[#This Row],[MTD Panel]]</f>
        <v>135.38333333333333</v>
      </c>
      <c r="H43" s="72">
        <f>Table3334567891012[[#This Row],[Company Panel]]-Table3334567891012[[#This Row],[Our panel]]</f>
        <v>0</v>
      </c>
      <c r="I43" s="72">
        <f>Table3334567891012[[#This Row],[MTD Company]]-Table3334567891012[[#This Row],[MTD Panel]]</f>
        <v>0</v>
      </c>
    </row>
    <row r="44" spans="1:9">
      <c r="A44" s="11" t="str">
        <f>Table333456789101217[[#This Row],[Carrier]]</f>
        <v>Mystic</v>
      </c>
      <c r="B44" s="5" t="str">
        <f>Table333456789101217[[#This Row],[IP]]</f>
        <v>51.233.21.76/82.115.35.60/82.115.35.85</v>
      </c>
      <c r="C44" s="6" t="str">
        <f>Table333456789101217[[#This Row],[Carrier Code]]</f>
        <v>MY</v>
      </c>
      <c r="D44" s="53">
        <v>0</v>
      </c>
      <c r="E44" s="53">
        <v>0</v>
      </c>
      <c r="F44" s="18">
        <f>Table3334567891012[[#This Row],[Company Panel]]+Table33345678910[[#This Row],[MTD Company]]</f>
        <v>0</v>
      </c>
      <c r="G44" s="18">
        <f>Table3334567891012[[#This Row],[Our panel]]+Table33345678910[[#This Row],[MTD Panel]]</f>
        <v>0</v>
      </c>
      <c r="H44" s="72">
        <f>Table3334567891012[[#This Row],[Company Panel]]-Table3334567891012[[#This Row],[Our panel]]</f>
        <v>0</v>
      </c>
      <c r="I44" s="72">
        <f>Table3334567891012[[#This Row],[MTD Company]]-Table3334567891012[[#This Row],[MTD Panel]]</f>
        <v>0</v>
      </c>
    </row>
    <row r="45" spans="1:9">
      <c r="A45" s="11" t="str">
        <f>Table333456789101217[[#This Row],[Carrier]]</f>
        <v>Clover</v>
      </c>
      <c r="B45" s="5" t="str">
        <f>Table333456789101217[[#This Row],[IP]]</f>
        <v>210.150.12.45/84.50.212.66/135.113.88.9</v>
      </c>
      <c r="C45" s="6" t="str">
        <f>Table333456789101217[[#This Row],[Carrier Code]]</f>
        <v>CO</v>
      </c>
      <c r="D45" s="53">
        <v>146.9</v>
      </c>
      <c r="E45" s="53">
        <v>146.9</v>
      </c>
      <c r="F45" s="18">
        <f>Table3334567891012[[#This Row],[Company Panel]]+Table33345678910[[#This Row],[MTD Company]]</f>
        <v>33590.166666666672</v>
      </c>
      <c r="G45" s="18">
        <f>Table3334567891012[[#This Row],[Our panel]]+Table33345678910[[#This Row],[MTD Panel]]</f>
        <v>33590.166666666672</v>
      </c>
      <c r="H45" s="78">
        <f>Table3334567891012[[#This Row],[Company Panel]]-Table3334567891012[[#This Row],[Our panel]]</f>
        <v>0</v>
      </c>
      <c r="I45" s="78">
        <f>Table3334567891012[[#This Row],[MTD Company]]-Table3334567891012[[#This Row],[MTD Panel]]</f>
        <v>0</v>
      </c>
    </row>
    <row r="46" spans="1:9">
      <c r="A46" s="11" t="str">
        <f>Table333456789101217[[#This Row],[Carrier]]</f>
        <v>Hunter</v>
      </c>
      <c r="B46" s="5" t="str">
        <f>Table333456789101217[[#This Row],[IP]]</f>
        <v>170.199.20.87/13.693.39.280/78.30.123.47</v>
      </c>
      <c r="C46" s="6" t="str">
        <f>Table333456789101217[[#This Row],[Carrier Code]]</f>
        <v>HU</v>
      </c>
      <c r="D46" s="53">
        <v>367.65</v>
      </c>
      <c r="E46" s="53">
        <v>367.65</v>
      </c>
      <c r="F46" s="18">
        <f>Table3334567891012[[#This Row],[Company Panel]]+Table33345678910[[#This Row],[MTD Company]]</f>
        <v>3531.3666666666668</v>
      </c>
      <c r="G46" s="18">
        <f>Table3334567891012[[#This Row],[Our panel]]+Table33345678910[[#This Row],[MTD Panel]]</f>
        <v>3531.3666666666668</v>
      </c>
      <c r="H46" s="13">
        <f>Table3334567891012[[#This Row],[Company Panel]]-Table3334567891012[[#This Row],[Our panel]]</f>
        <v>0</v>
      </c>
      <c r="I46" s="13">
        <f>Table3334567891012[[#This Row],[MTD Company]]-Table3334567891012[[#This Row],[MTD Panel]]</f>
        <v>0</v>
      </c>
    </row>
    <row r="47" spans="1:9">
      <c r="A47" s="11" t="str">
        <f>Table333456789101217[[#This Row],[Carrier]]</f>
        <v>Invaded</v>
      </c>
      <c r="B47" s="73" t="str">
        <f>Table333456789101217[[#This Row],[IP]]</f>
        <v>182.67.99.120/80.518.230.410/26.847.95.107/188.12.67.92</v>
      </c>
      <c r="C47" s="54" t="str">
        <f>Table333456789101217[[#This Row],[Carrier Code]]</f>
        <v>ID</v>
      </c>
      <c r="D47" s="7">
        <v>0</v>
      </c>
      <c r="E47" s="7">
        <v>0</v>
      </c>
      <c r="F47" s="18">
        <f>Table3334567891012[[#This Row],[Company Panel]]+Table33345678910[[#This Row],[MTD Company]]</f>
        <v>0</v>
      </c>
      <c r="G47" s="18">
        <f>Table3334567891012[[#This Row],[Our panel]]+Table33345678910[[#This Row],[MTD Panel]]</f>
        <v>0</v>
      </c>
      <c r="H47" s="13">
        <f>Table3334567891012[[#This Row],[Company Panel]]-Table3334567891012[[#This Row],[Our panel]]</f>
        <v>0</v>
      </c>
      <c r="I47" s="13">
        <f>Table3334567891012[[#This Row],[MTD Company]]-Table3334567891012[[#This Row],[MTD Panel]]</f>
        <v>0</v>
      </c>
    </row>
    <row r="48" spans="1:9">
      <c r="A48" s="11" t="str">
        <f>Table333456789101217[[#This Row],[Carrier]]</f>
        <v>Delusion</v>
      </c>
      <c r="B48" s="73" t="str">
        <f>Table333456789101217[[#This Row],[IP]]</f>
        <v>198.51.100.72/69.887.74.738/39.153.110.645</v>
      </c>
      <c r="C48" s="54" t="str">
        <f>Table333456789101217[[#This Row],[Carrier Code]]</f>
        <v>DU</v>
      </c>
      <c r="D48" s="7">
        <v>0</v>
      </c>
      <c r="E48" s="7">
        <v>0</v>
      </c>
      <c r="F48" s="18">
        <f>Table3334567891012[[#This Row],[Company Panel]]+Table33345678910[[#This Row],[MTD Company]]</f>
        <v>0</v>
      </c>
      <c r="G48" s="18">
        <f>Table3334567891012[[#This Row],[Our panel]]+Table33345678910[[#This Row],[MTD Panel]]</f>
        <v>0</v>
      </c>
      <c r="H48" s="13">
        <f>Table3334567891012[[#This Row],[Company Panel]]-Table3334567891012[[#This Row],[Our panel]]</f>
        <v>0</v>
      </c>
      <c r="I48" s="13">
        <f>Table3334567891012[[#This Row],[MTD Company]]-Table3334567891012[[#This Row],[MTD Panel]]</f>
        <v>0</v>
      </c>
    </row>
    <row r="49" spans="1:9" ht="15.5">
      <c r="A49" s="11" t="s">
        <v>29</v>
      </c>
      <c r="B49" s="14"/>
      <c r="C49" s="15"/>
      <c r="D49" s="16">
        <f>SUM(D3:D48)</f>
        <v>11771.166666666666</v>
      </c>
      <c r="E49" s="16">
        <f t="shared" ref="E49:I49" si="0">SUM(E3:E48)</f>
        <v>11771.166666666666</v>
      </c>
      <c r="F49" s="16">
        <f t="shared" si="0"/>
        <v>111251.46666666667</v>
      </c>
      <c r="G49" s="16">
        <f t="shared" si="0"/>
        <v>111251.46666666667</v>
      </c>
      <c r="H49" s="16">
        <f t="shared" si="0"/>
        <v>0</v>
      </c>
      <c r="I49" s="16">
        <f t="shared" si="0"/>
        <v>0</v>
      </c>
    </row>
    <row r="52" spans="1:9">
      <c r="G52" s="9"/>
    </row>
  </sheetData>
  <conditionalFormatting sqref="H2:I48">
    <cfRule type="cellIs" dxfId="402" priority="13" operator="lessThan">
      <formula>0</formula>
    </cfRule>
  </conditionalFormatting>
  <conditionalFormatting sqref="I30:I48">
    <cfRule type="cellIs" dxfId="401" priority="12" operator="lessThan">
      <formula>0</formula>
    </cfRule>
  </conditionalFormatting>
  <conditionalFormatting sqref="H3:I48">
    <cfRule type="cellIs" dxfId="400" priority="11" operator="lessThan">
      <formula>0</formula>
    </cfRule>
  </conditionalFormatting>
  <conditionalFormatting sqref="I30:I48">
    <cfRule type="cellIs" dxfId="399" priority="10" operator="lessThan">
      <formula>0</formula>
    </cfRule>
  </conditionalFormatting>
  <conditionalFormatting sqref="I3:I48">
    <cfRule type="cellIs" dxfId="398" priority="1" operator="lessThan">
      <formula>0</formula>
    </cfRule>
    <cfRule type="cellIs" dxfId="397" priority="2" operator="lessThan">
      <formula>0</formula>
    </cfRule>
  </conditionalFormatting>
  <hyperlinks>
    <hyperlink ref="E1" location="H!A1" display="Home"/>
    <hyperlink ref="D1" location="'9'!D1" display="←"/>
    <hyperlink ref="F1" location="'11'!F1" display="→"/>
  </hyperlinks>
  <pageMargins left="0.7" right="0.7" top="0.75" bottom="0.75" header="0.3" footer="0.3"/>
  <pageSetup orientation="portrait" r:id="rId1"/>
  <ignoredErrors>
    <ignoredError sqref="E3:E48" calculatedColumn="1"/>
  </ignoredErrors>
  <drawing r:id="rId2"/>
  <tableParts count="1">
    <tablePart r:id="rId3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"/>
  <sheetViews>
    <sheetView workbookViewId="0">
      <selection activeCell="D3" sqref="D3"/>
    </sheetView>
  </sheetViews>
  <sheetFormatPr defaultRowHeight="14.5"/>
  <cols>
    <col min="1" max="1" width="26.7265625" bestFit="1" customWidth="1"/>
    <col min="2" max="2" width="37" bestFit="1" customWidth="1"/>
    <col min="3" max="3" width="10.453125" customWidth="1"/>
    <col min="4" max="9" width="12.7265625" customWidth="1"/>
    <col min="11" max="11" width="10" bestFit="1" customWidth="1"/>
  </cols>
  <sheetData>
    <row r="1" spans="1:12" ht="18.5">
      <c r="A1" s="23" t="str">
        <f>H!A12</f>
        <v>11th April 2025</v>
      </c>
      <c r="B1" s="24"/>
      <c r="C1" s="24"/>
      <c r="D1" s="22" t="s">
        <v>16</v>
      </c>
      <c r="E1" s="22" t="s">
        <v>9</v>
      </c>
      <c r="F1" s="22" t="s">
        <v>17</v>
      </c>
    </row>
    <row r="2" spans="1:12" ht="31">
      <c r="A2" s="1" t="s">
        <v>0</v>
      </c>
      <c r="B2" s="2" t="s">
        <v>1</v>
      </c>
      <c r="C2" s="2" t="s">
        <v>2</v>
      </c>
      <c r="D2" s="2" t="s">
        <v>3</v>
      </c>
      <c r="E2" s="2" t="s">
        <v>11</v>
      </c>
      <c r="F2" s="2" t="s">
        <v>4</v>
      </c>
      <c r="G2" s="4" t="s">
        <v>6</v>
      </c>
      <c r="H2" s="4" t="s">
        <v>7</v>
      </c>
      <c r="I2" s="3" t="s">
        <v>8</v>
      </c>
    </row>
    <row r="3" spans="1:12">
      <c r="A3" s="11" t="str">
        <f>Table333456789101217[[#This Row],[Carrier]]</f>
        <v>Blaze</v>
      </c>
      <c r="B3" s="5" t="str">
        <f>Table333456789101217[[#This Row],[IP]]</f>
        <v>8.12.34.56/48.163.17.845/60.502.86.203/191.45.28.14</v>
      </c>
      <c r="C3" s="6" t="str">
        <f>Table333456789101217[[#This Row],[Carrier Code]]</f>
        <v>BZ</v>
      </c>
      <c r="D3" s="53">
        <v>0</v>
      </c>
      <c r="E3" s="53">
        <v>0</v>
      </c>
      <c r="F3" s="18">
        <f>Table333456789101211[[#This Row],[Company Panel]]+Table3334567891012[[#This Row],[MTD Company]]</f>
        <v>0</v>
      </c>
      <c r="G3" s="18">
        <f>Table333456789101211[[#This Row],[Our panel]]+Table3334567891012[[#This Row],[MTD Panel]]</f>
        <v>0</v>
      </c>
      <c r="H3" s="13">
        <f>Table333456789101211[[#This Row],[Company Panel]]-Table333456789101211[[#This Row],[Our panel]]</f>
        <v>0</v>
      </c>
      <c r="I3" s="13">
        <f>Table333456789101211[[#This Row],[MTD Company]]-Table333456789101211[[#This Row],[MTD Panel]]</f>
        <v>0</v>
      </c>
    </row>
    <row r="4" spans="1:12">
      <c r="A4" s="11" t="str">
        <f>Table333456789101217[[#This Row],[Carrier]]</f>
        <v>Titan</v>
      </c>
      <c r="B4" s="5" t="str">
        <f>Table333456789101217[[#This Row],[IP]]</f>
        <v>123.45.67.89/123.45.67.93/203.24.101.65</v>
      </c>
      <c r="C4" s="6" t="str">
        <f>Table333456789101217[[#This Row],[Carrier Code]]</f>
        <v>TI</v>
      </c>
      <c r="D4" s="53">
        <v>18.149999999999999</v>
      </c>
      <c r="E4" s="53">
        <v>18.149999999999999</v>
      </c>
      <c r="F4" s="18">
        <f>Table333456789101211[[#This Row],[Company Panel]]+Table3334567891012[[#This Row],[MTD Company]]</f>
        <v>311.48333333333329</v>
      </c>
      <c r="G4" s="18">
        <f>Table333456789101211[[#This Row],[Our panel]]+Table3334567891012[[#This Row],[MTD Panel]]</f>
        <v>311.48333333333329</v>
      </c>
      <c r="H4" s="13">
        <f>Table333456789101211[[#This Row],[Company Panel]]-Table333456789101211[[#This Row],[Our panel]]</f>
        <v>0</v>
      </c>
      <c r="I4" s="13">
        <f>Table333456789101211[[#This Row],[MTD Company]]-Table333456789101211[[#This Row],[MTD Panel]]</f>
        <v>0</v>
      </c>
      <c r="L4" s="9"/>
    </row>
    <row r="5" spans="1:12">
      <c r="A5" s="11" t="str">
        <f>Table333456789101217[[#This Row],[Carrier]]</f>
        <v>Hollow</v>
      </c>
      <c r="B5" s="5" t="str">
        <f>Table333456789101217[[#This Row],[IP]]</f>
        <v>204.56.78.100/204.56.57.169/52.94.101.12</v>
      </c>
      <c r="C5" s="6" t="str">
        <f>Table333456789101217[[#This Row],[Carrier Code]]</f>
        <v>HO</v>
      </c>
      <c r="D5" s="53">
        <v>0</v>
      </c>
      <c r="E5" s="53">
        <v>0</v>
      </c>
      <c r="F5" s="18">
        <f>Table333456789101211[[#This Row],[Company Panel]]+Table3334567891012[[#This Row],[MTD Company]]</f>
        <v>0</v>
      </c>
      <c r="G5" s="18">
        <f>Table333456789101211[[#This Row],[Our panel]]+Table3334567891012[[#This Row],[MTD Panel]]</f>
        <v>0</v>
      </c>
      <c r="H5" s="13">
        <f>Table333456789101211[[#This Row],[Company Panel]]-Table333456789101211[[#This Row],[Our panel]]</f>
        <v>0</v>
      </c>
      <c r="I5" s="13">
        <f>Table333456789101211[[#This Row],[MTD Company]]-Table333456789101211[[#This Row],[MTD Panel]]</f>
        <v>0</v>
      </c>
    </row>
    <row r="6" spans="1:12">
      <c r="A6" s="11" t="str">
        <f>Table333456789101217[[#This Row],[Carrier]]</f>
        <v>Prism</v>
      </c>
      <c r="B6" s="5" t="str">
        <f>Table333456789101217[[#This Row],[IP]]</f>
        <v>35.118.22.45/137.63.112.25</v>
      </c>
      <c r="C6" s="6" t="str">
        <f>Table333456789101217[[#This Row],[Carrier Code]]</f>
        <v>PS</v>
      </c>
      <c r="D6" s="53">
        <v>12965.3</v>
      </c>
      <c r="E6" s="53">
        <v>12965.3</v>
      </c>
      <c r="F6" s="18">
        <f>Table333456789101211[[#This Row],[Company Panel]]+Table3334567891012[[#This Row],[MTD Company]]</f>
        <v>55280.783333333326</v>
      </c>
      <c r="G6" s="18">
        <f>Table333456789101211[[#This Row],[Our panel]]+Table3334567891012[[#This Row],[MTD Panel]]</f>
        <v>55280.783333333326</v>
      </c>
      <c r="H6" s="13">
        <f>Table333456789101211[[#This Row],[Company Panel]]-Table333456789101211[[#This Row],[Our panel]]</f>
        <v>0</v>
      </c>
      <c r="I6" s="13">
        <f>Table333456789101211[[#This Row],[MTD Company]]-Table333456789101211[[#This Row],[MTD Panel]]</f>
        <v>0</v>
      </c>
    </row>
    <row r="7" spans="1:12">
      <c r="A7" s="11" t="str">
        <f>Table333456789101217[[#This Row],[Carrier]]</f>
        <v>Echo</v>
      </c>
      <c r="B7" s="5" t="str">
        <f>Table333456789101217[[#This Row],[IP]]</f>
        <v>66.89.101.10/66.89.101.19/66.89.101.23/66.89.101.45/66.89.101.81/85.21.34.99</v>
      </c>
      <c r="C7" s="6" t="str">
        <f>Table333456789101217[[#This Row],[Carrier Code]]</f>
        <v>EC</v>
      </c>
      <c r="D7" s="53">
        <v>2.1833333333333331</v>
      </c>
      <c r="E7" s="53">
        <v>2.1833333333333331</v>
      </c>
      <c r="F7" s="18">
        <f>Table333456789101211[[#This Row],[Company Panel]]+Table3334567891012[[#This Row],[MTD Company]]</f>
        <v>24.933333333333334</v>
      </c>
      <c r="G7" s="18">
        <f>Table333456789101211[[#This Row],[Our panel]]+Table3334567891012[[#This Row],[MTD Panel]]</f>
        <v>24.933333333333334</v>
      </c>
      <c r="H7" s="13">
        <f>Table333456789101211[[#This Row],[Company Panel]]-Table333456789101211[[#This Row],[Our panel]]</f>
        <v>0</v>
      </c>
      <c r="I7" s="13">
        <f>Table333456789101211[[#This Row],[MTD Company]]-Table333456789101211[[#This Row],[MTD Panel]]</f>
        <v>0</v>
      </c>
    </row>
    <row r="8" spans="1:12">
      <c r="A8" s="11" t="str">
        <f>Table333456789101217[[#This Row],[Carrier]]</f>
        <v>Strike</v>
      </c>
      <c r="B8" s="5" t="str">
        <f>Table333456789101217[[#This Row],[IP]]</f>
        <v>100.200.150.3/100.200.165.38/41.102.90.78</v>
      </c>
      <c r="C8" s="6" t="str">
        <f>Table333456789101217[[#This Row],[Carrier Code]]</f>
        <v>ST</v>
      </c>
      <c r="D8" s="53">
        <v>161.13333333333333</v>
      </c>
      <c r="E8" s="53">
        <v>161.13333333333333</v>
      </c>
      <c r="F8" s="18">
        <f>Table333456789101211[[#This Row],[Company Panel]]+Table3334567891012[[#This Row],[MTD Company]]</f>
        <v>1248.3666666666663</v>
      </c>
      <c r="G8" s="18">
        <f>Table333456789101211[[#This Row],[Our panel]]+Table3334567891012[[#This Row],[MTD Panel]]</f>
        <v>1248.3666666666663</v>
      </c>
      <c r="H8" s="13">
        <f>Table333456789101211[[#This Row],[Company Panel]]-Table333456789101211[[#This Row],[Our panel]]</f>
        <v>0</v>
      </c>
      <c r="I8" s="13">
        <f>Table333456789101211[[#This Row],[MTD Company]]-Table333456789101211[[#This Row],[MTD Panel]]</f>
        <v>0</v>
      </c>
      <c r="L8" s="9"/>
    </row>
    <row r="9" spans="1:12">
      <c r="A9" s="11" t="str">
        <f>Table333456789101217[[#This Row],[Carrier]]</f>
        <v>Blunt</v>
      </c>
      <c r="B9" s="5" t="str">
        <f>Table333456789101217[[#This Row],[IP]]</f>
        <v>52.28.191.25/52.28.191.38/52.28.191.24/61.110.23.45</v>
      </c>
      <c r="C9" s="6" t="str">
        <f>Table333456789101217[[#This Row],[Carrier Code]]</f>
        <v>BL</v>
      </c>
      <c r="D9" s="53">
        <v>243.01666666666668</v>
      </c>
      <c r="E9" s="53">
        <v>243.01666666666668</v>
      </c>
      <c r="F9" s="18">
        <f>Table333456789101211[[#This Row],[Company Panel]]+Table3334567891012[[#This Row],[MTD Company]]</f>
        <v>5791.7</v>
      </c>
      <c r="G9" s="18">
        <f>Table333456789101211[[#This Row],[Our panel]]+Table3334567891012[[#This Row],[MTD Panel]]</f>
        <v>5791.7</v>
      </c>
      <c r="H9" s="13">
        <f>Table333456789101211[[#This Row],[Company Panel]]-Table333456789101211[[#This Row],[Our panel]]</f>
        <v>0</v>
      </c>
      <c r="I9" s="13">
        <f>Table333456789101211[[#This Row],[MTD Company]]-Table333456789101211[[#This Row],[MTD Panel]]</f>
        <v>0</v>
      </c>
    </row>
    <row r="10" spans="1:12">
      <c r="A10" s="11" t="str">
        <f>Table333456789101217[[#This Row],[Carrier]]</f>
        <v>Law</v>
      </c>
      <c r="B10" s="5" t="str">
        <f>Table333456789101217[[#This Row],[IP]]</f>
        <v>77.88.99.21/77.88.99.88/77.88.99.94/110.56.211.7</v>
      </c>
      <c r="C10" s="6" t="str">
        <f>Table333456789101217[[#This Row],[Carrier Code]]</f>
        <v>LA</v>
      </c>
      <c r="D10" s="53">
        <v>0</v>
      </c>
      <c r="E10" s="53">
        <v>0</v>
      </c>
      <c r="F10" s="18">
        <f>Table333456789101211[[#This Row],[Company Panel]]+Table3334567891012[[#This Row],[MTD Company]]</f>
        <v>0</v>
      </c>
      <c r="G10" s="18">
        <f>Table333456789101211[[#This Row],[Our panel]]+Table3334567891012[[#This Row],[MTD Panel]]</f>
        <v>0</v>
      </c>
      <c r="H10" s="13">
        <f>Table333456789101211[[#This Row],[Company Panel]]-Table333456789101211[[#This Row],[Our panel]]</f>
        <v>0</v>
      </c>
      <c r="I10" s="13">
        <f>Table333456789101211[[#This Row],[MTD Company]]-Table333456789101211[[#This Row],[MTD Panel]]</f>
        <v>0</v>
      </c>
    </row>
    <row r="11" spans="1:12">
      <c r="A11" s="11" t="str">
        <f>Table333456789101217[[#This Row],[Carrier]]</f>
        <v>Pulse</v>
      </c>
      <c r="B11" s="5" t="str">
        <f>Table333456789101217[[#This Row],[IP]]</f>
        <v>198.51.100.130/31.725.16.608/66.59.61.503/167.34.122.90</v>
      </c>
      <c r="C11" s="6" t="str">
        <f>Table333456789101217[[#This Row],[Carrier Code]]</f>
        <v>PU</v>
      </c>
      <c r="D11" s="53">
        <v>0</v>
      </c>
      <c r="E11" s="53">
        <v>0</v>
      </c>
      <c r="F11" s="18">
        <f>Table333456789101211[[#This Row],[Company Panel]]+Table3334567891012[[#This Row],[MTD Company]]</f>
        <v>0</v>
      </c>
      <c r="G11" s="18">
        <f>Table333456789101211[[#This Row],[Our panel]]+Table3334567891012[[#This Row],[MTD Panel]]</f>
        <v>0</v>
      </c>
      <c r="H11" s="13">
        <f>Table333456789101211[[#This Row],[Company Panel]]-Table333456789101211[[#This Row],[Our panel]]</f>
        <v>0</v>
      </c>
      <c r="I11" s="13">
        <f>Table333456789101211[[#This Row],[MTD Company]]-Table333456789101211[[#This Row],[MTD Panel]]</f>
        <v>0</v>
      </c>
    </row>
    <row r="12" spans="1:12">
      <c r="A12" s="11" t="str">
        <f>Table333456789101217[[#This Row],[Carrier]]</f>
        <v>Phantom</v>
      </c>
      <c r="B12" s="5" t="str">
        <f>Table333456789101217[[#This Row],[IP]]</f>
        <v>141.15.210.67/141.15.42.82/179.62.211.4</v>
      </c>
      <c r="C12" s="6" t="str">
        <f>Table333456789101217[[#This Row],[Carrier Code]]</f>
        <v>PH</v>
      </c>
      <c r="D12" s="53">
        <v>4.2</v>
      </c>
      <c r="E12" s="53">
        <v>4.2</v>
      </c>
      <c r="F12" s="18">
        <f>Table333456789101211[[#This Row],[Company Panel]]+Table3334567891012[[#This Row],[MTD Company]]</f>
        <v>3278.0499999999993</v>
      </c>
      <c r="G12" s="18">
        <f>Table333456789101211[[#This Row],[Our panel]]+Table3334567891012[[#This Row],[MTD Panel]]</f>
        <v>3278.0499999999993</v>
      </c>
      <c r="H12" s="13">
        <f>Table333456789101211[[#This Row],[Company Panel]]-Table333456789101211[[#This Row],[Our panel]]</f>
        <v>0</v>
      </c>
      <c r="I12" s="13">
        <f>Table333456789101211[[#This Row],[MTD Company]]-Table333456789101211[[#This Row],[MTD Panel]]</f>
        <v>0</v>
      </c>
    </row>
    <row r="13" spans="1:12">
      <c r="A13" s="11" t="str">
        <f>Table333456789101217[[#This Row],[Carrier]]</f>
        <v>Dragon</v>
      </c>
      <c r="B13" s="5" t="str">
        <f>Table333456789101217[[#This Row],[IP]]</f>
        <v>12.34.56.78/12.34.56.128/200.180.245.18</v>
      </c>
      <c r="C13" s="6" t="str">
        <f>Table333456789101217[[#This Row],[Carrier Code]]</f>
        <v>DG</v>
      </c>
      <c r="D13" s="53">
        <v>0</v>
      </c>
      <c r="E13" s="53">
        <v>0</v>
      </c>
      <c r="F13" s="18">
        <f>Table333456789101211[[#This Row],[Company Panel]]+Table3334567891012[[#This Row],[MTD Company]]</f>
        <v>0</v>
      </c>
      <c r="G13" s="18">
        <f>Table333456789101211[[#This Row],[Our panel]]+Table3334567891012[[#This Row],[MTD Panel]]</f>
        <v>0</v>
      </c>
      <c r="H13" s="13">
        <f>Table333456789101211[[#This Row],[Company Panel]]-Table333456789101211[[#This Row],[Our panel]]</f>
        <v>0</v>
      </c>
      <c r="I13" s="13">
        <f>Table333456789101211[[#This Row],[MTD Company]]-Table333456789101211[[#This Row],[MTD Panel]]</f>
        <v>0</v>
      </c>
    </row>
    <row r="14" spans="1:12">
      <c r="A14" s="11" t="str">
        <f>Table333456789101217[[#This Row],[Carrier]]</f>
        <v>Tempest</v>
      </c>
      <c r="B14" s="5" t="str">
        <f>Table333456789101217[[#This Row],[IP]]</f>
        <v>59.144.223.88/55.39.99.60</v>
      </c>
      <c r="C14" s="6" t="str">
        <f>Table333456789101217[[#This Row],[Carrier Code]]</f>
        <v>TE</v>
      </c>
      <c r="D14" s="53">
        <v>0</v>
      </c>
      <c r="E14" s="53">
        <v>0</v>
      </c>
      <c r="F14" s="18">
        <f>Table333456789101211[[#This Row],[Company Panel]]+Table3334567891012[[#This Row],[MTD Company]]</f>
        <v>0</v>
      </c>
      <c r="G14" s="18">
        <f>Table333456789101211[[#This Row],[Our panel]]+Table3334567891012[[#This Row],[MTD Panel]]</f>
        <v>0</v>
      </c>
      <c r="H14" s="13">
        <f>Table333456789101211[[#This Row],[Company Panel]]-Table333456789101211[[#This Row],[Our panel]]</f>
        <v>0</v>
      </c>
      <c r="I14" s="13">
        <f>Table333456789101211[[#This Row],[MTD Company]]-Table333456789101211[[#This Row],[MTD Panel]]</f>
        <v>0</v>
      </c>
    </row>
    <row r="15" spans="1:12">
      <c r="A15" s="11" t="str">
        <f>Table333456789101217[[#This Row],[Carrier]]</f>
        <v>Shadow</v>
      </c>
      <c r="B15" s="5" t="str">
        <f>Table333456789101217[[#This Row],[IP]]</f>
        <v>175.45.112.100/25.851.31.153/39.80.220.100</v>
      </c>
      <c r="C15" s="6" t="str">
        <f>Table333456789101217[[#This Row],[Carrier Code]]</f>
        <v>SH</v>
      </c>
      <c r="D15" s="53">
        <v>0</v>
      </c>
      <c r="E15" s="53">
        <v>0</v>
      </c>
      <c r="F15" s="18">
        <f>Table333456789101211[[#This Row],[Company Panel]]+Table3334567891012[[#This Row],[MTD Company]]</f>
        <v>0</v>
      </c>
      <c r="G15" s="18">
        <f>Table333456789101211[[#This Row],[Our panel]]+Table3334567891012[[#This Row],[MTD Panel]]</f>
        <v>0</v>
      </c>
      <c r="H15" s="13">
        <f>Table333456789101211[[#This Row],[Company Panel]]-Table333456789101211[[#This Row],[Our panel]]</f>
        <v>0</v>
      </c>
      <c r="I15" s="13">
        <f>Table333456789101211[[#This Row],[MTD Company]]-Table333456789101211[[#This Row],[MTD Panel]]</f>
        <v>0</v>
      </c>
    </row>
    <row r="16" spans="1:12">
      <c r="A16" s="11" t="str">
        <f>Table333456789101217[[#This Row],[Carrier]]</f>
        <v>Cyclone</v>
      </c>
      <c r="B16" s="5" t="str">
        <f>Table333456789101217[[#This Row],[IP]]</f>
        <v>150.13.75.190/16.160.89.512/72.11.97.34</v>
      </c>
      <c r="C16" s="6" t="str">
        <f>Table333456789101217[[#This Row],[Carrier Code]]</f>
        <v>CY</v>
      </c>
      <c r="D16" s="53">
        <v>0</v>
      </c>
      <c r="E16" s="53">
        <v>0</v>
      </c>
      <c r="F16" s="18">
        <f>Table333456789101211[[#This Row],[Company Panel]]+Table3334567891012[[#This Row],[MTD Company]]</f>
        <v>0</v>
      </c>
      <c r="G16" s="18">
        <f>Table333456789101211[[#This Row],[Our panel]]+Table3334567891012[[#This Row],[MTD Panel]]</f>
        <v>0</v>
      </c>
      <c r="H16" s="13">
        <f>Table333456789101211[[#This Row],[Company Panel]]-Table333456789101211[[#This Row],[Our panel]]</f>
        <v>0</v>
      </c>
      <c r="I16" s="13">
        <f>Table333456789101211[[#This Row],[MTD Company]]-Table333456789101211[[#This Row],[MTD Panel]]</f>
        <v>0</v>
      </c>
    </row>
    <row r="17" spans="1:11">
      <c r="A17" s="11" t="str">
        <f>Table333456789101217[[#This Row],[Carrier]]</f>
        <v>Reaver</v>
      </c>
      <c r="B17" s="5" t="str">
        <f>Table333456789101217[[#This Row],[IP]]</f>
        <v>203.0.113.44/188.17.56.210</v>
      </c>
      <c r="C17" s="6" t="str">
        <f>Table333456789101217[[#This Row],[Carrier Code]]</f>
        <v>RE</v>
      </c>
      <c r="D17" s="53">
        <v>0</v>
      </c>
      <c r="E17" s="53">
        <v>0</v>
      </c>
      <c r="F17" s="18">
        <f>Table333456789101211[[#This Row],[Company Panel]]+Table3334567891012[[#This Row],[MTD Company]]</f>
        <v>0</v>
      </c>
      <c r="G17" s="18">
        <f>Table333456789101211[[#This Row],[Our panel]]+Table3334567891012[[#This Row],[MTD Panel]]</f>
        <v>0</v>
      </c>
      <c r="H17" s="13">
        <f>Table333456789101211[[#This Row],[Company Panel]]-Table333456789101211[[#This Row],[Our panel]]</f>
        <v>0</v>
      </c>
      <c r="I17" s="13">
        <f>Table333456789101211[[#This Row],[MTD Company]]-Table333456789101211[[#This Row],[MTD Panel]]</f>
        <v>0</v>
      </c>
      <c r="K17" s="30"/>
    </row>
    <row r="18" spans="1:11">
      <c r="A18" s="11" t="str">
        <f>Table333456789101217[[#This Row],[Carrier]]</f>
        <v>Forge</v>
      </c>
      <c r="B18" s="5" t="str">
        <f>Table333456789101217[[#This Row],[IP]]</f>
        <v>112.54.89.168/112.54.89.138</v>
      </c>
      <c r="C18" s="6" t="str">
        <f>Table333456789101217[[#This Row],[Carrier Code]]</f>
        <v>FO</v>
      </c>
      <c r="D18" s="53">
        <v>28.4</v>
      </c>
      <c r="E18" s="53">
        <v>28.4</v>
      </c>
      <c r="F18" s="18">
        <f>Table333456789101211[[#This Row],[Company Panel]]+Table3334567891012[[#This Row],[MTD Company]]</f>
        <v>315.93333333333334</v>
      </c>
      <c r="G18" s="18">
        <f>Table333456789101211[[#This Row],[Our panel]]+Table3334567891012[[#This Row],[MTD Panel]]</f>
        <v>315.93333333333334</v>
      </c>
      <c r="H18" s="13">
        <f>Table333456789101211[[#This Row],[Company Panel]]-Table333456789101211[[#This Row],[Our panel]]</f>
        <v>0</v>
      </c>
      <c r="I18" s="13">
        <f>Table333456789101211[[#This Row],[MTD Company]]-Table333456789101211[[#This Row],[MTD Panel]]</f>
        <v>0</v>
      </c>
      <c r="K18" s="9"/>
    </row>
    <row r="19" spans="1:11">
      <c r="A19" s="11" t="str">
        <f>Table333456789101217[[#This Row],[Carrier]]</f>
        <v>Ember</v>
      </c>
      <c r="B19" s="5" t="str">
        <f>Table333456789101217[[#This Row],[IP]]</f>
        <v>78.34.90.24/328.56.122.44/142.150.75.22</v>
      </c>
      <c r="C19" s="6" t="str">
        <f>Table333456789101217[[#This Row],[Carrier Code]]</f>
        <v>EM</v>
      </c>
      <c r="D19" s="53">
        <v>0</v>
      </c>
      <c r="E19" s="53">
        <v>0</v>
      </c>
      <c r="F19" s="18">
        <f>Table333456789101211[[#This Row],[Company Panel]]+Table3334567891012[[#This Row],[MTD Company]]</f>
        <v>0</v>
      </c>
      <c r="G19" s="18">
        <f>Table333456789101211[[#This Row],[Our panel]]+Table3334567891012[[#This Row],[MTD Panel]]</f>
        <v>0</v>
      </c>
      <c r="H19" s="13">
        <f>Table333456789101211[[#This Row],[Company Panel]]-Table333456789101211[[#This Row],[Our panel]]</f>
        <v>0</v>
      </c>
      <c r="I19" s="13">
        <f>Table333456789101211[[#This Row],[MTD Company]]-Table333456789101211[[#This Row],[MTD Panel]]</f>
        <v>0</v>
      </c>
    </row>
    <row r="20" spans="1:11">
      <c r="A20" s="11" t="str">
        <f>Table333456789101217[[#This Row],[Carrier]]</f>
        <v>Specter</v>
      </c>
      <c r="B20" s="5" t="str">
        <f>Table333456789101217[[#This Row],[IP]]</f>
        <v>205.60.34.150</v>
      </c>
      <c r="C20" s="6" t="str">
        <f>Table333456789101217[[#This Row],[Carrier Code]]</f>
        <v>SP</v>
      </c>
      <c r="D20" s="53">
        <v>0.15</v>
      </c>
      <c r="E20" s="53">
        <v>0.15</v>
      </c>
      <c r="F20" s="18">
        <f>Table333456789101211[[#This Row],[Company Panel]]+Table3334567891012[[#This Row],[MTD Company]]</f>
        <v>11.450000000000001</v>
      </c>
      <c r="G20" s="18">
        <f>Table333456789101211[[#This Row],[Our panel]]+Table3334567891012[[#This Row],[MTD Panel]]</f>
        <v>11.450000000000001</v>
      </c>
      <c r="H20" s="13">
        <f>Table333456789101211[[#This Row],[Company Panel]]-Table333456789101211[[#This Row],[Our panel]]</f>
        <v>0</v>
      </c>
      <c r="I20" s="13">
        <f>Table333456789101211[[#This Row],[MTD Company]]-Table333456789101211[[#This Row],[MTD Panel]]</f>
        <v>0</v>
      </c>
    </row>
    <row r="21" spans="1:11">
      <c r="A21" s="11" t="str">
        <f>Table333456789101217[[#This Row],[Carrier]]</f>
        <v>Throne</v>
      </c>
      <c r="B21" s="5" t="str">
        <f>Table333456789101217[[#This Row],[IP]]</f>
        <v>54.32.11.90/27.758.27.201/125.150.58.20</v>
      </c>
      <c r="C21" s="6" t="str">
        <f>Table333456789101217[[#This Row],[Carrier Code]]</f>
        <v>TH</v>
      </c>
      <c r="D21" s="53">
        <v>0</v>
      </c>
      <c r="E21" s="53">
        <v>0</v>
      </c>
      <c r="F21" s="18">
        <f>Table333456789101211[[#This Row],[Company Panel]]+Table3334567891012[[#This Row],[MTD Company]]</f>
        <v>0</v>
      </c>
      <c r="G21" s="18">
        <f>Table333456789101211[[#This Row],[Our panel]]+Table3334567891012[[#This Row],[MTD Panel]]</f>
        <v>0</v>
      </c>
      <c r="H21" s="13">
        <f>Table333456789101211[[#This Row],[Company Panel]]-Table333456789101211[[#This Row],[Our panel]]</f>
        <v>0</v>
      </c>
      <c r="I21" s="13">
        <f>Table333456789101211[[#This Row],[MTD Company]]-Table333456789101211[[#This Row],[MTD Panel]]</f>
        <v>0</v>
      </c>
    </row>
    <row r="22" spans="1:11">
      <c r="A22" s="11" t="str">
        <f>Table333456789101217[[#This Row],[Carrier]]</f>
        <v>Arcane</v>
      </c>
      <c r="B22" s="5" t="str">
        <f>Table333456789101217[[#This Row],[IP]]</f>
        <v>212.100.25.78/212.100.25.87</v>
      </c>
      <c r="C22" s="6" t="str">
        <f>Table333456789101217[[#This Row],[Carrier Code]]</f>
        <v>AR</v>
      </c>
      <c r="D22" s="53">
        <v>0</v>
      </c>
      <c r="E22" s="53">
        <v>0</v>
      </c>
      <c r="F22" s="18">
        <f>Table333456789101211[[#This Row],[Company Panel]]+Table3334567891012[[#This Row],[MTD Company]]</f>
        <v>0.58333333333333337</v>
      </c>
      <c r="G22" s="18">
        <f>Table333456789101211[[#This Row],[Our panel]]+Table3334567891012[[#This Row],[MTD Panel]]</f>
        <v>0.58333333333333337</v>
      </c>
      <c r="H22" s="13">
        <f>Table333456789101211[[#This Row],[Company Panel]]-Table333456789101211[[#This Row],[Our panel]]</f>
        <v>0</v>
      </c>
      <c r="I22" s="13">
        <f>Table333456789101211[[#This Row],[MTD Company]]-Table333456789101211[[#This Row],[MTD Panel]]</f>
        <v>0</v>
      </c>
    </row>
    <row r="23" spans="1:11">
      <c r="A23" s="11" t="str">
        <f>Table333456789101217[[#This Row],[Carrier]]</f>
        <v>Glitch</v>
      </c>
      <c r="B23" s="5" t="str">
        <f>Table333456789101217[[#This Row],[IP]]</f>
        <v>198.204.100.12/198.204.100.34/198.204.100.51</v>
      </c>
      <c r="C23" s="6" t="str">
        <f>Table333456789101217[[#This Row],[Carrier Code]]</f>
        <v>GL</v>
      </c>
      <c r="D23" s="53">
        <v>0</v>
      </c>
      <c r="E23" s="53">
        <v>0</v>
      </c>
      <c r="F23" s="18">
        <f>Table333456789101211[[#This Row],[Company Panel]]+Table3334567891012[[#This Row],[MTD Company]]</f>
        <v>0</v>
      </c>
      <c r="G23" s="18">
        <f>Table333456789101211[[#This Row],[Our panel]]+Table3334567891012[[#This Row],[MTD Panel]]</f>
        <v>0</v>
      </c>
      <c r="H23" s="13">
        <f>Table333456789101211[[#This Row],[Company Panel]]-Table333456789101211[[#This Row],[Our panel]]</f>
        <v>0</v>
      </c>
      <c r="I23" s="13">
        <f>Table333456789101211[[#This Row],[MTD Company]]-Table333456789101211[[#This Row],[MTD Panel]]</f>
        <v>0</v>
      </c>
    </row>
    <row r="24" spans="1:11">
      <c r="A24" s="11" t="str">
        <f>Table333456789101217[[#This Row],[Carrier]]</f>
        <v>Nitro</v>
      </c>
      <c r="B24" s="5" t="str">
        <f>Table333456789101217[[#This Row],[IP]]</f>
        <v>15.150.200.33/119.82.200.100</v>
      </c>
      <c r="C24" s="6" t="str">
        <f>Table333456789101217[[#This Row],[Carrier Code]]</f>
        <v>NI</v>
      </c>
      <c r="D24" s="53">
        <v>0</v>
      </c>
      <c r="E24" s="53">
        <v>0</v>
      </c>
      <c r="F24" s="18">
        <f>Table333456789101211[[#This Row],[Company Panel]]+Table3334567891012[[#This Row],[MTD Company]]</f>
        <v>0</v>
      </c>
      <c r="G24" s="18">
        <f>Table333456789101211[[#This Row],[Our panel]]+Table3334567891012[[#This Row],[MTD Panel]]</f>
        <v>0</v>
      </c>
      <c r="H24" s="13">
        <f>Table333456789101211[[#This Row],[Company Panel]]-Table333456789101211[[#This Row],[Our panel]]</f>
        <v>0</v>
      </c>
      <c r="I24" s="13">
        <f>Table333456789101211[[#This Row],[MTD Company]]-Table333456789101211[[#This Row],[MTD Panel]]</f>
        <v>0</v>
      </c>
    </row>
    <row r="25" spans="1:11">
      <c r="A25" s="11" t="str">
        <f>Table333456789101217[[#This Row],[Carrier]]</f>
        <v>Drip</v>
      </c>
      <c r="B25" s="5" t="str">
        <f>Table333456789101217[[#This Row],[IP]]</f>
        <v>84.13.76.190/90.945.80.11/198.160.234.5</v>
      </c>
      <c r="C25" s="6" t="str">
        <f>Table333456789101217[[#This Row],[Carrier Code]]</f>
        <v>DR</v>
      </c>
      <c r="D25" s="53">
        <v>0</v>
      </c>
      <c r="E25" s="53">
        <v>0</v>
      </c>
      <c r="F25" s="18">
        <f>Table333456789101211[[#This Row],[Company Panel]]+Table3334567891012[[#This Row],[MTD Company]]</f>
        <v>0</v>
      </c>
      <c r="G25" s="18">
        <f>Table333456789101211[[#This Row],[Our panel]]+Table3334567891012[[#This Row],[MTD Panel]]</f>
        <v>0</v>
      </c>
      <c r="H25" s="13">
        <f>Table333456789101211[[#This Row],[Company Panel]]-Table333456789101211[[#This Row],[Our panel]]</f>
        <v>0</v>
      </c>
      <c r="I25" s="13">
        <f>Table333456789101211[[#This Row],[MTD Company]]-Table333456789101211[[#This Row],[MTD Panel]]</f>
        <v>0</v>
      </c>
    </row>
    <row r="26" spans="1:11">
      <c r="A26" s="11" t="str">
        <f>Table333456789101217[[#This Row],[Carrier]]</f>
        <v>Glide</v>
      </c>
      <c r="B26" s="5" t="str">
        <f>Table333456789101217[[#This Row],[IP]]</f>
        <v>120.45.12.25/85.739.221.80/85.739.221.93</v>
      </c>
      <c r="C26" s="6" t="str">
        <f>Table333456789101217[[#This Row],[Carrier Code]]</f>
        <v>GI</v>
      </c>
      <c r="D26" s="53">
        <v>0</v>
      </c>
      <c r="E26" s="53">
        <v>0</v>
      </c>
      <c r="F26" s="18">
        <f>Table333456789101211[[#This Row],[Company Panel]]+Table3334567891012[[#This Row],[MTD Company]]</f>
        <v>0</v>
      </c>
      <c r="G26" s="18">
        <f>Table333456789101211[[#This Row],[Our panel]]+Table3334567891012[[#This Row],[MTD Panel]]</f>
        <v>0</v>
      </c>
      <c r="H26" s="13">
        <f>Table333456789101211[[#This Row],[Company Panel]]-Table333456789101211[[#This Row],[Our panel]]</f>
        <v>0</v>
      </c>
      <c r="I26" s="13">
        <f>Table333456789101211[[#This Row],[MTD Company]]-Table333456789101211[[#This Row],[MTD Panel]]</f>
        <v>0</v>
      </c>
    </row>
    <row r="27" spans="1:11">
      <c r="A27" s="11" t="str">
        <f>Table333456789101217[[#This Row],[Carrier]]</f>
        <v>Orbit</v>
      </c>
      <c r="B27" s="5" t="str">
        <f>Table333456789101217[[#This Row],[IP]]</f>
        <v>176.98.54.112/60.110.154.91/60.110.155.162</v>
      </c>
      <c r="C27" s="6" t="str">
        <f>Table333456789101217[[#This Row],[Carrier Code]]</f>
        <v>OR</v>
      </c>
      <c r="D27" s="53">
        <v>0</v>
      </c>
      <c r="E27" s="53">
        <v>0</v>
      </c>
      <c r="F27" s="18">
        <f>Table333456789101211[[#This Row],[Company Panel]]+Table3334567891012[[#This Row],[MTD Company]]</f>
        <v>0</v>
      </c>
      <c r="G27" s="18">
        <f>Table333456789101211[[#This Row],[Our panel]]+Table3334567891012[[#This Row],[MTD Panel]]</f>
        <v>0</v>
      </c>
      <c r="H27" s="13">
        <f>Table333456789101211[[#This Row],[Company Panel]]-Table333456789101211[[#This Row],[Our panel]]</f>
        <v>0</v>
      </c>
      <c r="I27" s="13">
        <f>Table333456789101211[[#This Row],[MTD Company]]-Table333456789101211[[#This Row],[MTD Panel]]</f>
        <v>0</v>
      </c>
    </row>
    <row r="28" spans="1:11">
      <c r="A28" s="11" t="str">
        <f>Table333456789101217[[#This Row],[Carrier]]</f>
        <v>Thunder</v>
      </c>
      <c r="B28" s="5" t="str">
        <f>Table333456789101217[[#This Row],[IP]]</f>
        <v>67.102.200.9/81.905.48.847/143.235.100.34</v>
      </c>
      <c r="C28" s="6" t="str">
        <f>Table333456789101217[[#This Row],[Carrier Code]]</f>
        <v>TU</v>
      </c>
      <c r="D28" s="53">
        <v>14.016666666666667</v>
      </c>
      <c r="E28" s="53">
        <v>14.016666666666667</v>
      </c>
      <c r="F28" s="18">
        <f>Table333456789101211[[#This Row],[Company Panel]]+Table3334567891012[[#This Row],[MTD Company]]</f>
        <v>321.7833333333333</v>
      </c>
      <c r="G28" s="18">
        <f>Table333456789101211[[#This Row],[Our panel]]+Table3334567891012[[#This Row],[MTD Panel]]</f>
        <v>321.7833333333333</v>
      </c>
      <c r="H28" s="13">
        <f>Table333456789101211[[#This Row],[Company Panel]]-Table333456789101211[[#This Row],[Our panel]]</f>
        <v>0</v>
      </c>
      <c r="I28" s="13">
        <f>Table333456789101211[[#This Row],[MTD Company]]-Table333456789101211[[#This Row],[MTD Panel]]</f>
        <v>0</v>
      </c>
    </row>
    <row r="29" spans="1:11">
      <c r="A29" s="11" t="str">
        <f>Table333456789101217[[#This Row],[Carrier]]</f>
        <v>Glimmer</v>
      </c>
      <c r="B29" s="5" t="str">
        <f>Table333456789101217[[#This Row],[IP]]</f>
        <v>99.22.211.100/71.54.85.344/71.54.85.218</v>
      </c>
      <c r="C29" s="6" t="str">
        <f>Table333456789101217[[#This Row],[Carrier Code]]</f>
        <v>GM</v>
      </c>
      <c r="D29" s="53">
        <v>0</v>
      </c>
      <c r="E29" s="53">
        <v>0</v>
      </c>
      <c r="F29" s="18">
        <f>Table333456789101211[[#This Row],[Company Panel]]+Table3334567891012[[#This Row],[MTD Company]]</f>
        <v>0</v>
      </c>
      <c r="G29" s="18">
        <f>Table333456789101211[[#This Row],[Our panel]]+Table3334567891012[[#This Row],[MTD Panel]]</f>
        <v>0</v>
      </c>
      <c r="H29" s="13">
        <f>Table333456789101211[[#This Row],[Company Panel]]-Table333456789101211[[#This Row],[Our panel]]</f>
        <v>0</v>
      </c>
      <c r="I29" s="13">
        <f>Table333456789101211[[#This Row],[MTD Company]]-Table333456789101211[[#This Row],[MTD Panel]]</f>
        <v>0</v>
      </c>
    </row>
    <row r="30" spans="1:11">
      <c r="A30" s="11" t="str">
        <f>Table333456789101217[[#This Row],[Carrier]]</f>
        <v>Fragment</v>
      </c>
      <c r="B30" s="5" t="str">
        <f>Table333456789101217[[#This Row],[IP]]</f>
        <v>203.0.113.56/195.56.101.10</v>
      </c>
      <c r="C30" s="6" t="str">
        <f>Table333456789101217[[#This Row],[Carrier Code]]</f>
        <v>FR</v>
      </c>
      <c r="D30" s="53">
        <v>0</v>
      </c>
      <c r="E30" s="53">
        <v>0</v>
      </c>
      <c r="F30" s="18">
        <f>Table333456789101211[[#This Row],[Company Panel]]+Table3334567891012[[#This Row],[MTD Company]]</f>
        <v>0</v>
      </c>
      <c r="G30" s="18">
        <f>Table333456789101211[[#This Row],[Our panel]]+Table3334567891012[[#This Row],[MTD Panel]]</f>
        <v>0</v>
      </c>
      <c r="H30" s="13">
        <f>Table333456789101211[[#This Row],[Company Panel]]-Table333456789101211[[#This Row],[Our panel]]</f>
        <v>0</v>
      </c>
      <c r="I30" s="13">
        <f>Table333456789101211[[#This Row],[MTD Company]]-Table333456789101211[[#This Row],[MTD Panel]]</f>
        <v>0</v>
      </c>
    </row>
    <row r="31" spans="1:11">
      <c r="A31" s="11" t="str">
        <f>Table333456789101217[[#This Row],[Carrier]]</f>
        <v>Dusk</v>
      </c>
      <c r="B31" s="5" t="str">
        <f>Table333456789101217[[#This Row],[IP]]</f>
        <v>33.44.55.66/33.44.55.84/33.44.55.122/214.68.90.122</v>
      </c>
      <c r="C31" s="6" t="str">
        <f>Table333456789101217[[#This Row],[Carrier Code]]</f>
        <v>DK</v>
      </c>
      <c r="D31" s="53">
        <v>0</v>
      </c>
      <c r="E31" s="53">
        <v>0</v>
      </c>
      <c r="F31" s="18">
        <f>Table333456789101211[[#This Row],[Company Panel]]+Table3334567891012[[#This Row],[MTD Company]]</f>
        <v>0</v>
      </c>
      <c r="G31" s="18">
        <f>Table333456789101211[[#This Row],[Our panel]]+Table3334567891012[[#This Row],[MTD Panel]]</f>
        <v>0</v>
      </c>
      <c r="H31" s="13">
        <f>Table333456789101211[[#This Row],[Company Panel]]-Table333456789101211[[#This Row],[Our panel]]</f>
        <v>0</v>
      </c>
      <c r="I31" s="13">
        <f>Table333456789101211[[#This Row],[MTD Company]]-Table333456789101211[[#This Row],[MTD Panel]]</f>
        <v>0</v>
      </c>
    </row>
    <row r="32" spans="1:11">
      <c r="A32" s="11" t="str">
        <f>Table333456789101217[[#This Row],[Carrier]]</f>
        <v>Breeze</v>
      </c>
      <c r="B32" s="5" t="str">
        <f>Table333456789101217[[#This Row],[IP]]</f>
        <v>199.123.87.45/199.123.34.52/77.189.22.56</v>
      </c>
      <c r="C32" s="6" t="str">
        <f>Table333456789101217[[#This Row],[Carrier Code]]</f>
        <v>BR</v>
      </c>
      <c r="D32" s="53">
        <v>0</v>
      </c>
      <c r="E32" s="53">
        <v>0</v>
      </c>
      <c r="F32" s="18">
        <f>Table333456789101211[[#This Row],[Company Panel]]+Table3334567891012[[#This Row],[MTD Company]]</f>
        <v>0</v>
      </c>
      <c r="G32" s="18">
        <f>Table333456789101211[[#This Row],[Our panel]]+Table3334567891012[[#This Row],[MTD Panel]]</f>
        <v>0</v>
      </c>
      <c r="H32" s="13">
        <f>Table333456789101211[[#This Row],[Company Panel]]-Table333456789101211[[#This Row],[Our panel]]</f>
        <v>0</v>
      </c>
      <c r="I32" s="13">
        <f>Table333456789101211[[#This Row],[MTD Company]]-Table333456789101211[[#This Row],[MTD Panel]]</f>
        <v>0</v>
      </c>
    </row>
    <row r="33" spans="1:9">
      <c r="A33" s="11" t="str">
        <f>Table333456789101217[[#This Row],[Carrier]]</f>
        <v>Clutch</v>
      </c>
      <c r="B33" s="5" t="str">
        <f>Table333456789101217[[#This Row],[IP]]</f>
        <v>55.66.77.88/84.126.79.28/152.233.45.11</v>
      </c>
      <c r="C33" s="6" t="str">
        <f>Table333456789101217[[#This Row],[Carrier Code]]</f>
        <v>CL</v>
      </c>
      <c r="D33" s="53">
        <v>0</v>
      </c>
      <c r="E33" s="53">
        <v>0</v>
      </c>
      <c r="F33" s="18">
        <f>Table333456789101211[[#This Row],[Company Panel]]+Table3334567891012[[#This Row],[MTD Company]]</f>
        <v>0</v>
      </c>
      <c r="G33" s="18">
        <f>Table333456789101211[[#This Row],[Our panel]]+Table3334567891012[[#This Row],[MTD Panel]]</f>
        <v>0</v>
      </c>
      <c r="H33" s="13">
        <f>Table333456789101211[[#This Row],[Company Panel]]-Table333456789101211[[#This Row],[Our panel]]</f>
        <v>0</v>
      </c>
      <c r="I33" s="13">
        <f>Table333456789101211[[#This Row],[MTD Company]]-Table333456789101211[[#This Row],[MTD Panel]]</f>
        <v>0</v>
      </c>
    </row>
    <row r="34" spans="1:9">
      <c r="A34" s="11" t="str">
        <f>Table333456789101217[[#This Row],[Carrier]]</f>
        <v>Haze</v>
      </c>
      <c r="B34" s="5" t="str">
        <f>Table333456789101217[[#This Row],[IP]]</f>
        <v>230.111.44.56</v>
      </c>
      <c r="C34" s="6" t="str">
        <f>Table333456789101217[[#This Row],[Carrier Code]]</f>
        <v>HZ</v>
      </c>
      <c r="D34" s="53">
        <v>0</v>
      </c>
      <c r="E34" s="53">
        <v>0</v>
      </c>
      <c r="F34" s="18">
        <f>Table333456789101211[[#This Row],[Company Panel]]+Table3334567891012[[#This Row],[MTD Company]]</f>
        <v>0.56666666666666665</v>
      </c>
      <c r="G34" s="18">
        <f>Table333456789101211[[#This Row],[Our panel]]+Table3334567891012[[#This Row],[MTD Panel]]</f>
        <v>0.56666666666666665</v>
      </c>
      <c r="H34" s="13">
        <f>Table333456789101211[[#This Row],[Company Panel]]-Table333456789101211[[#This Row],[Our panel]]</f>
        <v>0</v>
      </c>
      <c r="I34" s="13">
        <f>Table333456789101211[[#This Row],[MTD Company]]-Table333456789101211[[#This Row],[MTD Panel]]</f>
        <v>0</v>
      </c>
    </row>
    <row r="35" spans="1:9">
      <c r="A35" s="11" t="str">
        <f>Table333456789101217[[#This Row],[Carrier]]</f>
        <v>Vault</v>
      </c>
      <c r="B35" s="5" t="str">
        <f>Table333456789101217[[#This Row],[IP]]</f>
        <v>213.189.94.5/213.189.94.7/111.180.64.222</v>
      </c>
      <c r="C35" s="6" t="str">
        <f>Table333456789101217[[#This Row],[Carrier Code]]</f>
        <v>VA</v>
      </c>
      <c r="D35" s="53">
        <v>0</v>
      </c>
      <c r="E35" s="53">
        <v>0</v>
      </c>
      <c r="F35" s="18">
        <f>Table333456789101211[[#This Row],[Company Panel]]+Table3334567891012[[#This Row],[MTD Company]]</f>
        <v>0</v>
      </c>
      <c r="G35" s="18">
        <f>Table333456789101211[[#This Row],[Our panel]]+Table3334567891012[[#This Row],[MTD Panel]]</f>
        <v>0</v>
      </c>
      <c r="H35" s="13">
        <f>Table333456789101211[[#This Row],[Company Panel]]-Table333456789101211[[#This Row],[Our panel]]</f>
        <v>0</v>
      </c>
      <c r="I35" s="13">
        <f>Table333456789101211[[#This Row],[MTD Company]]-Table333456789101211[[#This Row],[MTD Panel]]</f>
        <v>0</v>
      </c>
    </row>
    <row r="36" spans="1:9">
      <c r="A36" s="11" t="str">
        <f>Table333456789101217[[#This Row],[Carrier]]</f>
        <v>Scatter</v>
      </c>
      <c r="B36" s="5" t="str">
        <f>Table333456789101217[[#This Row],[IP]]</f>
        <v>14.123.45.67/168.251.90.15</v>
      </c>
      <c r="C36" s="6" t="str">
        <f>Table333456789101217[[#This Row],[Carrier Code]]</f>
        <v>SC</v>
      </c>
      <c r="D36" s="53">
        <v>56.283333333333331</v>
      </c>
      <c r="E36" s="53">
        <v>56.283333333333331</v>
      </c>
      <c r="F36" s="18">
        <f>Table333456789101211[[#This Row],[Company Panel]]+Table3334567891012[[#This Row],[MTD Company]]</f>
        <v>358.56666666666661</v>
      </c>
      <c r="G36" s="18">
        <f>Table333456789101211[[#This Row],[Our panel]]+Table3334567891012[[#This Row],[MTD Panel]]</f>
        <v>358.56666666666661</v>
      </c>
      <c r="H36" s="63">
        <f>Table333456789101211[[#This Row],[Company Panel]]-Table333456789101211[[#This Row],[Our panel]]</f>
        <v>0</v>
      </c>
      <c r="I36" s="63">
        <f>Table333456789101211[[#This Row],[MTD Company]]-Table333456789101211[[#This Row],[MTD Panel]]</f>
        <v>0</v>
      </c>
    </row>
    <row r="37" spans="1:9">
      <c r="A37" s="11" t="str">
        <f>Table333456789101217[[#This Row],[Carrier]]</f>
        <v>Hammer</v>
      </c>
      <c r="B37" s="5" t="str">
        <f>Table333456789101217[[#This Row],[IP]]</f>
        <v>200.111.78.9/200.111.236.62/200.111.823.89/137.79.48.56</v>
      </c>
      <c r="C37" s="6" t="str">
        <f>Table333456789101217[[#This Row],[Carrier Code]]</f>
        <v>HA</v>
      </c>
      <c r="D37" s="53">
        <v>0</v>
      </c>
      <c r="E37" s="53">
        <v>0</v>
      </c>
      <c r="F37" s="18">
        <f>Table333456789101211[[#This Row],[Company Panel]]+Table3334567891012[[#This Row],[MTD Company]]</f>
        <v>0</v>
      </c>
      <c r="G37" s="18">
        <f>Table333456789101211[[#This Row],[Our panel]]+Table3334567891012[[#This Row],[MTD Panel]]</f>
        <v>0</v>
      </c>
      <c r="H37" s="72">
        <f>Table333456789101211[[#This Row],[Company Panel]]-Table333456789101211[[#This Row],[Our panel]]</f>
        <v>0</v>
      </c>
      <c r="I37" s="72">
        <f>Table333456789101211[[#This Row],[MTD Company]]-Table333456789101211[[#This Row],[MTD Panel]]</f>
        <v>0</v>
      </c>
    </row>
    <row r="38" spans="1:9">
      <c r="A38" s="11" t="str">
        <f>Table333456789101217[[#This Row],[Carrier]]</f>
        <v>Smudge</v>
      </c>
      <c r="B38" s="5" t="str">
        <f>Table333456789101217[[#This Row],[IP]]</f>
        <v>88.99.233.56/54.71.99.234</v>
      </c>
      <c r="C38" s="6" t="str">
        <f>Table333456789101217[[#This Row],[Carrier Code]]</f>
        <v>SM</v>
      </c>
      <c r="D38" s="53">
        <v>3.3666666666666667</v>
      </c>
      <c r="E38" s="53">
        <v>3.3666666666666667</v>
      </c>
      <c r="F38" s="18">
        <f>Table333456789101211[[#This Row],[Company Panel]]+Table3334567891012[[#This Row],[MTD Company]]</f>
        <v>128.86666666666667</v>
      </c>
      <c r="G38" s="18">
        <f>Table333456789101211[[#This Row],[Our panel]]+Table3334567891012[[#This Row],[MTD Panel]]</f>
        <v>128.86666666666667</v>
      </c>
      <c r="H38" s="72">
        <f>Table333456789101211[[#This Row],[Company Panel]]-Table333456789101211[[#This Row],[Our panel]]</f>
        <v>0</v>
      </c>
      <c r="I38" s="72">
        <f>Table333456789101211[[#This Row],[MTD Company]]-Table333456789101211[[#This Row],[MTD Panel]]</f>
        <v>0</v>
      </c>
    </row>
    <row r="39" spans="1:9">
      <c r="A39" s="11" t="str">
        <f>Table333456789101217[[#This Row],[Carrier]]</f>
        <v>Quirk</v>
      </c>
      <c r="B39" s="5" t="str">
        <f>Table333456789101217[[#This Row],[IP]]</f>
        <v>62.45.100.31/62.45.100.15/62.45.100.65/211.95.102.6</v>
      </c>
      <c r="C39" s="6" t="str">
        <f>Table333456789101217[[#This Row],[Carrier Code]]</f>
        <v>QU</v>
      </c>
      <c r="D39" s="53">
        <v>1049.45</v>
      </c>
      <c r="E39" s="53">
        <v>1049.45</v>
      </c>
      <c r="F39" s="18">
        <f>Table333456789101211[[#This Row],[Company Panel]]+Table3334567891012[[#This Row],[MTD Company]]</f>
        <v>19713.483333333334</v>
      </c>
      <c r="G39" s="18">
        <f>Table333456789101211[[#This Row],[Our panel]]+Table3334567891012[[#This Row],[MTD Panel]]</f>
        <v>19713.483333333334</v>
      </c>
      <c r="H39" s="13">
        <f>Table333456789101211[[#This Row],[Company Panel]]-Table333456789101211[[#This Row],[Our panel]]</f>
        <v>0</v>
      </c>
      <c r="I39" s="13">
        <f>Table333456789101211[[#This Row],[MTD Company]]-Table333456789101211[[#This Row],[MTD Panel]]</f>
        <v>0</v>
      </c>
    </row>
    <row r="40" spans="1:9">
      <c r="A40" s="11" t="str">
        <f>Table333456789101217[[#This Row],[Carrier]]</f>
        <v>Vortex</v>
      </c>
      <c r="B40" s="5" t="str">
        <f>Table333456789101217[[#This Row],[IP]]</f>
        <v>179.250.91.8/29.540.67.457/94.25.34.78/183.144.27.18</v>
      </c>
      <c r="C40" s="6" t="str">
        <f>Table333456789101217[[#This Row],[Carrier Code]]</f>
        <v>VT</v>
      </c>
      <c r="D40" s="53">
        <v>0</v>
      </c>
      <c r="E40" s="53">
        <v>0</v>
      </c>
      <c r="F40" s="18">
        <f>Table333456789101211[[#This Row],[Company Panel]]+Table3334567891012[[#This Row],[MTD Company]]</f>
        <v>0</v>
      </c>
      <c r="G40" s="18">
        <f>Table333456789101211[[#This Row],[Our panel]]+Table3334567891012[[#This Row],[MTD Panel]]</f>
        <v>0</v>
      </c>
      <c r="H40" s="72">
        <f>Table333456789101211[[#This Row],[Company Panel]]-Table333456789101211[[#This Row],[Our panel]]</f>
        <v>0</v>
      </c>
      <c r="I40" s="72">
        <f>Table333456789101211[[#This Row],[MTD Company]]-Table333456789101211[[#This Row],[MTD Panel]]</f>
        <v>0</v>
      </c>
    </row>
    <row r="41" spans="1:9">
      <c r="A41" s="11" t="str">
        <f>Table333456789101217[[#This Row],[Carrier]]</f>
        <v>Void</v>
      </c>
      <c r="B41" s="5" t="str">
        <f>Table333456789101217[[#This Row],[IP]]</f>
        <v>156.34.123.11/156.34.123.25/156.34.123.62/92.44.233.110</v>
      </c>
      <c r="C41" s="6" t="str">
        <f>Table333456789101217[[#This Row],[Carrier Code]]</f>
        <v>VO</v>
      </c>
      <c r="D41" s="53">
        <v>52.8</v>
      </c>
      <c r="E41" s="53">
        <v>52.8</v>
      </c>
      <c r="F41" s="18">
        <f>Table333456789101211[[#This Row],[Company Panel]]+Table3334567891012[[#This Row],[MTD Company]]</f>
        <v>591.33333333333326</v>
      </c>
      <c r="G41" s="18">
        <f>Table333456789101211[[#This Row],[Our panel]]+Table3334567891012[[#This Row],[MTD Panel]]</f>
        <v>591.33333333333326</v>
      </c>
      <c r="H41" s="13">
        <f>Table333456789101211[[#This Row],[Company Panel]]-Table333456789101211[[#This Row],[Our panel]]</f>
        <v>0</v>
      </c>
      <c r="I41" s="13">
        <f>Table333456789101211[[#This Row],[MTD Company]]-Table333456789101211[[#This Row],[MTD Panel]]</f>
        <v>0</v>
      </c>
    </row>
    <row r="42" spans="1:9">
      <c r="A42" s="11" t="str">
        <f>Table333456789101217[[#This Row],[Carrier]]</f>
        <v>Midnight</v>
      </c>
      <c r="B42" s="5" t="str">
        <f>Table333456789101217[[#This Row],[IP]]</f>
        <v>134.77.22.4/23.97.150.8</v>
      </c>
      <c r="C42" s="6" t="str">
        <f>Table333456789101217[[#This Row],[Carrier Code]]</f>
        <v>MI</v>
      </c>
      <c r="D42" s="53">
        <v>179.15</v>
      </c>
      <c r="E42" s="53">
        <v>179.15</v>
      </c>
      <c r="F42" s="18">
        <f>Table333456789101211[[#This Row],[Company Panel]]+Table3334567891012[[#This Row],[MTD Company]]</f>
        <v>1394.2666666666667</v>
      </c>
      <c r="G42" s="18">
        <f>Table333456789101211[[#This Row],[Our panel]]+Table3334567891012[[#This Row],[MTD Panel]]</f>
        <v>1394.2666666666667</v>
      </c>
      <c r="H42" s="72">
        <f>Table333456789101211[[#This Row],[Company Panel]]-Table333456789101211[[#This Row],[Our panel]]</f>
        <v>0</v>
      </c>
      <c r="I42" s="72">
        <f>Table333456789101211[[#This Row],[MTD Company]]-Table333456789101211[[#This Row],[MTD Panel]]</f>
        <v>0</v>
      </c>
    </row>
    <row r="43" spans="1:9">
      <c r="A43" s="11" t="str">
        <f>Table333456789101217[[#This Row],[Carrier]]</f>
        <v>Autumn</v>
      </c>
      <c r="B43" s="5" t="str">
        <f>Table333456789101217[[#This Row],[IP]]</f>
        <v>202.54.210.88/12.331.94.73/64.19.28.175</v>
      </c>
      <c r="C43" s="6" t="str">
        <f>Table333456789101217[[#This Row],[Carrier Code]]</f>
        <v>AU</v>
      </c>
      <c r="D43" s="53">
        <v>60.833333333333336</v>
      </c>
      <c r="E43" s="53">
        <v>60.833333333333336</v>
      </c>
      <c r="F43" s="18">
        <f>Table333456789101211[[#This Row],[Company Panel]]+Table3334567891012[[#This Row],[MTD Company]]</f>
        <v>196.21666666666667</v>
      </c>
      <c r="G43" s="18">
        <f>Table333456789101211[[#This Row],[Our panel]]+Table3334567891012[[#This Row],[MTD Panel]]</f>
        <v>196.21666666666667</v>
      </c>
      <c r="H43" s="72">
        <f>Table333456789101211[[#This Row],[Company Panel]]-Table333456789101211[[#This Row],[Our panel]]</f>
        <v>0</v>
      </c>
      <c r="I43" s="72">
        <f>Table333456789101211[[#This Row],[MTD Company]]-Table333456789101211[[#This Row],[MTD Panel]]</f>
        <v>0</v>
      </c>
    </row>
    <row r="44" spans="1:9">
      <c r="A44" s="11" t="str">
        <f>Table333456789101217[[#This Row],[Carrier]]</f>
        <v>Mystic</v>
      </c>
      <c r="B44" s="5" t="str">
        <f>Table333456789101217[[#This Row],[IP]]</f>
        <v>51.233.21.76/82.115.35.60/82.115.35.85</v>
      </c>
      <c r="C44" s="6" t="str">
        <f>Table333456789101217[[#This Row],[Carrier Code]]</f>
        <v>MY</v>
      </c>
      <c r="D44" s="53">
        <v>0</v>
      </c>
      <c r="E44" s="53">
        <v>0</v>
      </c>
      <c r="F44" s="18">
        <f>Table333456789101211[[#This Row],[Company Panel]]+Table3334567891012[[#This Row],[MTD Company]]</f>
        <v>0</v>
      </c>
      <c r="G44" s="18">
        <f>Table333456789101211[[#This Row],[Our panel]]+Table3334567891012[[#This Row],[MTD Panel]]</f>
        <v>0</v>
      </c>
      <c r="H44" s="72">
        <f>Table333456789101211[[#This Row],[Company Panel]]-Table333456789101211[[#This Row],[Our panel]]</f>
        <v>0</v>
      </c>
      <c r="I44" s="72">
        <f>Table333456789101211[[#This Row],[MTD Company]]-Table333456789101211[[#This Row],[MTD Panel]]</f>
        <v>0</v>
      </c>
    </row>
    <row r="45" spans="1:9">
      <c r="A45" s="11" t="str">
        <f>Table333456789101217[[#This Row],[Carrier]]</f>
        <v>Clover</v>
      </c>
      <c r="B45" s="5" t="str">
        <f>Table333456789101217[[#This Row],[IP]]</f>
        <v>210.150.12.45/84.50.212.66/135.113.88.9</v>
      </c>
      <c r="C45" s="6" t="str">
        <f>Table333456789101217[[#This Row],[Carrier Code]]</f>
        <v>CO</v>
      </c>
      <c r="D45" s="53">
        <v>132.63333333333333</v>
      </c>
      <c r="E45" s="53">
        <v>132.63333333333333</v>
      </c>
      <c r="F45" s="18">
        <f>Table333456789101211[[#This Row],[Company Panel]]+Table3334567891012[[#This Row],[MTD Company]]</f>
        <v>33722.800000000003</v>
      </c>
      <c r="G45" s="18">
        <f>Table333456789101211[[#This Row],[Our panel]]+Table3334567891012[[#This Row],[MTD Panel]]</f>
        <v>33722.800000000003</v>
      </c>
      <c r="H45" s="78">
        <f>Table333456789101211[[#This Row],[Company Panel]]-Table333456789101211[[#This Row],[Our panel]]</f>
        <v>0</v>
      </c>
      <c r="I45" s="78">
        <f>Table333456789101211[[#This Row],[MTD Company]]-Table333456789101211[[#This Row],[MTD Panel]]</f>
        <v>0</v>
      </c>
    </row>
    <row r="46" spans="1:9">
      <c r="A46" s="11" t="str">
        <f>Table333456789101217[[#This Row],[Carrier]]</f>
        <v>Hunter</v>
      </c>
      <c r="B46" s="5" t="str">
        <f>Table333456789101217[[#This Row],[IP]]</f>
        <v>170.199.20.87/13.693.39.280/78.30.123.47</v>
      </c>
      <c r="C46" s="6" t="str">
        <f>Table333456789101217[[#This Row],[Carrier Code]]</f>
        <v>HU</v>
      </c>
      <c r="D46" s="53">
        <v>398.68333333333334</v>
      </c>
      <c r="E46" s="53">
        <v>398.68333333333334</v>
      </c>
      <c r="F46" s="18">
        <f>Table333456789101211[[#This Row],[Company Panel]]+Table3334567891012[[#This Row],[MTD Company]]</f>
        <v>3930.05</v>
      </c>
      <c r="G46" s="18">
        <f>Table333456789101211[[#This Row],[Our panel]]+Table3334567891012[[#This Row],[MTD Panel]]</f>
        <v>3930.05</v>
      </c>
      <c r="H46" s="13">
        <f>Table333456789101211[[#This Row],[Company Panel]]-Table333456789101211[[#This Row],[Our panel]]</f>
        <v>0</v>
      </c>
      <c r="I46" s="13">
        <f>Table333456789101211[[#This Row],[MTD Company]]-Table333456789101211[[#This Row],[MTD Panel]]</f>
        <v>0</v>
      </c>
    </row>
    <row r="47" spans="1:9">
      <c r="A47" s="11" t="str">
        <f>Table333456789101217[[#This Row],[Carrier]]</f>
        <v>Invaded</v>
      </c>
      <c r="B47" s="5" t="str">
        <f>Table333456789101217[[#This Row],[IP]]</f>
        <v>182.67.99.120/80.518.230.410/26.847.95.107/188.12.67.92</v>
      </c>
      <c r="C47" s="6" t="str">
        <f>Table333456789101217[[#This Row],[Carrier Code]]</f>
        <v>ID</v>
      </c>
      <c r="D47" s="7">
        <v>0</v>
      </c>
      <c r="E47" s="7">
        <v>0</v>
      </c>
      <c r="F47" s="18">
        <f>Table333456789101211[[#This Row],[Company Panel]]+Table3334567891012[[#This Row],[MTD Company]]</f>
        <v>0</v>
      </c>
      <c r="G47" s="18">
        <f>Table333456789101211[[#This Row],[Our panel]]+Table3334567891012[[#This Row],[MTD Panel]]</f>
        <v>0</v>
      </c>
      <c r="H47" s="13">
        <f>Table333456789101211[[#This Row],[Company Panel]]-Table333456789101211[[#This Row],[Our panel]]</f>
        <v>0</v>
      </c>
      <c r="I47" s="13">
        <f>Table333456789101211[[#This Row],[MTD Company]]-Table333456789101211[[#This Row],[MTD Panel]]</f>
        <v>0</v>
      </c>
    </row>
    <row r="48" spans="1:9">
      <c r="A48" s="11" t="str">
        <f>Table333456789101217[[#This Row],[Carrier]]</f>
        <v>Delusion</v>
      </c>
      <c r="B48" s="5" t="str">
        <f>Table333456789101217[[#This Row],[IP]]</f>
        <v>198.51.100.72/69.887.74.738/39.153.110.645</v>
      </c>
      <c r="C48" s="6" t="str">
        <f>Table333456789101217[[#This Row],[Carrier Code]]</f>
        <v>DU</v>
      </c>
      <c r="D48" s="7">
        <v>0</v>
      </c>
      <c r="E48" s="7">
        <v>0</v>
      </c>
      <c r="F48" s="18">
        <f>Table333456789101211[[#This Row],[Company Panel]]+Table3334567891012[[#This Row],[MTD Company]]</f>
        <v>0</v>
      </c>
      <c r="G48" s="18">
        <f>Table333456789101211[[#This Row],[Our panel]]+Table3334567891012[[#This Row],[MTD Panel]]</f>
        <v>0</v>
      </c>
      <c r="H48" s="13">
        <f>Table333456789101211[[#This Row],[Company Panel]]-Table333456789101211[[#This Row],[Our panel]]</f>
        <v>0</v>
      </c>
      <c r="I48" s="13">
        <f>Table333456789101211[[#This Row],[MTD Company]]-Table333456789101211[[#This Row],[MTD Panel]]</f>
        <v>0</v>
      </c>
    </row>
    <row r="49" spans="1:9" ht="15.5">
      <c r="A49" s="11" t="str">
        <f>Table333456789101217[[#This Row],[Carrier]]</f>
        <v>Total</v>
      </c>
      <c r="B49" s="14"/>
      <c r="C49" s="15"/>
      <c r="D49" s="16">
        <f>SUM(D3:D48)</f>
        <v>15369.749999999996</v>
      </c>
      <c r="E49" s="16">
        <f t="shared" ref="E49:I49" si="0">SUM(E3:E48)</f>
        <v>15369.749999999996</v>
      </c>
      <c r="F49" s="16">
        <f t="shared" si="0"/>
        <v>126621.21666666665</v>
      </c>
      <c r="G49" s="16">
        <f t="shared" si="0"/>
        <v>126621.21666666665</v>
      </c>
      <c r="H49" s="16">
        <f t="shared" si="0"/>
        <v>0</v>
      </c>
      <c r="I49" s="16">
        <f t="shared" si="0"/>
        <v>0</v>
      </c>
    </row>
  </sheetData>
  <conditionalFormatting sqref="H2:I48">
    <cfRule type="cellIs" dxfId="383" priority="73" operator="lessThan">
      <formula>0</formula>
    </cfRule>
  </conditionalFormatting>
  <conditionalFormatting sqref="I30:I48">
    <cfRule type="cellIs" dxfId="382" priority="72" operator="lessThan">
      <formula>0</formula>
    </cfRule>
  </conditionalFormatting>
  <conditionalFormatting sqref="H3:I48">
    <cfRule type="cellIs" dxfId="381" priority="71" operator="lessThan">
      <formula>0</formula>
    </cfRule>
  </conditionalFormatting>
  <conditionalFormatting sqref="I30:I48">
    <cfRule type="cellIs" dxfId="380" priority="70" operator="lessThan">
      <formula>0</formula>
    </cfRule>
  </conditionalFormatting>
  <conditionalFormatting sqref="I3:I48">
    <cfRule type="cellIs" dxfId="379" priority="62" operator="lessThan">
      <formula>0</formula>
    </cfRule>
    <cfRule type="cellIs" dxfId="378" priority="63" operator="lessThan">
      <formula>0</formula>
    </cfRule>
  </conditionalFormatting>
  <hyperlinks>
    <hyperlink ref="E1" location="H!A1" display="Home"/>
    <hyperlink ref="D1" location="'10'!D1" display="←"/>
    <hyperlink ref="F1" location="'12'!F1" display="→"/>
  </hyperlinks>
  <pageMargins left="0.7" right="0.7" top="0.75" bottom="0.75" header="0.3" footer="0.3"/>
  <pageSetup orientation="portrait" verticalDpi="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workbookViewId="0"/>
  </sheetViews>
  <sheetFormatPr defaultColWidth="9.1796875" defaultRowHeight="14.5"/>
  <cols>
    <col min="1" max="1" width="20.7265625" style="17" customWidth="1"/>
    <col min="2" max="3" width="12.7265625" style="17" customWidth="1"/>
    <col min="4" max="4" width="20.7265625" style="17" customWidth="1"/>
    <col min="5" max="5" width="12.7265625" style="17" customWidth="1"/>
    <col min="6" max="6" width="12.7265625" customWidth="1"/>
    <col min="7" max="7" width="37" style="17" bestFit="1" customWidth="1"/>
    <col min="8" max="9" width="12.7265625" style="17" customWidth="1"/>
    <col min="10" max="10" width="23" style="17" bestFit="1" customWidth="1"/>
    <col min="11" max="12" width="12.7265625" style="17" customWidth="1"/>
    <col min="13" max="16384" width="9.1796875" style="17"/>
  </cols>
  <sheetData>
    <row r="1" spans="1:12" ht="15.5">
      <c r="A1" s="33" t="s">
        <v>12</v>
      </c>
      <c r="B1" s="33" t="s">
        <v>24</v>
      </c>
      <c r="C1" s="33" t="s">
        <v>25</v>
      </c>
      <c r="D1" s="33" t="s">
        <v>20</v>
      </c>
      <c r="E1" s="33" t="s">
        <v>26</v>
      </c>
      <c r="F1" s="33" t="s">
        <v>27</v>
      </c>
      <c r="G1" s="33" t="s">
        <v>13</v>
      </c>
      <c r="H1" s="33" t="s">
        <v>24</v>
      </c>
      <c r="I1" s="33" t="s">
        <v>25</v>
      </c>
      <c r="J1" s="36" t="s">
        <v>14</v>
      </c>
      <c r="K1" s="36" t="s">
        <v>24</v>
      </c>
      <c r="L1" s="37" t="s">
        <v>25</v>
      </c>
    </row>
    <row r="2" spans="1:12">
      <c r="A2" s="89" t="s">
        <v>171</v>
      </c>
      <c r="B2" s="47">
        <f>'1'!D49</f>
        <v>3346.45</v>
      </c>
      <c r="C2" s="34">
        <f>'1'!E49</f>
        <v>3346.45</v>
      </c>
      <c r="D2" s="97" t="s">
        <v>172</v>
      </c>
      <c r="E2" s="47">
        <f>'17'!D49</f>
        <v>11842.400000000001</v>
      </c>
      <c r="F2" s="34">
        <f>'17'!E49</f>
        <v>11842.400000000001</v>
      </c>
      <c r="G2" s="89" t="s">
        <v>202</v>
      </c>
      <c r="H2" s="49">
        <f>'W1'!D49</f>
        <v>63236.133333333331</v>
      </c>
      <c r="I2" s="35">
        <f>'W1'!E49</f>
        <v>63236.133333333331</v>
      </c>
      <c r="J2" s="89" t="s">
        <v>173</v>
      </c>
      <c r="K2" s="48">
        <f>M!D49</f>
        <v>315936.25</v>
      </c>
      <c r="L2" s="40">
        <f>M!E49</f>
        <v>315936.25</v>
      </c>
    </row>
    <row r="3" spans="1:12">
      <c r="A3" s="89" t="s">
        <v>174</v>
      </c>
      <c r="B3" s="47">
        <f>'2'!D49</f>
        <v>3582.4333333333334</v>
      </c>
      <c r="C3" s="34">
        <f>'2'!E49</f>
        <v>3582.4333333333334</v>
      </c>
      <c r="D3" s="97" t="s">
        <v>175</v>
      </c>
      <c r="E3" s="47">
        <f>'18'!D49</f>
        <v>6464.2333333333336</v>
      </c>
      <c r="F3" s="34">
        <f>'18'!E49</f>
        <v>6464.2333333333336</v>
      </c>
      <c r="G3" s="97" t="s">
        <v>203</v>
      </c>
      <c r="H3" s="49">
        <f>'W2'!D49</f>
        <v>74263.166666666657</v>
      </c>
      <c r="I3" s="35">
        <f>'W2'!E49</f>
        <v>74263.166666666657</v>
      </c>
      <c r="J3" s="38"/>
      <c r="K3" s="38"/>
      <c r="L3" s="39"/>
    </row>
    <row r="4" spans="1:12">
      <c r="A4" s="89" t="s">
        <v>176</v>
      </c>
      <c r="B4" s="47">
        <f>'3'!D49</f>
        <v>2853.0166666666664</v>
      </c>
      <c r="C4" s="34">
        <f>'3'!E49</f>
        <v>2853.0166666666664</v>
      </c>
      <c r="D4" s="97" t="s">
        <v>177</v>
      </c>
      <c r="E4" s="47">
        <f>'19'!D49</f>
        <v>2290.9666666666672</v>
      </c>
      <c r="F4" s="34">
        <f>'19'!E49</f>
        <v>2290.9666666666672</v>
      </c>
      <c r="G4" s="97" t="s">
        <v>204</v>
      </c>
      <c r="H4" s="49">
        <f>'W3'!D49</f>
        <v>42744.349999999991</v>
      </c>
      <c r="I4" s="35">
        <f>'W3'!E49</f>
        <v>42744.349999999991</v>
      </c>
      <c r="J4" s="38"/>
      <c r="K4" s="38"/>
      <c r="L4" s="39"/>
    </row>
    <row r="5" spans="1:12">
      <c r="A5" s="89" t="s">
        <v>178</v>
      </c>
      <c r="B5" s="47">
        <f>'4'!D49</f>
        <v>14358.166666666666</v>
      </c>
      <c r="C5" s="34">
        <f>'4'!E49</f>
        <v>14358.166666666666</v>
      </c>
      <c r="D5" s="97" t="s">
        <v>179</v>
      </c>
      <c r="E5" s="47">
        <f>'20'!D49</f>
        <v>2191.6000000000004</v>
      </c>
      <c r="F5" s="34">
        <f>'20'!E49</f>
        <v>2191.6000000000004</v>
      </c>
      <c r="G5" s="97" t="s">
        <v>205</v>
      </c>
      <c r="H5" s="49">
        <f>'W4'!D49</f>
        <v>79781.583333333343</v>
      </c>
      <c r="I5" s="35">
        <f>'W4'!E49</f>
        <v>79781.583333333343</v>
      </c>
      <c r="J5" s="38"/>
      <c r="K5" s="38"/>
      <c r="L5" s="39"/>
    </row>
    <row r="6" spans="1:12">
      <c r="A6" s="89" t="s">
        <v>180</v>
      </c>
      <c r="B6" s="47">
        <f>'5'!D49</f>
        <v>14423.283333333335</v>
      </c>
      <c r="C6" s="34">
        <f>'5'!E49</f>
        <v>14423.283333333335</v>
      </c>
      <c r="D6" s="97" t="s">
        <v>181</v>
      </c>
      <c r="E6" s="47">
        <f>'21'!D49</f>
        <v>4637.4666666666662</v>
      </c>
      <c r="F6" s="34">
        <f>'21'!E49</f>
        <v>4637.4666666666662</v>
      </c>
      <c r="G6" s="97" t="s">
        <v>206</v>
      </c>
      <c r="H6" s="49">
        <f>'W5'!D49</f>
        <v>55911.016666666663</v>
      </c>
      <c r="I6" s="35">
        <f>'W5'!E49</f>
        <v>55911.016666666663</v>
      </c>
    </row>
    <row r="7" spans="1:12">
      <c r="A7" s="89" t="s">
        <v>182</v>
      </c>
      <c r="B7" s="47">
        <f>'6'!D49</f>
        <v>24672.783333333336</v>
      </c>
      <c r="C7" s="34">
        <f>'6'!E49</f>
        <v>24672.783333333336</v>
      </c>
      <c r="D7" s="97" t="s">
        <v>183</v>
      </c>
      <c r="E7" s="47">
        <f>'22'!D49</f>
        <v>14065.95</v>
      </c>
      <c r="F7" s="34">
        <f>'22'!E49</f>
        <v>14065.95</v>
      </c>
    </row>
    <row r="8" spans="1:12">
      <c r="A8" s="89" t="s">
        <v>184</v>
      </c>
      <c r="B8" s="47">
        <f>'7'!D49</f>
        <v>20876.666666666668</v>
      </c>
      <c r="C8" s="34">
        <f>'7'!E49</f>
        <v>20876.666666666668</v>
      </c>
      <c r="D8" s="97" t="s">
        <v>185</v>
      </c>
      <c r="E8" s="47">
        <f>'23'!D49</f>
        <v>18946.133333333335</v>
      </c>
      <c r="F8" s="34">
        <f>'23'!E49</f>
        <v>18946.133333333335</v>
      </c>
    </row>
    <row r="9" spans="1:12">
      <c r="A9" s="89" t="s">
        <v>186</v>
      </c>
      <c r="B9" s="47">
        <f>'8'!D49</f>
        <v>8631.0166666666664</v>
      </c>
      <c r="C9" s="34">
        <f>'8'!E49</f>
        <v>8631.0166666666664</v>
      </c>
      <c r="D9" s="97" t="s">
        <v>187</v>
      </c>
      <c r="E9" s="47">
        <f>'24'!D49</f>
        <v>6628.3500000000013</v>
      </c>
      <c r="F9" s="34">
        <f>'24'!E49</f>
        <v>6628.3500000000013</v>
      </c>
      <c r="G9" s="44" t="s">
        <v>21</v>
      </c>
      <c r="H9" s="45">
        <f>SUM(B2:B17)+SUM(E2:E16)</f>
        <v>315936.24999999994</v>
      </c>
      <c r="I9" s="45">
        <f>SUM(C2:C17)+SUM(F2:F16)</f>
        <v>315936.25</v>
      </c>
    </row>
    <row r="10" spans="1:12">
      <c r="A10" s="89" t="s">
        <v>188</v>
      </c>
      <c r="B10" s="47">
        <f>'9'!D49</f>
        <v>6736.4833333333336</v>
      </c>
      <c r="C10" s="34">
        <f>'9'!E49</f>
        <v>6736.4833333333336</v>
      </c>
      <c r="D10" s="97" t="s">
        <v>189</v>
      </c>
      <c r="E10" s="47">
        <f>'25'!D49</f>
        <v>5232.583333333333</v>
      </c>
      <c r="F10" s="34">
        <f>'25'!E49</f>
        <v>5232.583333333333</v>
      </c>
      <c r="G10" s="43" t="s">
        <v>22</v>
      </c>
      <c r="H10" s="50">
        <f>SUM(H2:H6)</f>
        <v>315936.25</v>
      </c>
      <c r="I10" s="50">
        <f>SUM(I2:I6)</f>
        <v>315936.25</v>
      </c>
    </row>
    <row r="11" spans="1:12">
      <c r="A11" s="89" t="s">
        <v>190</v>
      </c>
      <c r="B11" s="47">
        <f>'10'!D49</f>
        <v>11771.166666666666</v>
      </c>
      <c r="C11" s="34">
        <f>'10'!E49</f>
        <v>11771.166666666666</v>
      </c>
      <c r="D11" s="97" t="s">
        <v>191</v>
      </c>
      <c r="E11" s="47">
        <f>'26'!D49</f>
        <v>24669.916666666664</v>
      </c>
      <c r="F11" s="34">
        <f>'26'!E49</f>
        <v>24669.916666666664</v>
      </c>
      <c r="G11" s="41" t="s">
        <v>23</v>
      </c>
      <c r="H11" s="42">
        <f>K2</f>
        <v>315936.25</v>
      </c>
      <c r="I11" s="42">
        <f>L2</f>
        <v>315936.25</v>
      </c>
    </row>
    <row r="12" spans="1:12">
      <c r="A12" s="89" t="s">
        <v>192</v>
      </c>
      <c r="B12" s="47">
        <f>'11'!D49</f>
        <v>15369.749999999996</v>
      </c>
      <c r="C12" s="34">
        <f>'11'!E49</f>
        <v>15369.749999999996</v>
      </c>
      <c r="D12" s="97" t="s">
        <v>193</v>
      </c>
      <c r="E12" s="47">
        <f>'27'!D49</f>
        <v>5601.1833333333334</v>
      </c>
      <c r="F12" s="34">
        <f>'27'!E49</f>
        <v>5601.1833333333334</v>
      </c>
    </row>
    <row r="13" spans="1:12">
      <c r="A13" s="89" t="s">
        <v>194</v>
      </c>
      <c r="B13" s="47">
        <f>'12'!D49</f>
        <v>6995.9333333333316</v>
      </c>
      <c r="C13" s="34">
        <f>'12'!E49</f>
        <v>6995.9333333333316</v>
      </c>
      <c r="D13" s="97" t="s">
        <v>195</v>
      </c>
      <c r="E13" s="47">
        <f>'28'!D49</f>
        <v>20955.333333333336</v>
      </c>
      <c r="F13" s="34">
        <f>'28'!E49</f>
        <v>20955.333333333336</v>
      </c>
    </row>
    <row r="14" spans="1:12">
      <c r="A14" s="89" t="s">
        <v>196</v>
      </c>
      <c r="B14" s="47">
        <f>'13'!D49</f>
        <v>3882.1499999999996</v>
      </c>
      <c r="C14" s="34">
        <f>'13'!E49</f>
        <v>3882.1499999999996</v>
      </c>
      <c r="D14" s="97" t="s">
        <v>197</v>
      </c>
      <c r="E14" s="47">
        <v>20957.583333333299</v>
      </c>
      <c r="F14" s="34">
        <v>20957.583333333332</v>
      </c>
    </row>
    <row r="15" spans="1:12">
      <c r="A15" s="89" t="s">
        <v>198</v>
      </c>
      <c r="B15" s="47">
        <f>'14'!D49</f>
        <v>8307.1833333333325</v>
      </c>
      <c r="C15" s="34">
        <f>'14'!E49</f>
        <v>8307.1833333333325</v>
      </c>
      <c r="D15" s="97" t="s">
        <v>199</v>
      </c>
      <c r="E15" s="47">
        <f>'30'!D49</f>
        <v>13998.099999999999</v>
      </c>
      <c r="F15" s="34">
        <f>'30'!E49</f>
        <v>13998.099999999999</v>
      </c>
      <c r="K15" s="46"/>
    </row>
    <row r="16" spans="1:12">
      <c r="A16" s="89" t="s">
        <v>200</v>
      </c>
      <c r="B16" s="47">
        <f>'15'!D49</f>
        <v>7911.8833333333341</v>
      </c>
      <c r="C16" s="34">
        <f>'15'!E49</f>
        <v>7911.8833333333341</v>
      </c>
      <c r="D16" s="97"/>
      <c r="E16" s="47"/>
      <c r="F16" s="34"/>
    </row>
    <row r="17" spans="1:5">
      <c r="A17" s="89" t="s">
        <v>201</v>
      </c>
      <c r="B17" s="47">
        <f>'16'!D49</f>
        <v>3736.0833333333339</v>
      </c>
      <c r="C17" s="34">
        <f>'16'!E49</f>
        <v>3736.0833333333339</v>
      </c>
      <c r="E17" s="46"/>
    </row>
  </sheetData>
  <hyperlinks>
    <hyperlink ref="J2" location="M!A1" display="1st-31st March 2021"/>
    <hyperlink ref="G2" location="'W1'!A1" display="01 October 2021 to 03 October 2021"/>
    <hyperlink ref="G3:G6" location="'W1'!A1" display="01 October 2021 to 03 October 2021"/>
    <hyperlink ref="A2" location="'1'!A1" display="1st October 2024"/>
    <hyperlink ref="A3" location="'2'!A1" display="2nd October 2024"/>
    <hyperlink ref="A4" location="'3'!A1" display="3rd October 2024"/>
    <hyperlink ref="A5" location="'4'!A1" display="4th October 2024"/>
    <hyperlink ref="A6" location="'5'!A1" display="5th October 2024"/>
    <hyperlink ref="A7" location="'6'!A1" display="6th October 2024"/>
    <hyperlink ref="A8" location="'7'!A1" display="7th October 2024"/>
    <hyperlink ref="A9" location="'8'!A1" display="8th October 2024"/>
    <hyperlink ref="A10" location="'9'!A1" display="9th October 2024"/>
    <hyperlink ref="A11" location="'10'!A1" display="10th October 2024"/>
    <hyperlink ref="A12" location="'11'!A1" display="11th October 2024"/>
    <hyperlink ref="A13" location="'12'!A1" display="12th October 2024"/>
    <hyperlink ref="A14" location="'13'!A1" display="13th October 2024"/>
    <hyperlink ref="A15" location="'14'!A1" display="14th October 2024"/>
    <hyperlink ref="A16" location="'15'!A1" display="15th October 2024"/>
    <hyperlink ref="A17" location="'16'!A1" display="16th October 2024"/>
    <hyperlink ref="D2" location="'17'!A1" display="17th October 2024"/>
    <hyperlink ref="D3" location="'18'!A1" display="18th October 2024"/>
    <hyperlink ref="D4" location="'19'!A1" display="19th October 2024"/>
    <hyperlink ref="D5" location="'20'!A1" display="20th October 2024"/>
    <hyperlink ref="D6" location="'21'!A1" display="21st October 2024"/>
    <hyperlink ref="D7" location="'22'!A1" display="22nd October 2024"/>
    <hyperlink ref="D8" location="'23'!A1" display="23rd October 2024"/>
    <hyperlink ref="D9" location="'24'!A1" display="24th October 2024"/>
    <hyperlink ref="D10" location="'25'!A1" display="25th October 2024"/>
    <hyperlink ref="D11" location="'26'!A1" display="26th October 2024"/>
    <hyperlink ref="D12" location="'27'!A1" display="27th October 2024"/>
    <hyperlink ref="D13" location="'28'!A1" display="28th October 2024"/>
    <hyperlink ref="G3" location="'W2'!A1" display="07 Oct 2024 to 13 Oct 2024"/>
    <hyperlink ref="G4" location="'W3'!A1" display="14 Oct 2024 to 20 Oct 2024"/>
    <hyperlink ref="G5" location="'W4'!A1" display="21 Oct 2024 to 27 Oct 2024"/>
    <hyperlink ref="G6" location="'W5'!A1" display="28 Oct 2024 to 31 Oct 2024"/>
    <hyperlink ref="D14:D16" location="'28'!A1" display="28th October 2024"/>
    <hyperlink ref="D15" location="'30'!A1" display="30th April 2025"/>
  </hyperlinks>
  <pageMargins left="0.7" right="0.7" top="0.75" bottom="0.75" header="0.3" footer="0.3"/>
  <pageSetup orientation="portrait" verticalDpi="0" r:id="rId1"/>
  <ignoredErrors>
    <ignoredError sqref="B3:B17 E2:E15 H2:H6" calculatedColumn="1"/>
  </ignoredErrors>
  <tableParts count="3">
    <tablePart r:id="rId2"/>
    <tablePart r:id="rId3"/>
    <tablePart r:id="rId4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"/>
  <sheetViews>
    <sheetView workbookViewId="0">
      <selection activeCell="D3" sqref="D3"/>
    </sheetView>
  </sheetViews>
  <sheetFormatPr defaultRowHeight="14.5"/>
  <cols>
    <col min="1" max="1" width="26.7265625" bestFit="1" customWidth="1"/>
    <col min="2" max="2" width="37" bestFit="1" customWidth="1"/>
    <col min="3" max="3" width="10.453125" customWidth="1"/>
    <col min="4" max="9" width="12.7265625" customWidth="1"/>
  </cols>
  <sheetData>
    <row r="1" spans="1:12" ht="18.5">
      <c r="A1" s="23" t="str">
        <f>H!A13</f>
        <v>12th April 2025</v>
      </c>
      <c r="B1" s="24"/>
      <c r="C1" s="24"/>
      <c r="D1" s="22" t="s">
        <v>16</v>
      </c>
      <c r="E1" s="22" t="s">
        <v>9</v>
      </c>
      <c r="F1" s="22" t="s">
        <v>17</v>
      </c>
    </row>
    <row r="2" spans="1:12" ht="31">
      <c r="A2" s="1" t="s">
        <v>0</v>
      </c>
      <c r="B2" s="2" t="s">
        <v>1</v>
      </c>
      <c r="C2" s="2" t="s">
        <v>2</v>
      </c>
      <c r="D2" s="2" t="s">
        <v>3</v>
      </c>
      <c r="E2" s="2" t="s">
        <v>11</v>
      </c>
      <c r="F2" s="2" t="s">
        <v>4</v>
      </c>
      <c r="G2" s="4" t="s">
        <v>6</v>
      </c>
      <c r="H2" s="4" t="s">
        <v>7</v>
      </c>
      <c r="I2" s="3" t="s">
        <v>8</v>
      </c>
    </row>
    <row r="3" spans="1:12">
      <c r="A3" s="11" t="str">
        <f>Table333456789101217[[#This Row],[Carrier]]</f>
        <v>Blaze</v>
      </c>
      <c r="B3" s="5" t="str">
        <f>Table333456789101217[[#This Row],[IP]]</f>
        <v>8.12.34.56/48.163.17.845/60.502.86.203/191.45.28.14</v>
      </c>
      <c r="C3" s="6" t="str">
        <f>Table333456789101217[[#This Row],[Carrier Code]]</f>
        <v>BZ</v>
      </c>
      <c r="D3" s="53">
        <v>0</v>
      </c>
      <c r="E3" s="53">
        <v>0</v>
      </c>
      <c r="F3" s="18">
        <f>Table33345678910121118[[#This Row],[Company Panel]]+Table333456789101211[[#This Row],[MTD Company]]</f>
        <v>0</v>
      </c>
      <c r="G3" s="18">
        <f>Table33345678910121118[[#This Row],[Our panel]]+Table333456789101211[[#This Row],[MTD Panel]]</f>
        <v>0</v>
      </c>
      <c r="H3" s="13">
        <f>Table33345678910121118[[#This Row],[Company Panel]]-Table33345678910121118[[#This Row],[Our panel]]</f>
        <v>0</v>
      </c>
      <c r="I3" s="13">
        <f>Table33345678910121118[[#This Row],[MTD Company]]-Table33345678910121118[[#This Row],[MTD Panel]]</f>
        <v>0</v>
      </c>
    </row>
    <row r="4" spans="1:12">
      <c r="A4" s="11" t="str">
        <f>Table333456789101217[[#This Row],[Carrier]]</f>
        <v>Titan</v>
      </c>
      <c r="B4" s="5" t="str">
        <f>Table333456789101217[[#This Row],[IP]]</f>
        <v>123.45.67.89/123.45.67.93/203.24.101.65</v>
      </c>
      <c r="C4" s="6" t="str">
        <f>Table333456789101217[[#This Row],[Carrier Code]]</f>
        <v>TI</v>
      </c>
      <c r="D4" s="53">
        <v>1.5333333333333334</v>
      </c>
      <c r="E4" s="53">
        <v>1.5333333333333334</v>
      </c>
      <c r="F4" s="18">
        <f>Table33345678910121118[[#This Row],[Company Panel]]+Table333456789101211[[#This Row],[MTD Company]]</f>
        <v>313.01666666666665</v>
      </c>
      <c r="G4" s="18">
        <f>Table33345678910121118[[#This Row],[Our panel]]+Table333456789101211[[#This Row],[MTD Panel]]</f>
        <v>313.01666666666665</v>
      </c>
      <c r="H4" s="13">
        <f>Table33345678910121118[[#This Row],[Company Panel]]-Table33345678910121118[[#This Row],[Our panel]]</f>
        <v>0</v>
      </c>
      <c r="I4" s="13">
        <f>Table33345678910121118[[#This Row],[MTD Company]]-Table33345678910121118[[#This Row],[MTD Panel]]</f>
        <v>0</v>
      </c>
      <c r="L4" s="9"/>
    </row>
    <row r="5" spans="1:12">
      <c r="A5" s="11" t="str">
        <f>Table333456789101217[[#This Row],[Carrier]]</f>
        <v>Hollow</v>
      </c>
      <c r="B5" s="5" t="str">
        <f>Table333456789101217[[#This Row],[IP]]</f>
        <v>204.56.78.100/204.56.57.169/52.94.101.12</v>
      </c>
      <c r="C5" s="6" t="str">
        <f>Table333456789101217[[#This Row],[Carrier Code]]</f>
        <v>HO</v>
      </c>
      <c r="D5" s="53">
        <v>0</v>
      </c>
      <c r="E5" s="53">
        <v>0</v>
      </c>
      <c r="F5" s="18">
        <f>Table33345678910121118[[#This Row],[Company Panel]]+Table333456789101211[[#This Row],[MTD Company]]</f>
        <v>0</v>
      </c>
      <c r="G5" s="18">
        <f>Table33345678910121118[[#This Row],[Our panel]]+Table333456789101211[[#This Row],[MTD Panel]]</f>
        <v>0</v>
      </c>
      <c r="H5" s="13">
        <f>Table33345678910121118[[#This Row],[Company Panel]]-Table33345678910121118[[#This Row],[Our panel]]</f>
        <v>0</v>
      </c>
      <c r="I5" s="13">
        <f>Table33345678910121118[[#This Row],[MTD Company]]-Table33345678910121118[[#This Row],[MTD Panel]]</f>
        <v>0</v>
      </c>
    </row>
    <row r="6" spans="1:12">
      <c r="A6" s="11" t="str">
        <f>Table333456789101217[[#This Row],[Carrier]]</f>
        <v>Prism</v>
      </c>
      <c r="B6" s="5" t="str">
        <f>Table333456789101217[[#This Row],[IP]]</f>
        <v>35.118.22.45/137.63.112.25</v>
      </c>
      <c r="C6" s="6" t="str">
        <f>Table333456789101217[[#This Row],[Carrier Code]]</f>
        <v>PS</v>
      </c>
      <c r="D6" s="53">
        <v>4364.6499999999996</v>
      </c>
      <c r="E6" s="53">
        <v>4364.6499999999996</v>
      </c>
      <c r="F6" s="18">
        <f>Table33345678910121118[[#This Row],[Company Panel]]+Table333456789101211[[#This Row],[MTD Company]]</f>
        <v>59645.433333333327</v>
      </c>
      <c r="G6" s="18">
        <f>Table33345678910121118[[#This Row],[Our panel]]+Table333456789101211[[#This Row],[MTD Panel]]</f>
        <v>59645.433333333327</v>
      </c>
      <c r="H6" s="13">
        <f>Table33345678910121118[[#This Row],[Company Panel]]-Table33345678910121118[[#This Row],[Our panel]]</f>
        <v>0</v>
      </c>
      <c r="I6" s="13">
        <f>Table33345678910121118[[#This Row],[MTD Company]]-Table33345678910121118[[#This Row],[MTD Panel]]</f>
        <v>0</v>
      </c>
    </row>
    <row r="7" spans="1:12">
      <c r="A7" s="11" t="str">
        <f>Table333456789101217[[#This Row],[Carrier]]</f>
        <v>Echo</v>
      </c>
      <c r="B7" s="5" t="str">
        <f>Table333456789101217[[#This Row],[IP]]</f>
        <v>66.89.101.10/66.89.101.19/66.89.101.23/66.89.101.45/66.89.101.81/85.21.34.99</v>
      </c>
      <c r="C7" s="6" t="str">
        <f>Table333456789101217[[#This Row],[Carrier Code]]</f>
        <v>EC</v>
      </c>
      <c r="D7" s="53">
        <v>2.4333333333333331</v>
      </c>
      <c r="E7" s="53">
        <v>2.4333333333333331</v>
      </c>
      <c r="F7" s="18">
        <f>Table33345678910121118[[#This Row],[Company Panel]]+Table333456789101211[[#This Row],[MTD Company]]</f>
        <v>27.366666666666667</v>
      </c>
      <c r="G7" s="18">
        <f>Table33345678910121118[[#This Row],[Our panel]]+Table333456789101211[[#This Row],[MTD Panel]]</f>
        <v>27.366666666666667</v>
      </c>
      <c r="H7" s="13">
        <f>Table33345678910121118[[#This Row],[Company Panel]]-Table33345678910121118[[#This Row],[Our panel]]</f>
        <v>0</v>
      </c>
      <c r="I7" s="13">
        <f>Table33345678910121118[[#This Row],[MTD Company]]-Table33345678910121118[[#This Row],[MTD Panel]]</f>
        <v>0</v>
      </c>
    </row>
    <row r="8" spans="1:12">
      <c r="A8" s="11" t="str">
        <f>Table333456789101217[[#This Row],[Carrier]]</f>
        <v>Strike</v>
      </c>
      <c r="B8" s="5" t="str">
        <f>Table333456789101217[[#This Row],[IP]]</f>
        <v>100.200.150.3/100.200.165.38/41.102.90.78</v>
      </c>
      <c r="C8" s="6" t="str">
        <f>Table333456789101217[[#This Row],[Carrier Code]]</f>
        <v>ST</v>
      </c>
      <c r="D8" s="53">
        <v>89.533333333333331</v>
      </c>
      <c r="E8" s="53">
        <v>89.533333333333331</v>
      </c>
      <c r="F8" s="18">
        <f>Table33345678910121118[[#This Row],[Company Panel]]+Table333456789101211[[#This Row],[MTD Company]]</f>
        <v>1337.8999999999996</v>
      </c>
      <c r="G8" s="18">
        <f>Table33345678910121118[[#This Row],[Our panel]]+Table333456789101211[[#This Row],[MTD Panel]]</f>
        <v>1337.8999999999996</v>
      </c>
      <c r="H8" s="13">
        <f>Table33345678910121118[[#This Row],[Company Panel]]-Table33345678910121118[[#This Row],[Our panel]]</f>
        <v>0</v>
      </c>
      <c r="I8" s="13">
        <f>Table33345678910121118[[#This Row],[MTD Company]]-Table33345678910121118[[#This Row],[MTD Panel]]</f>
        <v>0</v>
      </c>
      <c r="L8" s="9"/>
    </row>
    <row r="9" spans="1:12">
      <c r="A9" s="11" t="str">
        <f>Table333456789101217[[#This Row],[Carrier]]</f>
        <v>Blunt</v>
      </c>
      <c r="B9" s="5" t="str">
        <f>Table333456789101217[[#This Row],[IP]]</f>
        <v>52.28.191.25/52.28.191.38/52.28.191.24/61.110.23.45</v>
      </c>
      <c r="C9" s="6" t="str">
        <f>Table333456789101217[[#This Row],[Carrier Code]]</f>
        <v>BL</v>
      </c>
      <c r="D9" s="53">
        <v>648.2166666666667</v>
      </c>
      <c r="E9" s="53">
        <v>648.2166666666667</v>
      </c>
      <c r="F9" s="18">
        <f>Table33345678910121118[[#This Row],[Company Panel]]+Table333456789101211[[#This Row],[MTD Company]]</f>
        <v>6439.9166666666661</v>
      </c>
      <c r="G9" s="18">
        <f>Table33345678910121118[[#This Row],[Our panel]]+Table333456789101211[[#This Row],[MTD Panel]]</f>
        <v>6439.9166666666661</v>
      </c>
      <c r="H9" s="13">
        <f>Table33345678910121118[[#This Row],[Company Panel]]-Table33345678910121118[[#This Row],[Our panel]]</f>
        <v>0</v>
      </c>
      <c r="I9" s="13">
        <f>Table33345678910121118[[#This Row],[MTD Company]]-Table33345678910121118[[#This Row],[MTD Panel]]</f>
        <v>0</v>
      </c>
    </row>
    <row r="10" spans="1:12">
      <c r="A10" s="11" t="str">
        <f>Table333456789101217[[#This Row],[Carrier]]</f>
        <v>Law</v>
      </c>
      <c r="B10" s="5" t="str">
        <f>Table333456789101217[[#This Row],[IP]]</f>
        <v>77.88.99.21/77.88.99.88/77.88.99.94/110.56.211.7</v>
      </c>
      <c r="C10" s="6" t="str">
        <f>Table333456789101217[[#This Row],[Carrier Code]]</f>
        <v>LA</v>
      </c>
      <c r="D10" s="53">
        <v>0</v>
      </c>
      <c r="E10" s="53">
        <v>0</v>
      </c>
      <c r="F10" s="18">
        <f>Table33345678910121118[[#This Row],[Company Panel]]+Table333456789101211[[#This Row],[MTD Company]]</f>
        <v>0</v>
      </c>
      <c r="G10" s="18">
        <f>Table33345678910121118[[#This Row],[Our panel]]+Table333456789101211[[#This Row],[MTD Panel]]</f>
        <v>0</v>
      </c>
      <c r="H10" s="13">
        <f>Table33345678910121118[[#This Row],[Company Panel]]-Table33345678910121118[[#This Row],[Our panel]]</f>
        <v>0</v>
      </c>
      <c r="I10" s="13">
        <f>Table33345678910121118[[#This Row],[MTD Company]]-Table33345678910121118[[#This Row],[MTD Panel]]</f>
        <v>0</v>
      </c>
    </row>
    <row r="11" spans="1:12">
      <c r="A11" s="11" t="str">
        <f>Table333456789101217[[#This Row],[Carrier]]</f>
        <v>Pulse</v>
      </c>
      <c r="B11" s="5" t="str">
        <f>Table333456789101217[[#This Row],[IP]]</f>
        <v>198.51.100.130/31.725.16.608/66.59.61.503/167.34.122.90</v>
      </c>
      <c r="C11" s="6" t="str">
        <f>Table333456789101217[[#This Row],[Carrier Code]]</f>
        <v>PU</v>
      </c>
      <c r="D11" s="53">
        <v>0</v>
      </c>
      <c r="E11" s="53">
        <v>0</v>
      </c>
      <c r="F11" s="18">
        <f>Table33345678910121118[[#This Row],[Company Panel]]+Table333456789101211[[#This Row],[MTD Company]]</f>
        <v>0</v>
      </c>
      <c r="G11" s="18">
        <f>Table33345678910121118[[#This Row],[Our panel]]+Table333456789101211[[#This Row],[MTD Panel]]</f>
        <v>0</v>
      </c>
      <c r="H11" s="13">
        <f>Table33345678910121118[[#This Row],[Company Panel]]-Table33345678910121118[[#This Row],[Our panel]]</f>
        <v>0</v>
      </c>
      <c r="I11" s="13">
        <f>Table33345678910121118[[#This Row],[MTD Company]]-Table33345678910121118[[#This Row],[MTD Panel]]</f>
        <v>0</v>
      </c>
    </row>
    <row r="12" spans="1:12">
      <c r="A12" s="11" t="str">
        <f>Table333456789101217[[#This Row],[Carrier]]</f>
        <v>Phantom</v>
      </c>
      <c r="B12" s="5" t="str">
        <f>Table333456789101217[[#This Row],[IP]]</f>
        <v>141.15.210.67/141.15.42.82/179.62.211.4</v>
      </c>
      <c r="C12" s="6" t="str">
        <f>Table333456789101217[[#This Row],[Carrier Code]]</f>
        <v>PH</v>
      </c>
      <c r="D12" s="53">
        <v>44.466666666666669</v>
      </c>
      <c r="E12" s="53">
        <v>44.466666666666669</v>
      </c>
      <c r="F12" s="18">
        <f>Table33345678910121118[[#This Row],[Company Panel]]+Table333456789101211[[#This Row],[MTD Company]]</f>
        <v>3322.516666666666</v>
      </c>
      <c r="G12" s="18">
        <f>Table33345678910121118[[#This Row],[Our panel]]+Table333456789101211[[#This Row],[MTD Panel]]</f>
        <v>3322.516666666666</v>
      </c>
      <c r="H12" s="13">
        <f>Table33345678910121118[[#This Row],[Company Panel]]-Table33345678910121118[[#This Row],[Our panel]]</f>
        <v>0</v>
      </c>
      <c r="I12" s="13">
        <f>Table33345678910121118[[#This Row],[MTD Company]]-Table33345678910121118[[#This Row],[MTD Panel]]</f>
        <v>0</v>
      </c>
    </row>
    <row r="13" spans="1:12">
      <c r="A13" s="11" t="str">
        <f>Table333456789101217[[#This Row],[Carrier]]</f>
        <v>Dragon</v>
      </c>
      <c r="B13" s="5" t="str">
        <f>Table333456789101217[[#This Row],[IP]]</f>
        <v>12.34.56.78/12.34.56.128/200.180.245.18</v>
      </c>
      <c r="C13" s="6" t="str">
        <f>Table333456789101217[[#This Row],[Carrier Code]]</f>
        <v>DG</v>
      </c>
      <c r="D13" s="53">
        <v>0</v>
      </c>
      <c r="E13" s="53">
        <v>0</v>
      </c>
      <c r="F13" s="18">
        <f>Table33345678910121118[[#This Row],[Company Panel]]+Table333456789101211[[#This Row],[MTD Company]]</f>
        <v>0</v>
      </c>
      <c r="G13" s="18">
        <f>Table33345678910121118[[#This Row],[Our panel]]+Table333456789101211[[#This Row],[MTD Panel]]</f>
        <v>0</v>
      </c>
      <c r="H13" s="13">
        <f>Table33345678910121118[[#This Row],[Company Panel]]-Table33345678910121118[[#This Row],[Our panel]]</f>
        <v>0</v>
      </c>
      <c r="I13" s="13">
        <f>Table33345678910121118[[#This Row],[MTD Company]]-Table33345678910121118[[#This Row],[MTD Panel]]</f>
        <v>0</v>
      </c>
    </row>
    <row r="14" spans="1:12">
      <c r="A14" s="11" t="str">
        <f>Table333456789101217[[#This Row],[Carrier]]</f>
        <v>Tempest</v>
      </c>
      <c r="B14" s="5" t="str">
        <f>Table333456789101217[[#This Row],[IP]]</f>
        <v>59.144.223.88/55.39.99.60</v>
      </c>
      <c r="C14" s="6" t="str">
        <f>Table333456789101217[[#This Row],[Carrier Code]]</f>
        <v>TE</v>
      </c>
      <c r="D14" s="53">
        <v>0</v>
      </c>
      <c r="E14" s="53">
        <v>0</v>
      </c>
      <c r="F14" s="18">
        <f>Table33345678910121118[[#This Row],[Company Panel]]+Table333456789101211[[#This Row],[MTD Company]]</f>
        <v>0</v>
      </c>
      <c r="G14" s="18">
        <f>Table33345678910121118[[#This Row],[Our panel]]+Table333456789101211[[#This Row],[MTD Panel]]</f>
        <v>0</v>
      </c>
      <c r="H14" s="13">
        <f>Table33345678910121118[[#This Row],[Company Panel]]-Table33345678910121118[[#This Row],[Our panel]]</f>
        <v>0</v>
      </c>
      <c r="I14" s="13">
        <f>Table33345678910121118[[#This Row],[MTD Company]]-Table33345678910121118[[#This Row],[MTD Panel]]</f>
        <v>0</v>
      </c>
    </row>
    <row r="15" spans="1:12">
      <c r="A15" s="11" t="str">
        <f>Table333456789101217[[#This Row],[Carrier]]</f>
        <v>Shadow</v>
      </c>
      <c r="B15" s="5" t="str">
        <f>Table333456789101217[[#This Row],[IP]]</f>
        <v>175.45.112.100/25.851.31.153/39.80.220.100</v>
      </c>
      <c r="C15" s="6" t="str">
        <f>Table333456789101217[[#This Row],[Carrier Code]]</f>
        <v>SH</v>
      </c>
      <c r="D15" s="53">
        <v>0</v>
      </c>
      <c r="E15" s="53">
        <v>0</v>
      </c>
      <c r="F15" s="18">
        <f>Table33345678910121118[[#This Row],[Company Panel]]+Table333456789101211[[#This Row],[MTD Company]]</f>
        <v>0</v>
      </c>
      <c r="G15" s="18">
        <f>Table33345678910121118[[#This Row],[Our panel]]+Table333456789101211[[#This Row],[MTD Panel]]</f>
        <v>0</v>
      </c>
      <c r="H15" s="13">
        <f>Table33345678910121118[[#This Row],[Company Panel]]-Table33345678910121118[[#This Row],[Our panel]]</f>
        <v>0</v>
      </c>
      <c r="I15" s="13">
        <f>Table33345678910121118[[#This Row],[MTD Company]]-Table33345678910121118[[#This Row],[MTD Panel]]</f>
        <v>0</v>
      </c>
    </row>
    <row r="16" spans="1:12">
      <c r="A16" s="11" t="str">
        <f>Table333456789101217[[#This Row],[Carrier]]</f>
        <v>Cyclone</v>
      </c>
      <c r="B16" s="5" t="str">
        <f>Table333456789101217[[#This Row],[IP]]</f>
        <v>150.13.75.190/16.160.89.512/72.11.97.34</v>
      </c>
      <c r="C16" s="6" t="str">
        <f>Table333456789101217[[#This Row],[Carrier Code]]</f>
        <v>CY</v>
      </c>
      <c r="D16" s="53">
        <v>0</v>
      </c>
      <c r="E16" s="53">
        <v>0</v>
      </c>
      <c r="F16" s="18">
        <f>Table33345678910121118[[#This Row],[Company Panel]]+Table333456789101211[[#This Row],[MTD Company]]</f>
        <v>0</v>
      </c>
      <c r="G16" s="18">
        <f>Table33345678910121118[[#This Row],[Our panel]]+Table333456789101211[[#This Row],[MTD Panel]]</f>
        <v>0</v>
      </c>
      <c r="H16" s="13">
        <f>Table33345678910121118[[#This Row],[Company Panel]]-Table33345678910121118[[#This Row],[Our panel]]</f>
        <v>0</v>
      </c>
      <c r="I16" s="13">
        <f>Table33345678910121118[[#This Row],[MTD Company]]-Table33345678910121118[[#This Row],[MTD Panel]]</f>
        <v>0</v>
      </c>
    </row>
    <row r="17" spans="1:9">
      <c r="A17" s="11" t="str">
        <f>Table333456789101217[[#This Row],[Carrier]]</f>
        <v>Reaver</v>
      </c>
      <c r="B17" s="5" t="str">
        <f>Table333456789101217[[#This Row],[IP]]</f>
        <v>203.0.113.44/188.17.56.210</v>
      </c>
      <c r="C17" s="6" t="str">
        <f>Table333456789101217[[#This Row],[Carrier Code]]</f>
        <v>RE</v>
      </c>
      <c r="D17" s="53">
        <v>0</v>
      </c>
      <c r="E17" s="53">
        <v>0</v>
      </c>
      <c r="F17" s="18">
        <f>Table33345678910121118[[#This Row],[Company Panel]]+Table333456789101211[[#This Row],[MTD Company]]</f>
        <v>0</v>
      </c>
      <c r="G17" s="18">
        <f>Table33345678910121118[[#This Row],[Our panel]]+Table333456789101211[[#This Row],[MTD Panel]]</f>
        <v>0</v>
      </c>
      <c r="H17" s="13">
        <f>Table33345678910121118[[#This Row],[Company Panel]]-Table33345678910121118[[#This Row],[Our panel]]</f>
        <v>0</v>
      </c>
      <c r="I17" s="13">
        <f>Table33345678910121118[[#This Row],[MTD Company]]-Table33345678910121118[[#This Row],[MTD Panel]]</f>
        <v>0</v>
      </c>
    </row>
    <row r="18" spans="1:9">
      <c r="A18" s="11" t="str">
        <f>Table333456789101217[[#This Row],[Carrier]]</f>
        <v>Forge</v>
      </c>
      <c r="B18" s="5" t="str">
        <f>Table333456789101217[[#This Row],[IP]]</f>
        <v>112.54.89.168/112.54.89.138</v>
      </c>
      <c r="C18" s="6" t="str">
        <f>Table333456789101217[[#This Row],[Carrier Code]]</f>
        <v>FO</v>
      </c>
      <c r="D18" s="53">
        <v>14.816666666666666</v>
      </c>
      <c r="E18" s="53">
        <v>14.816666666666666</v>
      </c>
      <c r="F18" s="18">
        <f>Table33345678910121118[[#This Row],[Company Panel]]+Table333456789101211[[#This Row],[MTD Company]]</f>
        <v>330.75</v>
      </c>
      <c r="G18" s="18">
        <f>Table33345678910121118[[#This Row],[Our panel]]+Table333456789101211[[#This Row],[MTD Panel]]</f>
        <v>330.75</v>
      </c>
      <c r="H18" s="13">
        <f>Table33345678910121118[[#This Row],[Company Panel]]-Table33345678910121118[[#This Row],[Our panel]]</f>
        <v>0</v>
      </c>
      <c r="I18" s="13">
        <f>Table33345678910121118[[#This Row],[MTD Company]]-Table33345678910121118[[#This Row],[MTD Panel]]</f>
        <v>0</v>
      </c>
    </row>
    <row r="19" spans="1:9">
      <c r="A19" s="11" t="str">
        <f>Table333456789101217[[#This Row],[Carrier]]</f>
        <v>Ember</v>
      </c>
      <c r="B19" s="5" t="str">
        <f>Table333456789101217[[#This Row],[IP]]</f>
        <v>78.34.90.24/328.56.122.44/142.150.75.22</v>
      </c>
      <c r="C19" s="6" t="str">
        <f>Table333456789101217[[#This Row],[Carrier Code]]</f>
        <v>EM</v>
      </c>
      <c r="D19" s="53">
        <v>0</v>
      </c>
      <c r="E19" s="53">
        <v>0</v>
      </c>
      <c r="F19" s="18">
        <f>Table33345678910121118[[#This Row],[Company Panel]]+Table333456789101211[[#This Row],[MTD Company]]</f>
        <v>0</v>
      </c>
      <c r="G19" s="18">
        <f>Table33345678910121118[[#This Row],[Our panel]]+Table333456789101211[[#This Row],[MTD Panel]]</f>
        <v>0</v>
      </c>
      <c r="H19" s="13">
        <f>Table33345678910121118[[#This Row],[Company Panel]]-Table33345678910121118[[#This Row],[Our panel]]</f>
        <v>0</v>
      </c>
      <c r="I19" s="13">
        <f>Table33345678910121118[[#This Row],[MTD Company]]-Table33345678910121118[[#This Row],[MTD Panel]]</f>
        <v>0</v>
      </c>
    </row>
    <row r="20" spans="1:9">
      <c r="A20" s="11" t="str">
        <f>Table333456789101217[[#This Row],[Carrier]]</f>
        <v>Specter</v>
      </c>
      <c r="B20" s="5" t="str">
        <f>Table333456789101217[[#This Row],[IP]]</f>
        <v>205.60.34.150</v>
      </c>
      <c r="C20" s="6" t="str">
        <f>Table333456789101217[[#This Row],[Carrier Code]]</f>
        <v>SP</v>
      </c>
      <c r="D20" s="53">
        <v>0.13333333333333333</v>
      </c>
      <c r="E20" s="53">
        <v>0.13333333333333333</v>
      </c>
      <c r="F20" s="18">
        <f>Table33345678910121118[[#This Row],[Company Panel]]+Table333456789101211[[#This Row],[MTD Company]]</f>
        <v>11.583333333333334</v>
      </c>
      <c r="G20" s="18">
        <f>Table33345678910121118[[#This Row],[Our panel]]+Table333456789101211[[#This Row],[MTD Panel]]</f>
        <v>11.583333333333334</v>
      </c>
      <c r="H20" s="13">
        <f>Table33345678910121118[[#This Row],[Company Panel]]-Table33345678910121118[[#This Row],[Our panel]]</f>
        <v>0</v>
      </c>
      <c r="I20" s="13">
        <f>Table33345678910121118[[#This Row],[MTD Company]]-Table33345678910121118[[#This Row],[MTD Panel]]</f>
        <v>0</v>
      </c>
    </row>
    <row r="21" spans="1:9">
      <c r="A21" s="11" t="str">
        <f>Table333456789101217[[#This Row],[Carrier]]</f>
        <v>Throne</v>
      </c>
      <c r="B21" s="5" t="str">
        <f>Table333456789101217[[#This Row],[IP]]</f>
        <v>54.32.11.90/27.758.27.201/125.150.58.20</v>
      </c>
      <c r="C21" s="6" t="str">
        <f>Table333456789101217[[#This Row],[Carrier Code]]</f>
        <v>TH</v>
      </c>
      <c r="D21" s="53">
        <v>0</v>
      </c>
      <c r="E21" s="53">
        <v>0</v>
      </c>
      <c r="F21" s="18">
        <f>Table33345678910121118[[#This Row],[Company Panel]]+Table333456789101211[[#This Row],[MTD Company]]</f>
        <v>0</v>
      </c>
      <c r="G21" s="18">
        <f>Table33345678910121118[[#This Row],[Our panel]]+Table333456789101211[[#This Row],[MTD Panel]]</f>
        <v>0</v>
      </c>
      <c r="H21" s="13">
        <f>Table33345678910121118[[#This Row],[Company Panel]]-Table33345678910121118[[#This Row],[Our panel]]</f>
        <v>0</v>
      </c>
      <c r="I21" s="13">
        <f>Table33345678910121118[[#This Row],[MTD Company]]-Table33345678910121118[[#This Row],[MTD Panel]]</f>
        <v>0</v>
      </c>
    </row>
    <row r="22" spans="1:9">
      <c r="A22" s="11" t="str">
        <f>Table333456789101217[[#This Row],[Carrier]]</f>
        <v>Arcane</v>
      </c>
      <c r="B22" s="5" t="str">
        <f>Table333456789101217[[#This Row],[IP]]</f>
        <v>212.100.25.78/212.100.25.87</v>
      </c>
      <c r="C22" s="6" t="str">
        <f>Table333456789101217[[#This Row],[Carrier Code]]</f>
        <v>AR</v>
      </c>
      <c r="D22" s="53">
        <v>0</v>
      </c>
      <c r="E22" s="53">
        <v>0</v>
      </c>
      <c r="F22" s="18">
        <f>Table33345678910121118[[#This Row],[Company Panel]]+Table333456789101211[[#This Row],[MTD Company]]</f>
        <v>0.58333333333333337</v>
      </c>
      <c r="G22" s="18">
        <f>Table33345678910121118[[#This Row],[Our panel]]+Table333456789101211[[#This Row],[MTD Panel]]</f>
        <v>0.58333333333333337</v>
      </c>
      <c r="H22" s="13">
        <f>Table33345678910121118[[#This Row],[Company Panel]]-Table33345678910121118[[#This Row],[Our panel]]</f>
        <v>0</v>
      </c>
      <c r="I22" s="13">
        <f>Table33345678910121118[[#This Row],[MTD Company]]-Table33345678910121118[[#This Row],[MTD Panel]]</f>
        <v>0</v>
      </c>
    </row>
    <row r="23" spans="1:9">
      <c r="A23" s="11" t="str">
        <f>Table333456789101217[[#This Row],[Carrier]]</f>
        <v>Glitch</v>
      </c>
      <c r="B23" s="5" t="str">
        <f>Table333456789101217[[#This Row],[IP]]</f>
        <v>198.204.100.12/198.204.100.34/198.204.100.51</v>
      </c>
      <c r="C23" s="6" t="str">
        <f>Table333456789101217[[#This Row],[Carrier Code]]</f>
        <v>GL</v>
      </c>
      <c r="D23" s="53">
        <v>0</v>
      </c>
      <c r="E23" s="53">
        <v>0</v>
      </c>
      <c r="F23" s="18">
        <f>Table33345678910121118[[#This Row],[Company Panel]]+Table333456789101211[[#This Row],[MTD Company]]</f>
        <v>0</v>
      </c>
      <c r="G23" s="18">
        <f>Table33345678910121118[[#This Row],[Our panel]]+Table333456789101211[[#This Row],[MTD Panel]]</f>
        <v>0</v>
      </c>
      <c r="H23" s="13">
        <f>Table33345678910121118[[#This Row],[Company Panel]]-Table33345678910121118[[#This Row],[Our panel]]</f>
        <v>0</v>
      </c>
      <c r="I23" s="13">
        <f>Table33345678910121118[[#This Row],[MTD Company]]-Table33345678910121118[[#This Row],[MTD Panel]]</f>
        <v>0</v>
      </c>
    </row>
    <row r="24" spans="1:9">
      <c r="A24" s="11" t="str">
        <f>Table333456789101217[[#This Row],[Carrier]]</f>
        <v>Nitro</v>
      </c>
      <c r="B24" s="5" t="str">
        <f>Table333456789101217[[#This Row],[IP]]</f>
        <v>15.150.200.33/119.82.200.100</v>
      </c>
      <c r="C24" s="6" t="str">
        <f>Table333456789101217[[#This Row],[Carrier Code]]</f>
        <v>NI</v>
      </c>
      <c r="D24" s="53">
        <v>0</v>
      </c>
      <c r="E24" s="53">
        <v>0</v>
      </c>
      <c r="F24" s="18">
        <f>Table33345678910121118[[#This Row],[Company Panel]]+Table333456789101211[[#This Row],[MTD Company]]</f>
        <v>0</v>
      </c>
      <c r="G24" s="18">
        <f>Table33345678910121118[[#This Row],[Our panel]]+Table333456789101211[[#This Row],[MTD Panel]]</f>
        <v>0</v>
      </c>
      <c r="H24" s="13">
        <f>Table33345678910121118[[#This Row],[Company Panel]]-Table33345678910121118[[#This Row],[Our panel]]</f>
        <v>0</v>
      </c>
      <c r="I24" s="13">
        <f>Table33345678910121118[[#This Row],[MTD Company]]-Table33345678910121118[[#This Row],[MTD Panel]]</f>
        <v>0</v>
      </c>
    </row>
    <row r="25" spans="1:9">
      <c r="A25" s="11" t="str">
        <f>Table333456789101217[[#This Row],[Carrier]]</f>
        <v>Drip</v>
      </c>
      <c r="B25" s="5" t="str">
        <f>Table333456789101217[[#This Row],[IP]]</f>
        <v>84.13.76.190/90.945.80.11/198.160.234.5</v>
      </c>
      <c r="C25" s="6" t="str">
        <f>Table333456789101217[[#This Row],[Carrier Code]]</f>
        <v>DR</v>
      </c>
      <c r="D25" s="53">
        <v>0</v>
      </c>
      <c r="E25" s="53">
        <v>0</v>
      </c>
      <c r="F25" s="18">
        <f>Table33345678910121118[[#This Row],[Company Panel]]+Table333456789101211[[#This Row],[MTD Company]]</f>
        <v>0</v>
      </c>
      <c r="G25" s="18">
        <f>Table33345678910121118[[#This Row],[Our panel]]+Table333456789101211[[#This Row],[MTD Panel]]</f>
        <v>0</v>
      </c>
      <c r="H25" s="13">
        <f>Table33345678910121118[[#This Row],[Company Panel]]-Table33345678910121118[[#This Row],[Our panel]]</f>
        <v>0</v>
      </c>
      <c r="I25" s="13">
        <f>Table33345678910121118[[#This Row],[MTD Company]]-Table33345678910121118[[#This Row],[MTD Panel]]</f>
        <v>0</v>
      </c>
    </row>
    <row r="26" spans="1:9">
      <c r="A26" s="11" t="str">
        <f>Table333456789101217[[#This Row],[Carrier]]</f>
        <v>Glide</v>
      </c>
      <c r="B26" s="5" t="str">
        <f>Table333456789101217[[#This Row],[IP]]</f>
        <v>120.45.12.25/85.739.221.80/85.739.221.93</v>
      </c>
      <c r="C26" s="6" t="str">
        <f>Table333456789101217[[#This Row],[Carrier Code]]</f>
        <v>GI</v>
      </c>
      <c r="D26" s="53">
        <v>0</v>
      </c>
      <c r="E26" s="53">
        <v>0</v>
      </c>
      <c r="F26" s="18">
        <f>Table33345678910121118[[#This Row],[Company Panel]]+Table333456789101211[[#This Row],[MTD Company]]</f>
        <v>0</v>
      </c>
      <c r="G26" s="18">
        <f>Table33345678910121118[[#This Row],[Our panel]]+Table333456789101211[[#This Row],[MTD Panel]]</f>
        <v>0</v>
      </c>
      <c r="H26" s="13">
        <f>Table33345678910121118[[#This Row],[Company Panel]]-Table33345678910121118[[#This Row],[Our panel]]</f>
        <v>0</v>
      </c>
      <c r="I26" s="13">
        <f>Table33345678910121118[[#This Row],[MTD Company]]-Table33345678910121118[[#This Row],[MTD Panel]]</f>
        <v>0</v>
      </c>
    </row>
    <row r="27" spans="1:9">
      <c r="A27" s="11" t="str">
        <f>Table333456789101217[[#This Row],[Carrier]]</f>
        <v>Orbit</v>
      </c>
      <c r="B27" s="5" t="str">
        <f>Table333456789101217[[#This Row],[IP]]</f>
        <v>176.98.54.112/60.110.154.91/60.110.155.162</v>
      </c>
      <c r="C27" s="6" t="str">
        <f>Table333456789101217[[#This Row],[Carrier Code]]</f>
        <v>OR</v>
      </c>
      <c r="D27" s="53">
        <v>0</v>
      </c>
      <c r="E27" s="53">
        <v>0</v>
      </c>
      <c r="F27" s="18">
        <f>Table33345678910121118[[#This Row],[Company Panel]]+Table333456789101211[[#This Row],[MTD Company]]</f>
        <v>0</v>
      </c>
      <c r="G27" s="18">
        <f>Table33345678910121118[[#This Row],[Our panel]]+Table333456789101211[[#This Row],[MTD Panel]]</f>
        <v>0</v>
      </c>
      <c r="H27" s="13">
        <f>Table33345678910121118[[#This Row],[Company Panel]]-Table33345678910121118[[#This Row],[Our panel]]</f>
        <v>0</v>
      </c>
      <c r="I27" s="13">
        <f>Table33345678910121118[[#This Row],[MTD Company]]-Table33345678910121118[[#This Row],[MTD Panel]]</f>
        <v>0</v>
      </c>
    </row>
    <row r="28" spans="1:9">
      <c r="A28" s="11" t="str">
        <f>Table333456789101217[[#This Row],[Carrier]]</f>
        <v>Thunder</v>
      </c>
      <c r="B28" s="5" t="str">
        <f>Table333456789101217[[#This Row],[IP]]</f>
        <v>67.102.200.9/81.905.48.847/143.235.100.34</v>
      </c>
      <c r="C28" s="6" t="str">
        <f>Table333456789101217[[#This Row],[Carrier Code]]</f>
        <v>TU</v>
      </c>
      <c r="D28" s="53">
        <v>3.5833333333333335</v>
      </c>
      <c r="E28" s="53">
        <v>3.5833333333333335</v>
      </c>
      <c r="F28" s="18">
        <f>Table33345678910121118[[#This Row],[Company Panel]]+Table333456789101211[[#This Row],[MTD Company]]</f>
        <v>325.36666666666662</v>
      </c>
      <c r="G28" s="18">
        <f>Table33345678910121118[[#This Row],[Our panel]]+Table333456789101211[[#This Row],[MTD Panel]]</f>
        <v>325.36666666666662</v>
      </c>
      <c r="H28" s="13">
        <f>Table33345678910121118[[#This Row],[Company Panel]]-Table33345678910121118[[#This Row],[Our panel]]</f>
        <v>0</v>
      </c>
      <c r="I28" s="13">
        <f>Table33345678910121118[[#This Row],[MTD Company]]-Table33345678910121118[[#This Row],[MTD Panel]]</f>
        <v>0</v>
      </c>
    </row>
    <row r="29" spans="1:9">
      <c r="A29" s="11" t="str">
        <f>Table333456789101217[[#This Row],[Carrier]]</f>
        <v>Glimmer</v>
      </c>
      <c r="B29" s="5" t="str">
        <f>Table333456789101217[[#This Row],[IP]]</f>
        <v>99.22.211.100/71.54.85.344/71.54.85.218</v>
      </c>
      <c r="C29" s="6" t="str">
        <f>Table333456789101217[[#This Row],[Carrier Code]]</f>
        <v>GM</v>
      </c>
      <c r="D29" s="53">
        <v>0</v>
      </c>
      <c r="E29" s="53">
        <v>0</v>
      </c>
      <c r="F29" s="18">
        <f>Table33345678910121118[[#This Row],[Company Panel]]+Table333456789101211[[#This Row],[MTD Company]]</f>
        <v>0</v>
      </c>
      <c r="G29" s="18">
        <f>Table33345678910121118[[#This Row],[Our panel]]+Table333456789101211[[#This Row],[MTD Panel]]</f>
        <v>0</v>
      </c>
      <c r="H29" s="13">
        <f>Table33345678910121118[[#This Row],[Company Panel]]-Table33345678910121118[[#This Row],[Our panel]]</f>
        <v>0</v>
      </c>
      <c r="I29" s="13">
        <f>Table33345678910121118[[#This Row],[MTD Company]]-Table33345678910121118[[#This Row],[MTD Panel]]</f>
        <v>0</v>
      </c>
    </row>
    <row r="30" spans="1:9">
      <c r="A30" s="11" t="str">
        <f>Table333456789101217[[#This Row],[Carrier]]</f>
        <v>Fragment</v>
      </c>
      <c r="B30" s="5" t="str">
        <f>Table333456789101217[[#This Row],[IP]]</f>
        <v>203.0.113.56/195.56.101.10</v>
      </c>
      <c r="C30" s="6" t="str">
        <f>Table333456789101217[[#This Row],[Carrier Code]]</f>
        <v>FR</v>
      </c>
      <c r="D30" s="53">
        <v>0</v>
      </c>
      <c r="E30" s="53">
        <v>0</v>
      </c>
      <c r="F30" s="18">
        <f>Table33345678910121118[[#This Row],[Company Panel]]+Table333456789101211[[#This Row],[MTD Company]]</f>
        <v>0</v>
      </c>
      <c r="G30" s="18">
        <f>Table33345678910121118[[#This Row],[Our panel]]+Table333456789101211[[#This Row],[MTD Panel]]</f>
        <v>0</v>
      </c>
      <c r="H30" s="13">
        <f>Table33345678910121118[[#This Row],[Company Panel]]-Table33345678910121118[[#This Row],[Our panel]]</f>
        <v>0</v>
      </c>
      <c r="I30" s="13">
        <f>Table33345678910121118[[#This Row],[MTD Company]]-Table33345678910121118[[#This Row],[MTD Panel]]</f>
        <v>0</v>
      </c>
    </row>
    <row r="31" spans="1:9">
      <c r="A31" s="11" t="str">
        <f>Table333456789101217[[#This Row],[Carrier]]</f>
        <v>Dusk</v>
      </c>
      <c r="B31" s="5" t="str">
        <f>Table333456789101217[[#This Row],[IP]]</f>
        <v>33.44.55.66/33.44.55.84/33.44.55.122/214.68.90.122</v>
      </c>
      <c r="C31" s="6" t="str">
        <f>Table333456789101217[[#This Row],[Carrier Code]]</f>
        <v>DK</v>
      </c>
      <c r="D31" s="53">
        <v>0</v>
      </c>
      <c r="E31" s="53">
        <v>0</v>
      </c>
      <c r="F31" s="18">
        <f>Table33345678910121118[[#This Row],[Company Panel]]+Table333456789101211[[#This Row],[MTD Company]]</f>
        <v>0</v>
      </c>
      <c r="G31" s="18">
        <f>Table33345678910121118[[#This Row],[Our panel]]+Table333456789101211[[#This Row],[MTD Panel]]</f>
        <v>0</v>
      </c>
      <c r="H31" s="13">
        <f>Table33345678910121118[[#This Row],[Company Panel]]-Table33345678910121118[[#This Row],[Our panel]]</f>
        <v>0</v>
      </c>
      <c r="I31" s="13">
        <f>Table33345678910121118[[#This Row],[MTD Company]]-Table33345678910121118[[#This Row],[MTD Panel]]</f>
        <v>0</v>
      </c>
    </row>
    <row r="32" spans="1:9">
      <c r="A32" s="11" t="str">
        <f>Table333456789101217[[#This Row],[Carrier]]</f>
        <v>Breeze</v>
      </c>
      <c r="B32" s="5" t="str">
        <f>Table333456789101217[[#This Row],[IP]]</f>
        <v>199.123.87.45/199.123.34.52/77.189.22.56</v>
      </c>
      <c r="C32" s="6" t="str">
        <f>Table333456789101217[[#This Row],[Carrier Code]]</f>
        <v>BR</v>
      </c>
      <c r="D32" s="53">
        <v>0</v>
      </c>
      <c r="E32" s="53">
        <v>0</v>
      </c>
      <c r="F32" s="18">
        <f>Table33345678910121118[[#This Row],[Company Panel]]+Table333456789101211[[#This Row],[MTD Company]]</f>
        <v>0</v>
      </c>
      <c r="G32" s="18">
        <f>Table33345678910121118[[#This Row],[Our panel]]+Table333456789101211[[#This Row],[MTD Panel]]</f>
        <v>0</v>
      </c>
      <c r="H32" s="13">
        <f>Table33345678910121118[[#This Row],[Company Panel]]-Table33345678910121118[[#This Row],[Our panel]]</f>
        <v>0</v>
      </c>
      <c r="I32" s="13">
        <f>Table33345678910121118[[#This Row],[MTD Company]]-Table33345678910121118[[#This Row],[MTD Panel]]</f>
        <v>0</v>
      </c>
    </row>
    <row r="33" spans="1:9">
      <c r="A33" s="11" t="str">
        <f>Table333456789101217[[#This Row],[Carrier]]</f>
        <v>Clutch</v>
      </c>
      <c r="B33" s="5" t="str">
        <f>Table333456789101217[[#This Row],[IP]]</f>
        <v>55.66.77.88/84.126.79.28/152.233.45.11</v>
      </c>
      <c r="C33" s="6" t="str">
        <f>Table333456789101217[[#This Row],[Carrier Code]]</f>
        <v>CL</v>
      </c>
      <c r="D33" s="53">
        <v>0</v>
      </c>
      <c r="E33" s="53">
        <v>0</v>
      </c>
      <c r="F33" s="18">
        <f>Table33345678910121118[[#This Row],[Company Panel]]+Table333456789101211[[#This Row],[MTD Company]]</f>
        <v>0</v>
      </c>
      <c r="G33" s="18">
        <f>Table33345678910121118[[#This Row],[Our panel]]+Table333456789101211[[#This Row],[MTD Panel]]</f>
        <v>0</v>
      </c>
      <c r="H33" s="13">
        <f>Table33345678910121118[[#This Row],[Company Panel]]-Table33345678910121118[[#This Row],[Our panel]]</f>
        <v>0</v>
      </c>
      <c r="I33" s="13">
        <f>Table33345678910121118[[#This Row],[MTD Company]]-Table33345678910121118[[#This Row],[MTD Panel]]</f>
        <v>0</v>
      </c>
    </row>
    <row r="34" spans="1:9">
      <c r="A34" s="11" t="str">
        <f>Table333456789101217[[#This Row],[Carrier]]</f>
        <v>Haze</v>
      </c>
      <c r="B34" s="5" t="str">
        <f>Table333456789101217[[#This Row],[IP]]</f>
        <v>230.111.44.56</v>
      </c>
      <c r="C34" s="6" t="str">
        <f>Table333456789101217[[#This Row],[Carrier Code]]</f>
        <v>HZ</v>
      </c>
      <c r="D34" s="53">
        <v>0</v>
      </c>
      <c r="E34" s="53">
        <v>0</v>
      </c>
      <c r="F34" s="18">
        <f>Table33345678910121118[[#This Row],[Company Panel]]+Table333456789101211[[#This Row],[MTD Company]]</f>
        <v>0.56666666666666665</v>
      </c>
      <c r="G34" s="18">
        <f>Table33345678910121118[[#This Row],[Our panel]]+Table333456789101211[[#This Row],[MTD Panel]]</f>
        <v>0.56666666666666665</v>
      </c>
      <c r="H34" s="63">
        <f>Table33345678910121118[[#This Row],[Company Panel]]-Table33345678910121118[[#This Row],[Our panel]]</f>
        <v>0</v>
      </c>
      <c r="I34" s="63">
        <f>Table33345678910121118[[#This Row],[MTD Company]]-Table33345678910121118[[#This Row],[MTD Panel]]</f>
        <v>0</v>
      </c>
    </row>
    <row r="35" spans="1:9">
      <c r="A35" s="11" t="str">
        <f>Table333456789101217[[#This Row],[Carrier]]</f>
        <v>Vault</v>
      </c>
      <c r="B35" s="5" t="str">
        <f>Table333456789101217[[#This Row],[IP]]</f>
        <v>213.189.94.5/213.189.94.7/111.180.64.222</v>
      </c>
      <c r="C35" s="6" t="str">
        <f>Table333456789101217[[#This Row],[Carrier Code]]</f>
        <v>VA</v>
      </c>
      <c r="D35" s="53">
        <v>0</v>
      </c>
      <c r="E35" s="53">
        <v>0</v>
      </c>
      <c r="F35" s="18">
        <f>Table33345678910121118[[#This Row],[Company Panel]]+Table333456789101211[[#This Row],[MTD Company]]</f>
        <v>0</v>
      </c>
      <c r="G35" s="18">
        <f>Table33345678910121118[[#This Row],[Our panel]]+Table333456789101211[[#This Row],[MTD Panel]]</f>
        <v>0</v>
      </c>
      <c r="H35" s="63">
        <f>Table33345678910121118[[#This Row],[Company Panel]]-Table33345678910121118[[#This Row],[Our panel]]</f>
        <v>0</v>
      </c>
      <c r="I35" s="63">
        <f>Table33345678910121118[[#This Row],[MTD Company]]-Table33345678910121118[[#This Row],[MTD Panel]]</f>
        <v>0</v>
      </c>
    </row>
    <row r="36" spans="1:9">
      <c r="A36" s="11" t="str">
        <f>Table333456789101217[[#This Row],[Carrier]]</f>
        <v>Scatter</v>
      </c>
      <c r="B36" s="5" t="str">
        <f>Table333456789101217[[#This Row],[IP]]</f>
        <v>14.123.45.67/168.251.90.15</v>
      </c>
      <c r="C36" s="6" t="str">
        <f>Table333456789101217[[#This Row],[Carrier Code]]</f>
        <v>SC</v>
      </c>
      <c r="D36" s="53">
        <v>53.75</v>
      </c>
      <c r="E36" s="53">
        <v>53.75</v>
      </c>
      <c r="F36" s="18">
        <f>Table33345678910121118[[#This Row],[Company Panel]]+Table333456789101211[[#This Row],[MTD Company]]</f>
        <v>412.31666666666661</v>
      </c>
      <c r="G36" s="18">
        <f>Table33345678910121118[[#This Row],[Our panel]]+Table333456789101211[[#This Row],[MTD Panel]]</f>
        <v>412.31666666666661</v>
      </c>
      <c r="H36" s="63">
        <f>Table33345678910121118[[#This Row],[Company Panel]]-Table33345678910121118[[#This Row],[Our panel]]</f>
        <v>0</v>
      </c>
      <c r="I36" s="63">
        <f>Table33345678910121118[[#This Row],[MTD Company]]-Table33345678910121118[[#This Row],[MTD Panel]]</f>
        <v>0</v>
      </c>
    </row>
    <row r="37" spans="1:9">
      <c r="A37" s="11" t="str">
        <f>Table333456789101217[[#This Row],[Carrier]]</f>
        <v>Hammer</v>
      </c>
      <c r="B37" s="5" t="str">
        <f>Table333456789101217[[#This Row],[IP]]</f>
        <v>200.111.78.9/200.111.236.62/200.111.823.89/137.79.48.56</v>
      </c>
      <c r="C37" s="6" t="str">
        <f>Table333456789101217[[#This Row],[Carrier Code]]</f>
        <v>HA</v>
      </c>
      <c r="D37" s="53">
        <v>0</v>
      </c>
      <c r="E37" s="53">
        <v>0</v>
      </c>
      <c r="F37" s="18">
        <f>Table33345678910121118[[#This Row],[Company Panel]]+Table333456789101211[[#This Row],[MTD Company]]</f>
        <v>0</v>
      </c>
      <c r="G37" s="18">
        <f>Table33345678910121118[[#This Row],[Our panel]]+Table333456789101211[[#This Row],[MTD Panel]]</f>
        <v>0</v>
      </c>
      <c r="H37" s="72">
        <f>Table33345678910121118[[#This Row],[Company Panel]]-Table33345678910121118[[#This Row],[Our panel]]</f>
        <v>0</v>
      </c>
      <c r="I37" s="72">
        <f>Table33345678910121118[[#This Row],[MTD Company]]-Table33345678910121118[[#This Row],[MTD Panel]]</f>
        <v>0</v>
      </c>
    </row>
    <row r="38" spans="1:9">
      <c r="A38" s="11" t="str">
        <f>Table333456789101217[[#This Row],[Carrier]]</f>
        <v>Smudge</v>
      </c>
      <c r="B38" s="5" t="str">
        <f>Table333456789101217[[#This Row],[IP]]</f>
        <v>88.99.233.56/54.71.99.234</v>
      </c>
      <c r="C38" s="6" t="str">
        <f>Table333456789101217[[#This Row],[Carrier Code]]</f>
        <v>SM</v>
      </c>
      <c r="D38" s="53">
        <v>2.7166666666666668</v>
      </c>
      <c r="E38" s="53">
        <v>2.7166666666666668</v>
      </c>
      <c r="F38" s="18">
        <f>Table33345678910121118[[#This Row],[Company Panel]]+Table333456789101211[[#This Row],[MTD Company]]</f>
        <v>131.58333333333334</v>
      </c>
      <c r="G38" s="18">
        <f>Table33345678910121118[[#This Row],[Our panel]]+Table333456789101211[[#This Row],[MTD Panel]]</f>
        <v>131.58333333333334</v>
      </c>
      <c r="H38" s="72">
        <f>Table33345678910121118[[#This Row],[Company Panel]]-Table33345678910121118[[#This Row],[Our panel]]</f>
        <v>0</v>
      </c>
      <c r="I38" s="72">
        <f>Table33345678910121118[[#This Row],[MTD Company]]-Table33345678910121118[[#This Row],[MTD Panel]]</f>
        <v>0</v>
      </c>
    </row>
    <row r="39" spans="1:9">
      <c r="A39" s="11" t="str">
        <f>Table333456789101217[[#This Row],[Carrier]]</f>
        <v>Quirk</v>
      </c>
      <c r="B39" s="5" t="str">
        <f>Table333456789101217[[#This Row],[IP]]</f>
        <v>62.45.100.31/62.45.100.15/62.45.100.65/211.95.102.6</v>
      </c>
      <c r="C39" s="6" t="str">
        <f>Table333456789101217[[#This Row],[Carrier Code]]</f>
        <v>QU</v>
      </c>
      <c r="D39" s="53">
        <v>955.25</v>
      </c>
      <c r="E39" s="53">
        <v>955.25</v>
      </c>
      <c r="F39" s="18">
        <f>Table33345678910121118[[#This Row],[Company Panel]]+Table333456789101211[[#This Row],[MTD Company]]</f>
        <v>20668.733333333334</v>
      </c>
      <c r="G39" s="18">
        <f>Table33345678910121118[[#This Row],[Our panel]]+Table333456789101211[[#This Row],[MTD Panel]]</f>
        <v>20668.733333333334</v>
      </c>
      <c r="H39" s="13">
        <f>Table33345678910121118[[#This Row],[Company Panel]]-Table33345678910121118[[#This Row],[Our panel]]</f>
        <v>0</v>
      </c>
      <c r="I39" s="13">
        <f>Table33345678910121118[[#This Row],[MTD Company]]-Table33345678910121118[[#This Row],[MTD Panel]]</f>
        <v>0</v>
      </c>
    </row>
    <row r="40" spans="1:9">
      <c r="A40" s="11" t="str">
        <f>Table333456789101217[[#This Row],[Carrier]]</f>
        <v>Vortex</v>
      </c>
      <c r="B40" s="5" t="str">
        <f>Table333456789101217[[#This Row],[IP]]</f>
        <v>179.250.91.8/29.540.67.457/94.25.34.78/183.144.27.18</v>
      </c>
      <c r="C40" s="6" t="str">
        <f>Table333456789101217[[#This Row],[Carrier Code]]</f>
        <v>VT</v>
      </c>
      <c r="D40" s="53">
        <v>0</v>
      </c>
      <c r="E40" s="53">
        <v>0</v>
      </c>
      <c r="F40" s="18">
        <f>Table33345678910121118[[#This Row],[Company Panel]]+Table333456789101211[[#This Row],[MTD Company]]</f>
        <v>0</v>
      </c>
      <c r="G40" s="18">
        <f>Table33345678910121118[[#This Row],[Our panel]]+Table333456789101211[[#This Row],[MTD Panel]]</f>
        <v>0</v>
      </c>
      <c r="H40" s="72">
        <f>Table33345678910121118[[#This Row],[Company Panel]]-Table33345678910121118[[#This Row],[Our panel]]</f>
        <v>0</v>
      </c>
      <c r="I40" s="72">
        <f>Table33345678910121118[[#This Row],[MTD Company]]-Table33345678910121118[[#This Row],[MTD Panel]]</f>
        <v>0</v>
      </c>
    </row>
    <row r="41" spans="1:9">
      <c r="A41" s="11" t="str">
        <f>Table333456789101217[[#This Row],[Carrier]]</f>
        <v>Void</v>
      </c>
      <c r="B41" s="5" t="str">
        <f>Table333456789101217[[#This Row],[IP]]</f>
        <v>156.34.123.11/156.34.123.25/156.34.123.62/92.44.233.110</v>
      </c>
      <c r="C41" s="6" t="str">
        <f>Table333456789101217[[#This Row],[Carrier Code]]</f>
        <v>VO</v>
      </c>
      <c r="D41" s="53">
        <v>28.583333333333332</v>
      </c>
      <c r="E41" s="53">
        <v>28.583333333333332</v>
      </c>
      <c r="F41" s="18">
        <f>Table33345678910121118[[#This Row],[Company Panel]]+Table333456789101211[[#This Row],[MTD Company]]</f>
        <v>619.91666666666663</v>
      </c>
      <c r="G41" s="18">
        <f>Table33345678910121118[[#This Row],[Our panel]]+Table333456789101211[[#This Row],[MTD Panel]]</f>
        <v>619.91666666666663</v>
      </c>
      <c r="H41" s="13">
        <f>Table33345678910121118[[#This Row],[Company Panel]]-Table33345678910121118[[#This Row],[Our panel]]</f>
        <v>0</v>
      </c>
      <c r="I41" s="13">
        <f>Table33345678910121118[[#This Row],[MTD Company]]-Table33345678910121118[[#This Row],[MTD Panel]]</f>
        <v>0</v>
      </c>
    </row>
    <row r="42" spans="1:9">
      <c r="A42" s="11" t="str">
        <f>Table333456789101217[[#This Row],[Carrier]]</f>
        <v>Midnight</v>
      </c>
      <c r="B42" s="5" t="str">
        <f>Table333456789101217[[#This Row],[IP]]</f>
        <v>134.77.22.4/23.97.150.8</v>
      </c>
      <c r="C42" s="6" t="str">
        <f>Table333456789101217[[#This Row],[Carrier Code]]</f>
        <v>MI</v>
      </c>
      <c r="D42" s="53">
        <v>537.45000000000005</v>
      </c>
      <c r="E42" s="53">
        <v>537.45000000000005</v>
      </c>
      <c r="F42" s="18">
        <f>Table33345678910121118[[#This Row],[Company Panel]]+Table333456789101211[[#This Row],[MTD Company]]</f>
        <v>1931.7166666666667</v>
      </c>
      <c r="G42" s="18">
        <f>Table33345678910121118[[#This Row],[Our panel]]+Table333456789101211[[#This Row],[MTD Panel]]</f>
        <v>1931.7166666666667</v>
      </c>
      <c r="H42" s="72">
        <f>Table33345678910121118[[#This Row],[Company Panel]]-Table33345678910121118[[#This Row],[Our panel]]</f>
        <v>0</v>
      </c>
      <c r="I42" s="72">
        <f>Table33345678910121118[[#This Row],[MTD Company]]-Table33345678910121118[[#This Row],[MTD Panel]]</f>
        <v>0</v>
      </c>
    </row>
    <row r="43" spans="1:9">
      <c r="A43" s="11" t="str">
        <f>Table333456789101217[[#This Row],[Carrier]]</f>
        <v>Autumn</v>
      </c>
      <c r="B43" s="5" t="str">
        <f>Table333456789101217[[#This Row],[IP]]</f>
        <v>202.54.210.88/12.331.94.73/64.19.28.175</v>
      </c>
      <c r="C43" s="6" t="str">
        <f>Table333456789101217[[#This Row],[Carrier Code]]</f>
        <v>AU</v>
      </c>
      <c r="D43" s="53">
        <v>19.333333333333332</v>
      </c>
      <c r="E43" s="53">
        <v>19.333333333333332</v>
      </c>
      <c r="F43" s="18">
        <f>Table33345678910121118[[#This Row],[Company Panel]]+Table333456789101211[[#This Row],[MTD Company]]</f>
        <v>215.55</v>
      </c>
      <c r="G43" s="18">
        <f>Table33345678910121118[[#This Row],[Our panel]]+Table333456789101211[[#This Row],[MTD Panel]]</f>
        <v>215.55</v>
      </c>
      <c r="H43" s="72">
        <f>Table33345678910121118[[#This Row],[Company Panel]]-Table33345678910121118[[#This Row],[Our panel]]</f>
        <v>0</v>
      </c>
      <c r="I43" s="72">
        <f>Table33345678910121118[[#This Row],[MTD Company]]-Table33345678910121118[[#This Row],[MTD Panel]]</f>
        <v>0</v>
      </c>
    </row>
    <row r="44" spans="1:9">
      <c r="A44" s="11" t="str">
        <f>Table333456789101217[[#This Row],[Carrier]]</f>
        <v>Mystic</v>
      </c>
      <c r="B44" s="5" t="str">
        <f>Table333456789101217[[#This Row],[IP]]</f>
        <v>51.233.21.76/82.115.35.60/82.115.35.85</v>
      </c>
      <c r="C44" s="6" t="str">
        <f>Table333456789101217[[#This Row],[Carrier Code]]</f>
        <v>MY</v>
      </c>
      <c r="D44" s="53">
        <v>0</v>
      </c>
      <c r="E44" s="53">
        <v>0</v>
      </c>
      <c r="F44" s="18">
        <f>Table33345678910121118[[#This Row],[Company Panel]]+Table333456789101211[[#This Row],[MTD Company]]</f>
        <v>0</v>
      </c>
      <c r="G44" s="18">
        <f>Table33345678910121118[[#This Row],[Our panel]]+Table333456789101211[[#This Row],[MTD Panel]]</f>
        <v>0</v>
      </c>
      <c r="H44" s="72">
        <f>Table33345678910121118[[#This Row],[Company Panel]]-Table33345678910121118[[#This Row],[Our panel]]</f>
        <v>0</v>
      </c>
      <c r="I44" s="72">
        <f>Table33345678910121118[[#This Row],[MTD Company]]-Table33345678910121118[[#This Row],[MTD Panel]]</f>
        <v>0</v>
      </c>
    </row>
    <row r="45" spans="1:9">
      <c r="A45" s="11" t="str">
        <f>Table333456789101217[[#This Row],[Carrier]]</f>
        <v>Clover</v>
      </c>
      <c r="B45" s="5" t="str">
        <f>Table333456789101217[[#This Row],[IP]]</f>
        <v>210.150.12.45/84.50.212.66/135.113.88.9</v>
      </c>
      <c r="C45" s="6" t="str">
        <f>Table333456789101217[[#This Row],[Carrier Code]]</f>
        <v>CO</v>
      </c>
      <c r="D45" s="53">
        <v>98.25</v>
      </c>
      <c r="E45" s="53">
        <v>98.25</v>
      </c>
      <c r="F45" s="18">
        <f>Table33345678910121118[[#This Row],[Company Panel]]+Table333456789101211[[#This Row],[MTD Company]]</f>
        <v>33821.050000000003</v>
      </c>
      <c r="G45" s="18">
        <f>Table33345678910121118[[#This Row],[Our panel]]+Table333456789101211[[#This Row],[MTD Panel]]</f>
        <v>33821.050000000003</v>
      </c>
      <c r="H45" s="78">
        <f>Table33345678910121118[[#This Row],[Company Panel]]-Table33345678910121118[[#This Row],[Our panel]]</f>
        <v>0</v>
      </c>
      <c r="I45" s="78">
        <f>Table33345678910121118[[#This Row],[MTD Company]]-Table33345678910121118[[#This Row],[MTD Panel]]</f>
        <v>0</v>
      </c>
    </row>
    <row r="46" spans="1:9">
      <c r="A46" s="11" t="str">
        <f>Table333456789101217[[#This Row],[Carrier]]</f>
        <v>Hunter</v>
      </c>
      <c r="B46" s="5" t="str">
        <f>Table333456789101217[[#This Row],[IP]]</f>
        <v>170.199.20.87/13.693.39.280/78.30.123.47</v>
      </c>
      <c r="C46" s="6" t="str">
        <f>Table333456789101217[[#This Row],[Carrier Code]]</f>
        <v>HU</v>
      </c>
      <c r="D46" s="53">
        <v>131.23333333333332</v>
      </c>
      <c r="E46" s="53">
        <v>131.23333333333332</v>
      </c>
      <c r="F46" s="18">
        <f>Table33345678910121118[[#This Row],[Company Panel]]+Table333456789101211[[#This Row],[MTD Company]]</f>
        <v>4061.2833333333333</v>
      </c>
      <c r="G46" s="18">
        <f>Table33345678910121118[[#This Row],[Our panel]]+Table333456789101211[[#This Row],[MTD Panel]]</f>
        <v>4061.2833333333333</v>
      </c>
      <c r="H46" s="13">
        <f>Table33345678910121118[[#This Row],[Company Panel]]-Table33345678910121118[[#This Row],[Our panel]]</f>
        <v>0</v>
      </c>
      <c r="I46" s="13">
        <f>Table33345678910121118[[#This Row],[MTD Company]]-Table33345678910121118[[#This Row],[MTD Panel]]</f>
        <v>0</v>
      </c>
    </row>
    <row r="47" spans="1:9">
      <c r="A47" s="11" t="str">
        <f>Table333456789101217[[#This Row],[Carrier]]</f>
        <v>Invaded</v>
      </c>
      <c r="B47" s="5" t="str">
        <f>Table333456789101217[[#This Row],[IP]]</f>
        <v>182.67.99.120/80.518.230.410/26.847.95.107/188.12.67.92</v>
      </c>
      <c r="C47" s="6" t="str">
        <f>Table333456789101217[[#This Row],[Carrier Code]]</f>
        <v>ID</v>
      </c>
      <c r="D47" s="7">
        <v>0</v>
      </c>
      <c r="E47" s="7">
        <v>0</v>
      </c>
      <c r="F47" s="18">
        <f>Table33345678910121118[[#This Row],[Company Panel]]+Table333456789101211[[#This Row],[MTD Company]]</f>
        <v>0</v>
      </c>
      <c r="G47" s="18">
        <f>Table33345678910121118[[#This Row],[Our panel]]+Table333456789101211[[#This Row],[MTD Panel]]</f>
        <v>0</v>
      </c>
      <c r="H47" s="13">
        <f>Table33345678910121118[[#This Row],[Company Panel]]-Table33345678910121118[[#This Row],[Our panel]]</f>
        <v>0</v>
      </c>
      <c r="I47" s="13">
        <f>Table33345678910121118[[#This Row],[MTD Company]]-Table33345678910121118[[#This Row],[MTD Panel]]</f>
        <v>0</v>
      </c>
    </row>
    <row r="48" spans="1:9">
      <c r="A48" s="11" t="str">
        <f>Table333456789101217[[#This Row],[Carrier]]</f>
        <v>Delusion</v>
      </c>
      <c r="B48" s="5" t="str">
        <f>Table333456789101217[[#This Row],[IP]]</f>
        <v>198.51.100.72/69.887.74.738/39.153.110.645</v>
      </c>
      <c r="C48" s="6" t="str">
        <f>Table333456789101217[[#This Row],[Carrier Code]]</f>
        <v>DU</v>
      </c>
      <c r="D48" s="7">
        <v>0</v>
      </c>
      <c r="E48" s="7">
        <v>0</v>
      </c>
      <c r="F48" s="18">
        <f>Table33345678910121118[[#This Row],[Company Panel]]+Table333456789101211[[#This Row],[MTD Company]]</f>
        <v>0</v>
      </c>
      <c r="G48" s="18">
        <f>Table33345678910121118[[#This Row],[Our panel]]+Table333456789101211[[#This Row],[MTD Panel]]</f>
        <v>0</v>
      </c>
      <c r="H48" s="13">
        <f>Table33345678910121118[[#This Row],[Company Panel]]-Table33345678910121118[[#This Row],[Our panel]]</f>
        <v>0</v>
      </c>
      <c r="I48" s="13">
        <f>Table33345678910121118[[#This Row],[MTD Company]]-Table33345678910121118[[#This Row],[MTD Panel]]</f>
        <v>0</v>
      </c>
    </row>
    <row r="49" spans="1:9" ht="15.5">
      <c r="A49" s="11" t="str">
        <f>Table333456789101217[[#This Row],[Carrier]]</f>
        <v>Total</v>
      </c>
      <c r="B49" s="14"/>
      <c r="C49" s="15"/>
      <c r="D49" s="16">
        <f>SUM(D3:D48)</f>
        <v>6995.9333333333316</v>
      </c>
      <c r="E49" s="16">
        <f t="shared" ref="E49:I49" si="0">SUM(E3:E48)</f>
        <v>6995.9333333333316</v>
      </c>
      <c r="F49" s="16">
        <f t="shared" si="0"/>
        <v>133617.15</v>
      </c>
      <c r="G49" s="16">
        <f t="shared" si="0"/>
        <v>133617.15</v>
      </c>
      <c r="H49" s="16">
        <f t="shared" si="0"/>
        <v>0</v>
      </c>
      <c r="I49" s="16">
        <f t="shared" si="0"/>
        <v>0</v>
      </c>
    </row>
  </sheetData>
  <conditionalFormatting sqref="H2:I48">
    <cfRule type="cellIs" dxfId="364" priority="43" operator="lessThan">
      <formula>0</formula>
    </cfRule>
  </conditionalFormatting>
  <conditionalFormatting sqref="I30:I48">
    <cfRule type="cellIs" dxfId="363" priority="42" operator="lessThan">
      <formula>0</formula>
    </cfRule>
  </conditionalFormatting>
  <conditionalFormatting sqref="H3:I48">
    <cfRule type="cellIs" dxfId="362" priority="41" operator="lessThan">
      <formula>0</formula>
    </cfRule>
  </conditionalFormatting>
  <conditionalFormatting sqref="I30:I48">
    <cfRule type="cellIs" dxfId="361" priority="40" operator="lessThan">
      <formula>0</formula>
    </cfRule>
  </conditionalFormatting>
  <conditionalFormatting sqref="I3:I48">
    <cfRule type="cellIs" dxfId="360" priority="32" operator="lessThan">
      <formula>0</formula>
    </cfRule>
    <cfRule type="cellIs" dxfId="359" priority="33" operator="lessThan">
      <formula>0</formula>
    </cfRule>
  </conditionalFormatting>
  <hyperlinks>
    <hyperlink ref="E1" location="H!A1" display="Home"/>
    <hyperlink ref="D1" location="'11'!D1" display="←"/>
    <hyperlink ref="F1" location="'13'!F1" display="→"/>
  </hyperlink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"/>
  <sheetViews>
    <sheetView workbookViewId="0">
      <selection activeCell="D3" sqref="D3"/>
    </sheetView>
  </sheetViews>
  <sheetFormatPr defaultRowHeight="14.5"/>
  <cols>
    <col min="1" max="1" width="26.7265625" bestFit="1" customWidth="1"/>
    <col min="2" max="2" width="37" bestFit="1" customWidth="1"/>
    <col min="3" max="3" width="10.453125" customWidth="1"/>
    <col min="4" max="9" width="12.7265625" customWidth="1"/>
  </cols>
  <sheetData>
    <row r="1" spans="1:12" ht="18.5">
      <c r="A1" s="23" t="str">
        <f>H!A14</f>
        <v>13th April 2025</v>
      </c>
      <c r="B1" s="24"/>
      <c r="C1" s="24"/>
      <c r="D1" s="22" t="s">
        <v>16</v>
      </c>
      <c r="E1" s="22" t="s">
        <v>9</v>
      </c>
      <c r="F1" s="22" t="s">
        <v>17</v>
      </c>
    </row>
    <row r="2" spans="1:12" ht="31">
      <c r="A2" s="1" t="s">
        <v>0</v>
      </c>
      <c r="B2" s="2" t="s">
        <v>1</v>
      </c>
      <c r="C2" s="2" t="s">
        <v>2</v>
      </c>
      <c r="D2" s="2" t="s">
        <v>3</v>
      </c>
      <c r="E2" s="2" t="s">
        <v>11</v>
      </c>
      <c r="F2" s="2" t="s">
        <v>4</v>
      </c>
      <c r="G2" s="4" t="s">
        <v>6</v>
      </c>
      <c r="H2" s="4" t="s">
        <v>7</v>
      </c>
      <c r="I2" s="3" t="s">
        <v>8</v>
      </c>
      <c r="K2" s="28"/>
      <c r="L2" s="28"/>
    </row>
    <row r="3" spans="1:12">
      <c r="A3" s="11" t="str">
        <f>Table333456789101217[[#This Row],[Carrier]]</f>
        <v>Blaze</v>
      </c>
      <c r="B3" s="5" t="str">
        <f>Table333456789101217[[#This Row],[IP]]</f>
        <v>8.12.34.56/48.163.17.845/60.502.86.203/191.45.28.14</v>
      </c>
      <c r="C3" s="6" t="str">
        <f>Table333456789101217[[#This Row],[Carrier Code]]</f>
        <v>BZ</v>
      </c>
      <c r="D3" s="53">
        <v>0</v>
      </c>
      <c r="E3" s="53">
        <v>0</v>
      </c>
      <c r="F3" s="18">
        <f>Table33345678910121120[[#This Row],[Company Panel]]+Table33345678910121118[[#This Row],[MTD Company]]</f>
        <v>0</v>
      </c>
      <c r="G3" s="18">
        <f>Table33345678910121120[[#This Row],[Our panel]]+Table33345678910121118[[#This Row],[MTD Panel]]</f>
        <v>0</v>
      </c>
      <c r="H3" s="13">
        <f>Table33345678910121120[[#This Row],[Company Panel]]-Table33345678910121120[[#This Row],[Our panel]]</f>
        <v>0</v>
      </c>
      <c r="I3" s="13">
        <f>Table33345678910121120[[#This Row],[MTD Company]]-Table33345678910121120[[#This Row],[MTD Panel]]</f>
        <v>0</v>
      </c>
      <c r="K3" s="28"/>
      <c r="L3" s="28"/>
    </row>
    <row r="4" spans="1:12">
      <c r="A4" s="11" t="str">
        <f>Table333456789101217[[#This Row],[Carrier]]</f>
        <v>Titan</v>
      </c>
      <c r="B4" s="5" t="str">
        <f>Table333456789101217[[#This Row],[IP]]</f>
        <v>123.45.67.89/123.45.67.93/203.24.101.65</v>
      </c>
      <c r="C4" s="6" t="str">
        <f>Table333456789101217[[#This Row],[Carrier Code]]</f>
        <v>TI</v>
      </c>
      <c r="D4" s="53">
        <v>2.9833333333333334</v>
      </c>
      <c r="E4" s="53">
        <v>2.9833333333333334</v>
      </c>
      <c r="F4" s="18">
        <f>Table33345678910121120[[#This Row],[Company Panel]]+Table33345678910121118[[#This Row],[MTD Company]]</f>
        <v>316</v>
      </c>
      <c r="G4" s="18">
        <f>Table33345678910121120[[#This Row],[Our panel]]+Table33345678910121118[[#This Row],[MTD Panel]]</f>
        <v>316</v>
      </c>
      <c r="H4" s="13">
        <f>Table33345678910121120[[#This Row],[Company Panel]]-Table33345678910121120[[#This Row],[Our panel]]</f>
        <v>0</v>
      </c>
      <c r="I4" s="13">
        <f>Table33345678910121120[[#This Row],[MTD Company]]-Table33345678910121120[[#This Row],[MTD Panel]]</f>
        <v>0</v>
      </c>
      <c r="K4" s="29"/>
      <c r="L4" s="28"/>
    </row>
    <row r="5" spans="1:12">
      <c r="A5" s="11" t="str">
        <f>Table333456789101217[[#This Row],[Carrier]]</f>
        <v>Hollow</v>
      </c>
      <c r="B5" s="5" t="str">
        <f>Table333456789101217[[#This Row],[IP]]</f>
        <v>204.56.78.100/204.56.57.169/52.94.101.12</v>
      </c>
      <c r="C5" s="6" t="str">
        <f>Table333456789101217[[#This Row],[Carrier Code]]</f>
        <v>HO</v>
      </c>
      <c r="D5" s="53">
        <v>0</v>
      </c>
      <c r="E5" s="53">
        <v>0</v>
      </c>
      <c r="F5" s="18">
        <f>Table33345678910121120[[#This Row],[Company Panel]]+Table33345678910121118[[#This Row],[MTD Company]]</f>
        <v>0</v>
      </c>
      <c r="G5" s="18">
        <f>Table33345678910121120[[#This Row],[Our panel]]+Table33345678910121118[[#This Row],[MTD Panel]]</f>
        <v>0</v>
      </c>
      <c r="H5" s="13">
        <f>Table33345678910121120[[#This Row],[Company Panel]]-Table33345678910121120[[#This Row],[Our panel]]</f>
        <v>0</v>
      </c>
      <c r="I5" s="13">
        <f>Table33345678910121120[[#This Row],[MTD Company]]-Table33345678910121120[[#This Row],[MTD Panel]]</f>
        <v>0</v>
      </c>
      <c r="K5" s="28"/>
      <c r="L5" s="28"/>
    </row>
    <row r="6" spans="1:12">
      <c r="A6" s="11" t="str">
        <f>Table333456789101217[[#This Row],[Carrier]]</f>
        <v>Prism</v>
      </c>
      <c r="B6" s="5" t="str">
        <f>Table333456789101217[[#This Row],[IP]]</f>
        <v>35.118.22.45/137.63.112.25</v>
      </c>
      <c r="C6" s="6" t="str">
        <f>Table333456789101217[[#This Row],[Carrier Code]]</f>
        <v>PS</v>
      </c>
      <c r="D6" s="53">
        <v>153.91666666666666</v>
      </c>
      <c r="E6" s="53">
        <v>153.91666666666666</v>
      </c>
      <c r="F6" s="18">
        <f>Table33345678910121120[[#This Row],[Company Panel]]+Table33345678910121118[[#This Row],[MTD Company]]</f>
        <v>59799.349999999991</v>
      </c>
      <c r="G6" s="18">
        <f>Table33345678910121120[[#This Row],[Our panel]]+Table33345678910121118[[#This Row],[MTD Panel]]</f>
        <v>59799.349999999991</v>
      </c>
      <c r="H6" s="13">
        <f>Table33345678910121120[[#This Row],[Company Panel]]-Table33345678910121120[[#This Row],[Our panel]]</f>
        <v>0</v>
      </c>
      <c r="I6" s="13">
        <f>Table33345678910121120[[#This Row],[MTD Company]]-Table33345678910121120[[#This Row],[MTD Panel]]</f>
        <v>0</v>
      </c>
      <c r="K6" s="28"/>
      <c r="L6" s="28"/>
    </row>
    <row r="7" spans="1:12">
      <c r="A7" s="11" t="str">
        <f>Table333456789101217[[#This Row],[Carrier]]</f>
        <v>Echo</v>
      </c>
      <c r="B7" s="5" t="str">
        <f>Table333456789101217[[#This Row],[IP]]</f>
        <v>66.89.101.10/66.89.101.19/66.89.101.23/66.89.101.45/66.89.101.81/85.21.34.99</v>
      </c>
      <c r="C7" s="6" t="str">
        <f>Table333456789101217[[#This Row],[Carrier Code]]</f>
        <v>EC</v>
      </c>
      <c r="D7" s="53">
        <v>9.8333333333333339</v>
      </c>
      <c r="E7" s="53">
        <v>9.8333333333333339</v>
      </c>
      <c r="F7" s="18">
        <f>Table33345678910121120[[#This Row],[Company Panel]]+Table33345678910121118[[#This Row],[MTD Company]]</f>
        <v>37.200000000000003</v>
      </c>
      <c r="G7" s="18">
        <f>Table33345678910121120[[#This Row],[Our panel]]+Table33345678910121118[[#This Row],[MTD Panel]]</f>
        <v>37.200000000000003</v>
      </c>
      <c r="H7" s="13">
        <f>Table33345678910121120[[#This Row],[Company Panel]]-Table33345678910121120[[#This Row],[Our panel]]</f>
        <v>0</v>
      </c>
      <c r="I7" s="13">
        <f>Table33345678910121120[[#This Row],[MTD Company]]-Table33345678910121120[[#This Row],[MTD Panel]]</f>
        <v>0</v>
      </c>
      <c r="K7" s="28"/>
      <c r="L7" s="28"/>
    </row>
    <row r="8" spans="1:12">
      <c r="A8" s="11" t="str">
        <f>Table333456789101217[[#This Row],[Carrier]]</f>
        <v>Strike</v>
      </c>
      <c r="B8" s="5" t="str">
        <f>Table333456789101217[[#This Row],[IP]]</f>
        <v>100.200.150.3/100.200.165.38/41.102.90.78</v>
      </c>
      <c r="C8" s="6" t="str">
        <f>Table333456789101217[[#This Row],[Carrier Code]]</f>
        <v>ST</v>
      </c>
      <c r="D8" s="53">
        <v>89.583333333333329</v>
      </c>
      <c r="E8" s="53">
        <v>89.583333333333329</v>
      </c>
      <c r="F8" s="18">
        <f>Table33345678910121120[[#This Row],[Company Panel]]+Table33345678910121118[[#This Row],[MTD Company]]</f>
        <v>1427.4833333333329</v>
      </c>
      <c r="G8" s="18">
        <f>Table33345678910121120[[#This Row],[Our panel]]+Table33345678910121118[[#This Row],[MTD Panel]]</f>
        <v>1427.4833333333329</v>
      </c>
      <c r="H8" s="13">
        <f>Table33345678910121120[[#This Row],[Company Panel]]-Table33345678910121120[[#This Row],[Our panel]]</f>
        <v>0</v>
      </c>
      <c r="I8" s="13">
        <f>Table33345678910121120[[#This Row],[MTD Company]]-Table33345678910121120[[#This Row],[MTD Panel]]</f>
        <v>0</v>
      </c>
      <c r="K8" s="29"/>
      <c r="L8" s="30"/>
    </row>
    <row r="9" spans="1:12">
      <c r="A9" s="11" t="str">
        <f>Table333456789101217[[#This Row],[Carrier]]</f>
        <v>Blunt</v>
      </c>
      <c r="B9" s="5" t="str">
        <f>Table333456789101217[[#This Row],[IP]]</f>
        <v>52.28.191.25/52.28.191.38/52.28.191.24/61.110.23.45</v>
      </c>
      <c r="C9" s="6" t="str">
        <f>Table333456789101217[[#This Row],[Carrier Code]]</f>
        <v>BL</v>
      </c>
      <c r="D9" s="53">
        <v>1356.1833333333334</v>
      </c>
      <c r="E9" s="53">
        <v>1356.1833333333334</v>
      </c>
      <c r="F9" s="18">
        <f>Table33345678910121120[[#This Row],[Company Panel]]+Table33345678910121118[[#This Row],[MTD Company]]</f>
        <v>7796.0999999999995</v>
      </c>
      <c r="G9" s="18">
        <f>Table33345678910121120[[#This Row],[Our panel]]+Table33345678910121118[[#This Row],[MTD Panel]]</f>
        <v>7796.0999999999995</v>
      </c>
      <c r="H9" s="13">
        <f>Table33345678910121120[[#This Row],[Company Panel]]-Table33345678910121120[[#This Row],[Our panel]]</f>
        <v>0</v>
      </c>
      <c r="I9" s="13">
        <f>Table33345678910121120[[#This Row],[MTD Company]]-Table33345678910121120[[#This Row],[MTD Panel]]</f>
        <v>0</v>
      </c>
      <c r="K9" s="28"/>
      <c r="L9" s="28"/>
    </row>
    <row r="10" spans="1:12">
      <c r="A10" s="11" t="str">
        <f>Table333456789101217[[#This Row],[Carrier]]</f>
        <v>Law</v>
      </c>
      <c r="B10" s="5" t="str">
        <f>Table333456789101217[[#This Row],[IP]]</f>
        <v>77.88.99.21/77.88.99.88/77.88.99.94/110.56.211.7</v>
      </c>
      <c r="C10" s="6" t="str">
        <f>Table333456789101217[[#This Row],[Carrier Code]]</f>
        <v>LA</v>
      </c>
      <c r="D10" s="53">
        <v>0</v>
      </c>
      <c r="E10" s="53">
        <v>0</v>
      </c>
      <c r="F10" s="18">
        <f>Table33345678910121120[[#This Row],[Company Panel]]+Table33345678910121118[[#This Row],[MTD Company]]</f>
        <v>0</v>
      </c>
      <c r="G10" s="18">
        <f>Table33345678910121120[[#This Row],[Our panel]]+Table33345678910121118[[#This Row],[MTD Panel]]</f>
        <v>0</v>
      </c>
      <c r="H10" s="13">
        <f>Table33345678910121120[[#This Row],[Company Panel]]-Table33345678910121120[[#This Row],[Our panel]]</f>
        <v>0</v>
      </c>
      <c r="I10" s="13">
        <f>Table33345678910121120[[#This Row],[MTD Company]]-Table33345678910121120[[#This Row],[MTD Panel]]</f>
        <v>0</v>
      </c>
      <c r="K10" s="28"/>
      <c r="L10" s="28"/>
    </row>
    <row r="11" spans="1:12">
      <c r="A11" s="11" t="str">
        <f>Table333456789101217[[#This Row],[Carrier]]</f>
        <v>Pulse</v>
      </c>
      <c r="B11" s="5" t="str">
        <f>Table333456789101217[[#This Row],[IP]]</f>
        <v>198.51.100.130/31.725.16.608/66.59.61.503/167.34.122.90</v>
      </c>
      <c r="C11" s="6" t="str">
        <f>Table333456789101217[[#This Row],[Carrier Code]]</f>
        <v>PU</v>
      </c>
      <c r="D11" s="53">
        <v>0</v>
      </c>
      <c r="E11" s="53">
        <v>0</v>
      </c>
      <c r="F11" s="18">
        <f>Table33345678910121120[[#This Row],[Company Panel]]+Table33345678910121118[[#This Row],[MTD Company]]</f>
        <v>0</v>
      </c>
      <c r="G11" s="18">
        <f>Table33345678910121120[[#This Row],[Our panel]]+Table33345678910121118[[#This Row],[MTD Panel]]</f>
        <v>0</v>
      </c>
      <c r="H11" s="13">
        <f>Table33345678910121120[[#This Row],[Company Panel]]-Table33345678910121120[[#This Row],[Our panel]]</f>
        <v>0</v>
      </c>
      <c r="I11" s="13">
        <f>Table33345678910121120[[#This Row],[MTD Company]]-Table33345678910121120[[#This Row],[MTD Panel]]</f>
        <v>0</v>
      </c>
      <c r="K11" s="28"/>
      <c r="L11" s="28"/>
    </row>
    <row r="12" spans="1:12">
      <c r="A12" s="11" t="str">
        <f>Table333456789101217[[#This Row],[Carrier]]</f>
        <v>Phantom</v>
      </c>
      <c r="B12" s="5" t="str">
        <f>Table333456789101217[[#This Row],[IP]]</f>
        <v>141.15.210.67/141.15.42.82/179.62.211.4</v>
      </c>
      <c r="C12" s="6" t="str">
        <f>Table333456789101217[[#This Row],[Carrier Code]]</f>
        <v>PH</v>
      </c>
      <c r="D12" s="53">
        <v>0.41666666666666669</v>
      </c>
      <c r="E12" s="53">
        <v>0.41666666666666669</v>
      </c>
      <c r="F12" s="18">
        <f>Table33345678910121120[[#This Row],[Company Panel]]+Table33345678910121118[[#This Row],[MTD Company]]</f>
        <v>3322.9333333333325</v>
      </c>
      <c r="G12" s="18">
        <f>Table33345678910121120[[#This Row],[Our panel]]+Table33345678910121118[[#This Row],[MTD Panel]]</f>
        <v>3322.9333333333325</v>
      </c>
      <c r="H12" s="13">
        <f>Table33345678910121120[[#This Row],[Company Panel]]-Table33345678910121120[[#This Row],[Our panel]]</f>
        <v>0</v>
      </c>
      <c r="I12" s="13">
        <f>Table33345678910121120[[#This Row],[MTD Company]]-Table33345678910121120[[#This Row],[MTD Panel]]</f>
        <v>0</v>
      </c>
    </row>
    <row r="13" spans="1:12">
      <c r="A13" s="11" t="str">
        <f>Table333456789101217[[#This Row],[Carrier]]</f>
        <v>Dragon</v>
      </c>
      <c r="B13" s="5" t="str">
        <f>Table333456789101217[[#This Row],[IP]]</f>
        <v>12.34.56.78/12.34.56.128/200.180.245.18</v>
      </c>
      <c r="C13" s="6" t="str">
        <f>Table333456789101217[[#This Row],[Carrier Code]]</f>
        <v>DG</v>
      </c>
      <c r="D13" s="53">
        <v>0</v>
      </c>
      <c r="E13" s="53">
        <v>0</v>
      </c>
      <c r="F13" s="18">
        <f>Table33345678910121120[[#This Row],[Company Panel]]+Table33345678910121118[[#This Row],[MTD Company]]</f>
        <v>0</v>
      </c>
      <c r="G13" s="18">
        <f>Table33345678910121120[[#This Row],[Our panel]]+Table33345678910121118[[#This Row],[MTD Panel]]</f>
        <v>0</v>
      </c>
      <c r="H13" s="13">
        <f>Table33345678910121120[[#This Row],[Company Panel]]-Table33345678910121120[[#This Row],[Our panel]]</f>
        <v>0</v>
      </c>
      <c r="I13" s="13">
        <f>Table33345678910121120[[#This Row],[MTD Company]]-Table33345678910121120[[#This Row],[MTD Panel]]</f>
        <v>0</v>
      </c>
    </row>
    <row r="14" spans="1:12">
      <c r="A14" s="11" t="str">
        <f>Table333456789101217[[#This Row],[Carrier]]</f>
        <v>Tempest</v>
      </c>
      <c r="B14" s="5" t="str">
        <f>Table333456789101217[[#This Row],[IP]]</f>
        <v>59.144.223.88/55.39.99.60</v>
      </c>
      <c r="C14" s="6" t="str">
        <f>Table333456789101217[[#This Row],[Carrier Code]]</f>
        <v>TE</v>
      </c>
      <c r="D14" s="53">
        <v>0</v>
      </c>
      <c r="E14" s="53">
        <v>0</v>
      </c>
      <c r="F14" s="18">
        <f>Table33345678910121120[[#This Row],[Company Panel]]+Table33345678910121118[[#This Row],[MTD Company]]</f>
        <v>0</v>
      </c>
      <c r="G14" s="18">
        <f>Table33345678910121120[[#This Row],[Our panel]]+Table33345678910121118[[#This Row],[MTD Panel]]</f>
        <v>0</v>
      </c>
      <c r="H14" s="13">
        <f>Table33345678910121120[[#This Row],[Company Panel]]-Table33345678910121120[[#This Row],[Our panel]]</f>
        <v>0</v>
      </c>
      <c r="I14" s="13">
        <f>Table33345678910121120[[#This Row],[MTD Company]]-Table33345678910121120[[#This Row],[MTD Panel]]</f>
        <v>0</v>
      </c>
    </row>
    <row r="15" spans="1:12">
      <c r="A15" s="11" t="str">
        <f>Table333456789101217[[#This Row],[Carrier]]</f>
        <v>Shadow</v>
      </c>
      <c r="B15" s="5" t="str">
        <f>Table333456789101217[[#This Row],[IP]]</f>
        <v>175.45.112.100/25.851.31.153/39.80.220.100</v>
      </c>
      <c r="C15" s="6" t="str">
        <f>Table333456789101217[[#This Row],[Carrier Code]]</f>
        <v>SH</v>
      </c>
      <c r="D15" s="53">
        <v>0</v>
      </c>
      <c r="E15" s="53">
        <v>0</v>
      </c>
      <c r="F15" s="18">
        <f>Table33345678910121120[[#This Row],[Company Panel]]+Table33345678910121118[[#This Row],[MTD Company]]</f>
        <v>0</v>
      </c>
      <c r="G15" s="18">
        <f>Table33345678910121120[[#This Row],[Our panel]]+Table33345678910121118[[#This Row],[MTD Panel]]</f>
        <v>0</v>
      </c>
      <c r="H15" s="13">
        <f>Table33345678910121120[[#This Row],[Company Panel]]-Table33345678910121120[[#This Row],[Our panel]]</f>
        <v>0</v>
      </c>
      <c r="I15" s="13">
        <f>Table33345678910121120[[#This Row],[MTD Company]]-Table33345678910121120[[#This Row],[MTD Panel]]</f>
        <v>0</v>
      </c>
    </row>
    <row r="16" spans="1:12">
      <c r="A16" s="11" t="str">
        <f>Table333456789101217[[#This Row],[Carrier]]</f>
        <v>Cyclone</v>
      </c>
      <c r="B16" s="5" t="str">
        <f>Table333456789101217[[#This Row],[IP]]</f>
        <v>150.13.75.190/16.160.89.512/72.11.97.34</v>
      </c>
      <c r="C16" s="6" t="str">
        <f>Table333456789101217[[#This Row],[Carrier Code]]</f>
        <v>CY</v>
      </c>
      <c r="D16" s="53">
        <v>0</v>
      </c>
      <c r="E16" s="53">
        <v>0</v>
      </c>
      <c r="F16" s="18">
        <f>Table33345678910121120[[#This Row],[Company Panel]]+Table33345678910121118[[#This Row],[MTD Company]]</f>
        <v>0</v>
      </c>
      <c r="G16" s="18">
        <f>Table33345678910121120[[#This Row],[Our panel]]+Table33345678910121118[[#This Row],[MTD Panel]]</f>
        <v>0</v>
      </c>
      <c r="H16" s="13">
        <f>Table33345678910121120[[#This Row],[Company Panel]]-Table33345678910121120[[#This Row],[Our panel]]</f>
        <v>0</v>
      </c>
      <c r="I16" s="13">
        <f>Table33345678910121120[[#This Row],[MTD Company]]-Table33345678910121120[[#This Row],[MTD Panel]]</f>
        <v>0</v>
      </c>
    </row>
    <row r="17" spans="1:9">
      <c r="A17" s="11" t="str">
        <f>Table333456789101217[[#This Row],[Carrier]]</f>
        <v>Reaver</v>
      </c>
      <c r="B17" s="5" t="str">
        <f>Table333456789101217[[#This Row],[IP]]</f>
        <v>203.0.113.44/188.17.56.210</v>
      </c>
      <c r="C17" s="6" t="str">
        <f>Table333456789101217[[#This Row],[Carrier Code]]</f>
        <v>RE</v>
      </c>
      <c r="D17" s="53">
        <v>0</v>
      </c>
      <c r="E17" s="53">
        <v>0</v>
      </c>
      <c r="F17" s="18">
        <f>Table33345678910121120[[#This Row],[Company Panel]]+Table33345678910121118[[#This Row],[MTD Company]]</f>
        <v>0</v>
      </c>
      <c r="G17" s="18">
        <f>Table33345678910121120[[#This Row],[Our panel]]+Table33345678910121118[[#This Row],[MTD Panel]]</f>
        <v>0</v>
      </c>
      <c r="H17" s="13">
        <f>Table33345678910121120[[#This Row],[Company Panel]]-Table33345678910121120[[#This Row],[Our panel]]</f>
        <v>0</v>
      </c>
      <c r="I17" s="13">
        <f>Table33345678910121120[[#This Row],[MTD Company]]-Table33345678910121120[[#This Row],[MTD Panel]]</f>
        <v>0</v>
      </c>
    </row>
    <row r="18" spans="1:9">
      <c r="A18" s="11" t="str">
        <f>Table333456789101217[[#This Row],[Carrier]]</f>
        <v>Forge</v>
      </c>
      <c r="B18" s="5" t="str">
        <f>Table333456789101217[[#This Row],[IP]]</f>
        <v>112.54.89.168/112.54.89.138</v>
      </c>
      <c r="C18" s="6" t="str">
        <f>Table333456789101217[[#This Row],[Carrier Code]]</f>
        <v>FO</v>
      </c>
      <c r="D18" s="53">
        <v>10.216666666666667</v>
      </c>
      <c r="E18" s="53">
        <v>10.216666666666667</v>
      </c>
      <c r="F18" s="18">
        <f>Table33345678910121120[[#This Row],[Company Panel]]+Table33345678910121118[[#This Row],[MTD Company]]</f>
        <v>340.96666666666664</v>
      </c>
      <c r="G18" s="18">
        <f>Table33345678910121120[[#This Row],[Our panel]]+Table33345678910121118[[#This Row],[MTD Panel]]</f>
        <v>340.96666666666664</v>
      </c>
      <c r="H18" s="13">
        <f>Table33345678910121120[[#This Row],[Company Panel]]-Table33345678910121120[[#This Row],[Our panel]]</f>
        <v>0</v>
      </c>
      <c r="I18" s="13">
        <f>Table33345678910121120[[#This Row],[MTD Company]]-Table33345678910121120[[#This Row],[MTD Panel]]</f>
        <v>0</v>
      </c>
    </row>
    <row r="19" spans="1:9">
      <c r="A19" s="11" t="str">
        <f>Table333456789101217[[#This Row],[Carrier]]</f>
        <v>Ember</v>
      </c>
      <c r="B19" s="5" t="str">
        <f>Table333456789101217[[#This Row],[IP]]</f>
        <v>78.34.90.24/328.56.122.44/142.150.75.22</v>
      </c>
      <c r="C19" s="6" t="str">
        <f>Table333456789101217[[#This Row],[Carrier Code]]</f>
        <v>EM</v>
      </c>
      <c r="D19" s="53">
        <v>0</v>
      </c>
      <c r="E19" s="53">
        <v>0</v>
      </c>
      <c r="F19" s="18">
        <f>Table33345678910121120[[#This Row],[Company Panel]]+Table33345678910121118[[#This Row],[MTD Company]]</f>
        <v>0</v>
      </c>
      <c r="G19" s="18">
        <f>Table33345678910121120[[#This Row],[Our panel]]+Table33345678910121118[[#This Row],[MTD Panel]]</f>
        <v>0</v>
      </c>
      <c r="H19" s="13">
        <f>Table33345678910121120[[#This Row],[Company Panel]]-Table33345678910121120[[#This Row],[Our panel]]</f>
        <v>0</v>
      </c>
      <c r="I19" s="13">
        <f>Table33345678910121120[[#This Row],[MTD Company]]-Table33345678910121120[[#This Row],[MTD Panel]]</f>
        <v>0</v>
      </c>
    </row>
    <row r="20" spans="1:9">
      <c r="A20" s="11" t="str">
        <f>Table333456789101217[[#This Row],[Carrier]]</f>
        <v>Specter</v>
      </c>
      <c r="B20" s="5" t="str">
        <f>Table333456789101217[[#This Row],[IP]]</f>
        <v>205.60.34.150</v>
      </c>
      <c r="C20" s="6" t="str">
        <f>Table333456789101217[[#This Row],[Carrier Code]]</f>
        <v>SP</v>
      </c>
      <c r="D20" s="53">
        <v>0.21666666666666667</v>
      </c>
      <c r="E20" s="53">
        <v>0.21666666666666667</v>
      </c>
      <c r="F20" s="18">
        <f>Table33345678910121120[[#This Row],[Company Panel]]+Table33345678910121118[[#This Row],[MTD Company]]</f>
        <v>11.8</v>
      </c>
      <c r="G20" s="18">
        <f>Table33345678910121120[[#This Row],[Our panel]]+Table33345678910121118[[#This Row],[MTD Panel]]</f>
        <v>11.8</v>
      </c>
      <c r="H20" s="13">
        <f>Table33345678910121120[[#This Row],[Company Panel]]-Table33345678910121120[[#This Row],[Our panel]]</f>
        <v>0</v>
      </c>
      <c r="I20" s="13">
        <f>Table33345678910121120[[#This Row],[MTD Company]]-Table33345678910121120[[#This Row],[MTD Panel]]</f>
        <v>0</v>
      </c>
    </row>
    <row r="21" spans="1:9">
      <c r="A21" s="11" t="str">
        <f>Table333456789101217[[#This Row],[Carrier]]</f>
        <v>Throne</v>
      </c>
      <c r="B21" s="5" t="str">
        <f>Table333456789101217[[#This Row],[IP]]</f>
        <v>54.32.11.90/27.758.27.201/125.150.58.20</v>
      </c>
      <c r="C21" s="6" t="str">
        <f>Table333456789101217[[#This Row],[Carrier Code]]</f>
        <v>TH</v>
      </c>
      <c r="D21" s="53">
        <v>0</v>
      </c>
      <c r="E21" s="53">
        <v>0</v>
      </c>
      <c r="F21" s="18">
        <f>Table33345678910121120[[#This Row],[Company Panel]]+Table33345678910121118[[#This Row],[MTD Company]]</f>
        <v>0</v>
      </c>
      <c r="G21" s="18">
        <f>Table33345678910121120[[#This Row],[Our panel]]+Table33345678910121118[[#This Row],[MTD Panel]]</f>
        <v>0</v>
      </c>
      <c r="H21" s="13">
        <f>Table33345678910121120[[#This Row],[Company Panel]]-Table33345678910121120[[#This Row],[Our panel]]</f>
        <v>0</v>
      </c>
      <c r="I21" s="13">
        <f>Table33345678910121120[[#This Row],[MTD Company]]-Table33345678910121120[[#This Row],[MTD Panel]]</f>
        <v>0</v>
      </c>
    </row>
    <row r="22" spans="1:9">
      <c r="A22" s="11" t="str">
        <f>Table333456789101217[[#This Row],[Carrier]]</f>
        <v>Arcane</v>
      </c>
      <c r="B22" s="5" t="str">
        <f>Table333456789101217[[#This Row],[IP]]</f>
        <v>212.100.25.78/212.100.25.87</v>
      </c>
      <c r="C22" s="6" t="str">
        <f>Table333456789101217[[#This Row],[Carrier Code]]</f>
        <v>AR</v>
      </c>
      <c r="D22" s="53">
        <v>0</v>
      </c>
      <c r="E22" s="53">
        <v>0</v>
      </c>
      <c r="F22" s="18">
        <f>Table33345678910121120[[#This Row],[Company Panel]]+Table33345678910121118[[#This Row],[MTD Company]]</f>
        <v>0.58333333333333337</v>
      </c>
      <c r="G22" s="18">
        <f>Table33345678910121120[[#This Row],[Our panel]]+Table33345678910121118[[#This Row],[MTD Panel]]</f>
        <v>0.58333333333333337</v>
      </c>
      <c r="H22" s="13">
        <f>Table33345678910121120[[#This Row],[Company Panel]]-Table33345678910121120[[#This Row],[Our panel]]</f>
        <v>0</v>
      </c>
      <c r="I22" s="13">
        <f>Table33345678910121120[[#This Row],[MTD Company]]-Table33345678910121120[[#This Row],[MTD Panel]]</f>
        <v>0</v>
      </c>
    </row>
    <row r="23" spans="1:9">
      <c r="A23" s="11" t="str">
        <f>Table333456789101217[[#This Row],[Carrier]]</f>
        <v>Glitch</v>
      </c>
      <c r="B23" s="5" t="str">
        <f>Table333456789101217[[#This Row],[IP]]</f>
        <v>198.204.100.12/198.204.100.34/198.204.100.51</v>
      </c>
      <c r="C23" s="6" t="str">
        <f>Table333456789101217[[#This Row],[Carrier Code]]</f>
        <v>GL</v>
      </c>
      <c r="D23" s="53">
        <v>0</v>
      </c>
      <c r="E23" s="53">
        <v>0</v>
      </c>
      <c r="F23" s="18">
        <f>Table33345678910121120[[#This Row],[Company Panel]]+Table33345678910121118[[#This Row],[MTD Company]]</f>
        <v>0</v>
      </c>
      <c r="G23" s="18">
        <f>Table33345678910121120[[#This Row],[Our panel]]+Table33345678910121118[[#This Row],[MTD Panel]]</f>
        <v>0</v>
      </c>
      <c r="H23" s="13">
        <f>Table33345678910121120[[#This Row],[Company Panel]]-Table33345678910121120[[#This Row],[Our panel]]</f>
        <v>0</v>
      </c>
      <c r="I23" s="13">
        <f>Table33345678910121120[[#This Row],[Company Panel]]-Table33345678910121120[[#This Row],[Our panel]]</f>
        <v>0</v>
      </c>
    </row>
    <row r="24" spans="1:9">
      <c r="A24" s="11" t="str">
        <f>Table333456789101217[[#This Row],[Carrier]]</f>
        <v>Nitro</v>
      </c>
      <c r="B24" s="5" t="str">
        <f>Table333456789101217[[#This Row],[IP]]</f>
        <v>15.150.200.33/119.82.200.100</v>
      </c>
      <c r="C24" s="6" t="str">
        <f>Table333456789101217[[#This Row],[Carrier Code]]</f>
        <v>NI</v>
      </c>
      <c r="D24" s="53">
        <v>0</v>
      </c>
      <c r="E24" s="53">
        <v>0</v>
      </c>
      <c r="F24" s="18">
        <f>Table33345678910121120[[#This Row],[Company Panel]]+Table33345678910121118[[#This Row],[MTD Company]]</f>
        <v>0</v>
      </c>
      <c r="G24" s="18">
        <f>Table33345678910121120[[#This Row],[Our panel]]+Table33345678910121118[[#This Row],[MTD Panel]]</f>
        <v>0</v>
      </c>
      <c r="H24" s="13">
        <f>Table33345678910121120[[#This Row],[Company Panel]]-Table33345678910121120[[#This Row],[Our panel]]</f>
        <v>0</v>
      </c>
      <c r="I24" s="13">
        <f>Table33345678910121120[[#This Row],[Company Panel]]-Table33345678910121120[[#This Row],[Our panel]]</f>
        <v>0</v>
      </c>
    </row>
    <row r="25" spans="1:9">
      <c r="A25" s="11" t="str">
        <f>Table333456789101217[[#This Row],[Carrier]]</f>
        <v>Drip</v>
      </c>
      <c r="B25" s="5" t="str">
        <f>Table333456789101217[[#This Row],[IP]]</f>
        <v>84.13.76.190/90.945.80.11/198.160.234.5</v>
      </c>
      <c r="C25" s="6" t="str">
        <f>Table333456789101217[[#This Row],[Carrier Code]]</f>
        <v>DR</v>
      </c>
      <c r="D25" s="53">
        <v>0</v>
      </c>
      <c r="E25" s="53">
        <v>0</v>
      </c>
      <c r="F25" s="18">
        <f>Table33345678910121120[[#This Row],[Company Panel]]+Table33345678910121118[[#This Row],[MTD Company]]</f>
        <v>0</v>
      </c>
      <c r="G25" s="18">
        <f>Table33345678910121120[[#This Row],[Our panel]]+Table33345678910121118[[#This Row],[MTD Panel]]</f>
        <v>0</v>
      </c>
      <c r="H25" s="13">
        <f>Table33345678910121120[[#This Row],[Company Panel]]-Table33345678910121120[[#This Row],[Our panel]]</f>
        <v>0</v>
      </c>
      <c r="I25" s="13">
        <f>Table33345678910121120[[#This Row],[MTD Company]]-Table33345678910121120[[#This Row],[MTD Panel]]</f>
        <v>0</v>
      </c>
    </row>
    <row r="26" spans="1:9">
      <c r="A26" s="11" t="str">
        <f>Table333456789101217[[#This Row],[Carrier]]</f>
        <v>Glide</v>
      </c>
      <c r="B26" s="5" t="str">
        <f>Table333456789101217[[#This Row],[IP]]</f>
        <v>120.45.12.25/85.739.221.80/85.739.221.93</v>
      </c>
      <c r="C26" s="6" t="str">
        <f>Table333456789101217[[#This Row],[Carrier Code]]</f>
        <v>GI</v>
      </c>
      <c r="D26" s="53">
        <v>0</v>
      </c>
      <c r="E26" s="53">
        <v>0</v>
      </c>
      <c r="F26" s="18">
        <f>Table33345678910121120[[#This Row],[Company Panel]]+Table33345678910121118[[#This Row],[MTD Company]]</f>
        <v>0</v>
      </c>
      <c r="G26" s="18">
        <f>Table33345678910121120[[#This Row],[Our panel]]+Table33345678910121118[[#This Row],[MTD Panel]]</f>
        <v>0</v>
      </c>
      <c r="H26" s="13">
        <f>Table33345678910121120[[#This Row],[Company Panel]]-Table33345678910121120[[#This Row],[Our panel]]</f>
        <v>0</v>
      </c>
      <c r="I26" s="13">
        <f>Table33345678910121120[[#This Row],[MTD Company]]-Table33345678910121120[[#This Row],[MTD Panel]]</f>
        <v>0</v>
      </c>
    </row>
    <row r="27" spans="1:9">
      <c r="A27" s="11" t="str">
        <f>Table333456789101217[[#This Row],[Carrier]]</f>
        <v>Orbit</v>
      </c>
      <c r="B27" s="5" t="str">
        <f>Table333456789101217[[#This Row],[IP]]</f>
        <v>176.98.54.112/60.110.154.91/60.110.155.162</v>
      </c>
      <c r="C27" s="6" t="str">
        <f>Table333456789101217[[#This Row],[Carrier Code]]</f>
        <v>OR</v>
      </c>
      <c r="D27" s="53">
        <v>0</v>
      </c>
      <c r="E27" s="53">
        <v>0</v>
      </c>
      <c r="F27" s="18">
        <f>Table33345678910121120[[#This Row],[Company Panel]]+Table33345678910121118[[#This Row],[MTD Company]]</f>
        <v>0</v>
      </c>
      <c r="G27" s="18">
        <f>Table33345678910121120[[#This Row],[Our panel]]+Table33345678910121118[[#This Row],[MTD Panel]]</f>
        <v>0</v>
      </c>
      <c r="H27" s="13">
        <f>Table33345678910121120[[#This Row],[Company Panel]]-Table33345678910121120[[#This Row],[Our panel]]</f>
        <v>0</v>
      </c>
      <c r="I27" s="13">
        <f>Table33345678910121120[[#This Row],[MTD Company]]-Table33345678910121120[[#This Row],[MTD Panel]]</f>
        <v>0</v>
      </c>
    </row>
    <row r="28" spans="1:9">
      <c r="A28" s="11" t="str">
        <f>Table333456789101217[[#This Row],[Carrier]]</f>
        <v>Thunder</v>
      </c>
      <c r="B28" s="5" t="str">
        <f>Table333456789101217[[#This Row],[IP]]</f>
        <v>67.102.200.9/81.905.48.847/143.235.100.34</v>
      </c>
      <c r="C28" s="6" t="str">
        <f>Table333456789101217[[#This Row],[Carrier Code]]</f>
        <v>TU</v>
      </c>
      <c r="D28" s="53">
        <v>2.7666666666666666</v>
      </c>
      <c r="E28" s="53">
        <v>2.7666666666666666</v>
      </c>
      <c r="F28" s="18">
        <f>Table33345678910121120[[#This Row],[Company Panel]]+Table33345678910121118[[#This Row],[MTD Company]]</f>
        <v>328.13333333333327</v>
      </c>
      <c r="G28" s="18">
        <f>Table33345678910121120[[#This Row],[Our panel]]+Table33345678910121118[[#This Row],[MTD Panel]]</f>
        <v>328.13333333333327</v>
      </c>
      <c r="H28" s="13">
        <f>Table33345678910121120[[#This Row],[Company Panel]]-Table33345678910121120[[#This Row],[Our panel]]</f>
        <v>0</v>
      </c>
      <c r="I28" s="13">
        <f>Table33345678910121120[[#This Row],[MTD Company]]-Table33345678910121120[[#This Row],[MTD Panel]]</f>
        <v>0</v>
      </c>
    </row>
    <row r="29" spans="1:9">
      <c r="A29" s="11" t="str">
        <f>Table333456789101217[[#This Row],[Carrier]]</f>
        <v>Glimmer</v>
      </c>
      <c r="B29" s="5" t="str">
        <f>Table333456789101217[[#This Row],[IP]]</f>
        <v>99.22.211.100/71.54.85.344/71.54.85.218</v>
      </c>
      <c r="C29" s="6" t="str">
        <f>Table333456789101217[[#This Row],[Carrier Code]]</f>
        <v>GM</v>
      </c>
      <c r="D29" s="53">
        <v>0</v>
      </c>
      <c r="E29" s="53">
        <v>0</v>
      </c>
      <c r="F29" s="18">
        <f>Table33345678910121120[[#This Row],[Company Panel]]+Table33345678910121118[[#This Row],[MTD Company]]</f>
        <v>0</v>
      </c>
      <c r="G29" s="18">
        <f>Table33345678910121120[[#This Row],[Our panel]]+Table33345678910121118[[#This Row],[MTD Panel]]</f>
        <v>0</v>
      </c>
      <c r="H29" s="13">
        <f>Table33345678910121120[[#This Row],[Company Panel]]-Table33345678910121120[[#This Row],[Our panel]]</f>
        <v>0</v>
      </c>
      <c r="I29" s="13">
        <f>Table33345678910121120[[#This Row],[MTD Company]]-Table33345678910121120[[#This Row],[MTD Panel]]</f>
        <v>0</v>
      </c>
    </row>
    <row r="30" spans="1:9">
      <c r="A30" s="11" t="str">
        <f>Table333456789101217[[#This Row],[Carrier]]</f>
        <v>Fragment</v>
      </c>
      <c r="B30" s="5" t="str">
        <f>Table333456789101217[[#This Row],[IP]]</f>
        <v>203.0.113.56/195.56.101.10</v>
      </c>
      <c r="C30" s="6" t="str">
        <f>Table333456789101217[[#This Row],[Carrier Code]]</f>
        <v>FR</v>
      </c>
      <c r="D30" s="53">
        <v>0</v>
      </c>
      <c r="E30" s="53">
        <v>0</v>
      </c>
      <c r="F30" s="18">
        <f>Table33345678910121120[[#This Row],[Company Panel]]+Table33345678910121118[[#This Row],[MTD Company]]</f>
        <v>0</v>
      </c>
      <c r="G30" s="18">
        <f>Table33345678910121120[[#This Row],[Our panel]]+Table33345678910121118[[#This Row],[MTD Panel]]</f>
        <v>0</v>
      </c>
      <c r="H30" s="13">
        <f>Table33345678910121120[[#This Row],[Company Panel]]-Table33345678910121120[[#This Row],[Our panel]]</f>
        <v>0</v>
      </c>
      <c r="I30" s="13">
        <f>Table33345678910121120[[#This Row],[MTD Company]]-Table33345678910121120[[#This Row],[MTD Panel]]</f>
        <v>0</v>
      </c>
    </row>
    <row r="31" spans="1:9">
      <c r="A31" s="11" t="str">
        <f>Table333456789101217[[#This Row],[Carrier]]</f>
        <v>Dusk</v>
      </c>
      <c r="B31" s="5" t="str">
        <f>Table333456789101217[[#This Row],[IP]]</f>
        <v>33.44.55.66/33.44.55.84/33.44.55.122/214.68.90.122</v>
      </c>
      <c r="C31" s="6" t="str">
        <f>Table333456789101217[[#This Row],[Carrier Code]]</f>
        <v>DK</v>
      </c>
      <c r="D31" s="53">
        <v>0</v>
      </c>
      <c r="E31" s="53">
        <v>0</v>
      </c>
      <c r="F31" s="18">
        <f>Table33345678910121120[[#This Row],[Company Panel]]+Table33345678910121118[[#This Row],[MTD Company]]</f>
        <v>0</v>
      </c>
      <c r="G31" s="18">
        <f>Table33345678910121120[[#This Row],[Our panel]]+Table33345678910121118[[#This Row],[MTD Panel]]</f>
        <v>0</v>
      </c>
      <c r="H31" s="13">
        <f>Table33345678910121120[[#This Row],[Company Panel]]-Table33345678910121120[[#This Row],[Our panel]]</f>
        <v>0</v>
      </c>
      <c r="I31" s="13">
        <f>Table33345678910121120[[#This Row],[MTD Company]]-Table33345678910121120[[#This Row],[MTD Panel]]</f>
        <v>0</v>
      </c>
    </row>
    <row r="32" spans="1:9">
      <c r="A32" s="11" t="str">
        <f>Table333456789101217[[#This Row],[Carrier]]</f>
        <v>Breeze</v>
      </c>
      <c r="B32" s="5" t="str">
        <f>Table333456789101217[[#This Row],[IP]]</f>
        <v>199.123.87.45/199.123.34.52/77.189.22.56</v>
      </c>
      <c r="C32" s="6" t="str">
        <f>Table333456789101217[[#This Row],[Carrier Code]]</f>
        <v>BR</v>
      </c>
      <c r="D32" s="53">
        <v>0</v>
      </c>
      <c r="E32" s="53">
        <v>0</v>
      </c>
      <c r="F32" s="18">
        <f>Table33345678910121120[[#This Row],[Company Panel]]+Table33345678910121118[[#This Row],[MTD Company]]</f>
        <v>0</v>
      </c>
      <c r="G32" s="18">
        <f>Table33345678910121120[[#This Row],[Our panel]]+Table33345678910121118[[#This Row],[MTD Panel]]</f>
        <v>0</v>
      </c>
      <c r="H32" s="13">
        <f>Table33345678910121120[[#This Row],[Company Panel]]-Table33345678910121120[[#This Row],[Our panel]]</f>
        <v>0</v>
      </c>
      <c r="I32" s="13">
        <f>Table33345678910121120[[#This Row],[MTD Company]]-Table33345678910121120[[#This Row],[MTD Panel]]</f>
        <v>0</v>
      </c>
    </row>
    <row r="33" spans="1:9">
      <c r="A33" s="11" t="str">
        <f>Table333456789101217[[#This Row],[Carrier]]</f>
        <v>Clutch</v>
      </c>
      <c r="B33" s="5" t="str">
        <f>Table333456789101217[[#This Row],[IP]]</f>
        <v>55.66.77.88/84.126.79.28/152.233.45.11</v>
      </c>
      <c r="C33" s="6" t="str">
        <f>Table333456789101217[[#This Row],[Carrier Code]]</f>
        <v>CL</v>
      </c>
      <c r="D33" s="53">
        <v>0</v>
      </c>
      <c r="E33" s="53">
        <v>0</v>
      </c>
      <c r="F33" s="18">
        <f>Table33345678910121120[[#This Row],[Company Panel]]+Table33345678910121118[[#This Row],[MTD Company]]</f>
        <v>0</v>
      </c>
      <c r="G33" s="18">
        <f>Table33345678910121120[[#This Row],[Our panel]]+Table33345678910121118[[#This Row],[MTD Panel]]</f>
        <v>0</v>
      </c>
      <c r="H33" s="13">
        <f>Table33345678910121120[[#This Row],[Company Panel]]-Table33345678910121120[[#This Row],[Our panel]]</f>
        <v>0</v>
      </c>
      <c r="I33" s="13">
        <f>Table33345678910121120[[#This Row],[MTD Company]]-Table33345678910121120[[#This Row],[MTD Panel]]</f>
        <v>0</v>
      </c>
    </row>
    <row r="34" spans="1:9">
      <c r="A34" s="11" t="str">
        <f>Table333456789101217[[#This Row],[Carrier]]</f>
        <v>Haze</v>
      </c>
      <c r="B34" s="5" t="str">
        <f>Table333456789101217[[#This Row],[IP]]</f>
        <v>230.111.44.56</v>
      </c>
      <c r="C34" s="6" t="str">
        <f>Table333456789101217[[#This Row],[Carrier Code]]</f>
        <v>HZ</v>
      </c>
      <c r="D34" s="53">
        <v>0</v>
      </c>
      <c r="E34" s="53">
        <v>0</v>
      </c>
      <c r="F34" s="18">
        <f>Table33345678910121120[[#This Row],[Company Panel]]+Table33345678910121118[[#This Row],[MTD Company]]</f>
        <v>0.56666666666666665</v>
      </c>
      <c r="G34" s="18">
        <f>Table33345678910121120[[#This Row],[Our panel]]+Table33345678910121118[[#This Row],[MTD Panel]]</f>
        <v>0.56666666666666665</v>
      </c>
      <c r="H34" s="63">
        <f>Table33345678910121120[[#This Row],[Company Panel]]-Table33345678910121120[[#This Row],[Our panel]]</f>
        <v>0</v>
      </c>
      <c r="I34" s="63">
        <f>Table33345678910121120[[#This Row],[MTD Company]]-Table33345678910121120[[#This Row],[MTD Panel]]</f>
        <v>0</v>
      </c>
    </row>
    <row r="35" spans="1:9">
      <c r="A35" s="11" t="str">
        <f>Table333456789101217[[#This Row],[Carrier]]</f>
        <v>Vault</v>
      </c>
      <c r="B35" s="5" t="str">
        <f>Table333456789101217[[#This Row],[IP]]</f>
        <v>213.189.94.5/213.189.94.7/111.180.64.222</v>
      </c>
      <c r="C35" s="6" t="str">
        <f>Table333456789101217[[#This Row],[Carrier Code]]</f>
        <v>VA</v>
      </c>
      <c r="D35" s="53">
        <v>0</v>
      </c>
      <c r="E35" s="53">
        <v>0</v>
      </c>
      <c r="F35" s="18">
        <f>Table33345678910121120[[#This Row],[Company Panel]]+Table33345678910121118[[#This Row],[MTD Company]]</f>
        <v>0</v>
      </c>
      <c r="G35" s="18">
        <f>Table33345678910121120[[#This Row],[Our panel]]+Table33345678910121118[[#This Row],[MTD Panel]]</f>
        <v>0</v>
      </c>
      <c r="H35" s="63">
        <f>Table33345678910121120[[#This Row],[Company Panel]]-Table33345678910121120[[#This Row],[Our panel]]</f>
        <v>0</v>
      </c>
      <c r="I35" s="63">
        <f>Table33345678910121120[[#This Row],[MTD Company]]-Table33345678910121120[[#This Row],[MTD Panel]]</f>
        <v>0</v>
      </c>
    </row>
    <row r="36" spans="1:9">
      <c r="A36" s="11" t="str">
        <f>Table333456789101217[[#This Row],[Carrier]]</f>
        <v>Scatter</v>
      </c>
      <c r="B36" s="5" t="str">
        <f>Table333456789101217[[#This Row],[IP]]</f>
        <v>14.123.45.67/168.251.90.15</v>
      </c>
      <c r="C36" s="6" t="str">
        <f>Table333456789101217[[#This Row],[Carrier Code]]</f>
        <v>SC</v>
      </c>
      <c r="D36" s="53">
        <v>29.133333333333333</v>
      </c>
      <c r="E36" s="53">
        <v>29.133333333333333</v>
      </c>
      <c r="F36" s="18">
        <f>Table33345678910121120[[#This Row],[Company Panel]]+Table33345678910121118[[#This Row],[MTD Company]]</f>
        <v>441.44999999999993</v>
      </c>
      <c r="G36" s="18">
        <f>Table33345678910121120[[#This Row],[Our panel]]+Table33345678910121118[[#This Row],[MTD Panel]]</f>
        <v>441.44999999999993</v>
      </c>
      <c r="H36" s="63">
        <f>Table33345678910121120[[#This Row],[Company Panel]]-Table33345678910121120[[#This Row],[Our panel]]</f>
        <v>0</v>
      </c>
      <c r="I36" s="63">
        <f>Table33345678910121120[[#This Row],[MTD Company]]-Table33345678910121120[[#This Row],[MTD Panel]]</f>
        <v>0</v>
      </c>
    </row>
    <row r="37" spans="1:9">
      <c r="A37" s="11" t="str">
        <f>Table333456789101217[[#This Row],[Carrier]]</f>
        <v>Hammer</v>
      </c>
      <c r="B37" s="5" t="str">
        <f>Table333456789101217[[#This Row],[IP]]</f>
        <v>200.111.78.9/200.111.236.62/200.111.823.89/137.79.48.56</v>
      </c>
      <c r="C37" s="6" t="str">
        <f>Table333456789101217[[#This Row],[Carrier Code]]</f>
        <v>HA</v>
      </c>
      <c r="D37" s="53">
        <v>0</v>
      </c>
      <c r="E37" s="53">
        <v>0</v>
      </c>
      <c r="F37" s="18">
        <f>Table33345678910121120[[#This Row],[Company Panel]]+Table33345678910121118[[#This Row],[MTD Company]]</f>
        <v>0</v>
      </c>
      <c r="G37" s="18">
        <f>Table33345678910121120[[#This Row],[Our panel]]+Table33345678910121118[[#This Row],[MTD Panel]]</f>
        <v>0</v>
      </c>
      <c r="H37" s="72">
        <f>Table33345678910121120[[#This Row],[Company Panel]]-Table33345678910121120[[#This Row],[Our panel]]</f>
        <v>0</v>
      </c>
      <c r="I37" s="72">
        <f>Table33345678910121120[[#This Row],[MTD Company]]-Table33345678910121120[[#This Row],[MTD Panel]]</f>
        <v>0</v>
      </c>
    </row>
    <row r="38" spans="1:9">
      <c r="A38" s="11" t="str">
        <f>Table333456789101217[[#This Row],[Carrier]]</f>
        <v>Smudge</v>
      </c>
      <c r="B38" s="5" t="str">
        <f>Table333456789101217[[#This Row],[IP]]</f>
        <v>88.99.233.56/54.71.99.234</v>
      </c>
      <c r="C38" s="6" t="str">
        <f>Table333456789101217[[#This Row],[Carrier Code]]</f>
        <v>SM</v>
      </c>
      <c r="D38" s="53">
        <v>5.2</v>
      </c>
      <c r="E38" s="53">
        <v>5.2</v>
      </c>
      <c r="F38" s="18">
        <f>Table33345678910121120[[#This Row],[Company Panel]]+Table33345678910121118[[#This Row],[MTD Company]]</f>
        <v>136.78333333333333</v>
      </c>
      <c r="G38" s="18">
        <f>Table33345678910121120[[#This Row],[Our panel]]+Table33345678910121118[[#This Row],[MTD Panel]]</f>
        <v>136.78333333333333</v>
      </c>
      <c r="H38" s="72">
        <f>Table33345678910121120[[#This Row],[Company Panel]]-Table33345678910121120[[#This Row],[Our panel]]</f>
        <v>0</v>
      </c>
      <c r="I38" s="72">
        <f>Table33345678910121120[[#This Row],[MTD Company]]-Table33345678910121120[[#This Row],[MTD Panel]]</f>
        <v>0</v>
      </c>
    </row>
    <row r="39" spans="1:9">
      <c r="A39" s="11" t="str">
        <f>Table333456789101217[[#This Row],[Carrier]]</f>
        <v>Quirk</v>
      </c>
      <c r="B39" s="5" t="str">
        <f>Table333456789101217[[#This Row],[IP]]</f>
        <v>62.45.100.31/62.45.100.15/62.45.100.65/211.95.102.6</v>
      </c>
      <c r="C39" s="6" t="str">
        <f>Table333456789101217[[#This Row],[Carrier Code]]</f>
        <v>QU</v>
      </c>
      <c r="D39" s="53">
        <v>717.36666666666667</v>
      </c>
      <c r="E39" s="53">
        <v>717.36666666666667</v>
      </c>
      <c r="F39" s="18">
        <f>Table33345678910121120[[#This Row],[Company Panel]]+Table33345678910121118[[#This Row],[MTD Company]]</f>
        <v>21386.1</v>
      </c>
      <c r="G39" s="18">
        <f>Table33345678910121120[[#This Row],[Our panel]]+Table33345678910121118[[#This Row],[MTD Panel]]</f>
        <v>21386.1</v>
      </c>
      <c r="H39" s="72">
        <f>Table33345678910121120[[#This Row],[Company Panel]]-Table33345678910121120[[#This Row],[Our panel]]</f>
        <v>0</v>
      </c>
      <c r="I39" s="72">
        <f>Table33345678910121120[[#This Row],[MTD Company]]-Table33345678910121120[[#This Row],[MTD Panel]]</f>
        <v>0</v>
      </c>
    </row>
    <row r="40" spans="1:9">
      <c r="A40" s="11" t="str">
        <f>Table333456789101217[[#This Row],[Carrier]]</f>
        <v>Vortex</v>
      </c>
      <c r="B40" s="5" t="str">
        <f>Table333456789101217[[#This Row],[IP]]</f>
        <v>179.250.91.8/29.540.67.457/94.25.34.78/183.144.27.18</v>
      </c>
      <c r="C40" s="6" t="str">
        <f>Table333456789101217[[#This Row],[Carrier Code]]</f>
        <v>VT</v>
      </c>
      <c r="D40" s="53">
        <v>0</v>
      </c>
      <c r="E40" s="53">
        <v>0</v>
      </c>
      <c r="F40" s="18">
        <f>Table33345678910121120[[#This Row],[Company Panel]]+Table33345678910121118[[#This Row],[MTD Company]]</f>
        <v>0</v>
      </c>
      <c r="G40" s="18">
        <f>Table33345678910121120[[#This Row],[Our panel]]+Table33345678910121118[[#This Row],[MTD Panel]]</f>
        <v>0</v>
      </c>
      <c r="H40" s="72">
        <f>Table33345678910121120[[#This Row],[Company Panel]]-Table33345678910121120[[#This Row],[Our panel]]</f>
        <v>0</v>
      </c>
      <c r="I40" s="72">
        <f>Table33345678910121120[[#This Row],[MTD Company]]-Table33345678910121120[[#This Row],[MTD Panel]]</f>
        <v>0</v>
      </c>
    </row>
    <row r="41" spans="1:9">
      <c r="A41" s="11" t="str">
        <f>Table333456789101217[[#This Row],[Carrier]]</f>
        <v>Void</v>
      </c>
      <c r="B41" s="5" t="str">
        <f>Table333456789101217[[#This Row],[IP]]</f>
        <v>156.34.123.11/156.34.123.25/156.34.123.62/92.44.233.110</v>
      </c>
      <c r="C41" s="6" t="str">
        <f>Table333456789101217[[#This Row],[Carrier Code]]</f>
        <v>VO</v>
      </c>
      <c r="D41" s="53">
        <v>10.416666666666666</v>
      </c>
      <c r="E41" s="53">
        <v>10.416666666666666</v>
      </c>
      <c r="F41" s="18">
        <f>Table33345678910121120[[#This Row],[Company Panel]]+Table33345678910121118[[#This Row],[MTD Company]]</f>
        <v>630.33333333333326</v>
      </c>
      <c r="G41" s="18">
        <f>Table33345678910121120[[#This Row],[Our panel]]+Table33345678910121118[[#This Row],[MTD Panel]]</f>
        <v>630.33333333333326</v>
      </c>
      <c r="H41" s="72">
        <f>Table33345678910121120[[#This Row],[Company Panel]]-Table33345678910121120[[#This Row],[Our panel]]</f>
        <v>0</v>
      </c>
      <c r="I41" s="72">
        <f>Table33345678910121120[[#This Row],[MTD Company]]-Table33345678910121120[[#This Row],[MTD Panel]]</f>
        <v>0</v>
      </c>
    </row>
    <row r="42" spans="1:9">
      <c r="A42" s="11" t="str">
        <f>Table333456789101217[[#This Row],[Carrier]]</f>
        <v>Midnight</v>
      </c>
      <c r="B42" s="5" t="str">
        <f>Table333456789101217[[#This Row],[IP]]</f>
        <v>134.77.22.4/23.97.150.8</v>
      </c>
      <c r="C42" s="6" t="str">
        <f>Table333456789101217[[#This Row],[Carrier Code]]</f>
        <v>MI</v>
      </c>
      <c r="D42" s="53">
        <v>331.96666666666664</v>
      </c>
      <c r="E42" s="53">
        <v>331.96666666666664</v>
      </c>
      <c r="F42" s="18">
        <f>Table33345678910121120[[#This Row],[Company Panel]]+Table33345678910121118[[#This Row],[MTD Company]]</f>
        <v>2263.6833333333334</v>
      </c>
      <c r="G42" s="18">
        <f>Table33345678910121120[[#This Row],[Our panel]]+Table33345678910121118[[#This Row],[MTD Panel]]</f>
        <v>2263.6833333333334</v>
      </c>
      <c r="H42" s="72">
        <f>Table33345678910121120[[#This Row],[Company Panel]]-Table33345678910121120[[#This Row],[Our panel]]</f>
        <v>0</v>
      </c>
      <c r="I42" s="72">
        <f>Table33345678910121120[[#This Row],[MTD Company]]-Table33345678910121120[[#This Row],[MTD Panel]]</f>
        <v>0</v>
      </c>
    </row>
    <row r="43" spans="1:9">
      <c r="A43" s="11" t="str">
        <f>Table333456789101217[[#This Row],[Carrier]]</f>
        <v>Autumn</v>
      </c>
      <c r="B43" s="5" t="str">
        <f>Table333456789101217[[#This Row],[IP]]</f>
        <v>202.54.210.88/12.331.94.73/64.19.28.175</v>
      </c>
      <c r="C43" s="6" t="str">
        <f>Table333456789101217[[#This Row],[Carrier Code]]</f>
        <v>AU</v>
      </c>
      <c r="D43" s="53">
        <v>1.9833333333333334</v>
      </c>
      <c r="E43" s="53">
        <v>1.9833333333333334</v>
      </c>
      <c r="F43" s="18">
        <f>Table33345678910121120[[#This Row],[Company Panel]]+Table33345678910121118[[#This Row],[MTD Company]]</f>
        <v>217.53333333333333</v>
      </c>
      <c r="G43" s="18">
        <f>Table33345678910121120[[#This Row],[Our panel]]+Table33345678910121118[[#This Row],[MTD Panel]]</f>
        <v>217.53333333333333</v>
      </c>
      <c r="H43" s="72">
        <f>Table33345678910121120[[#This Row],[Company Panel]]-Table33345678910121120[[#This Row],[Our panel]]</f>
        <v>0</v>
      </c>
      <c r="I43" s="72">
        <f>Table33345678910121120[[#This Row],[MTD Company]]-Table33345678910121120[[#This Row],[MTD Panel]]</f>
        <v>0</v>
      </c>
    </row>
    <row r="44" spans="1:9">
      <c r="A44" s="11" t="str">
        <f>Table333456789101217[[#This Row],[Carrier]]</f>
        <v>Mystic</v>
      </c>
      <c r="B44" s="5" t="str">
        <f>Table333456789101217[[#This Row],[IP]]</f>
        <v>51.233.21.76/82.115.35.60/82.115.35.85</v>
      </c>
      <c r="C44" s="6" t="str">
        <f>Table333456789101217[[#This Row],[Carrier Code]]</f>
        <v>MY</v>
      </c>
      <c r="D44" s="53">
        <v>0</v>
      </c>
      <c r="E44" s="53">
        <v>0</v>
      </c>
      <c r="F44" s="18">
        <f>Table33345678910121120[[#This Row],[Company Panel]]+Table33345678910121118[[#This Row],[MTD Company]]</f>
        <v>0</v>
      </c>
      <c r="G44" s="18">
        <f>Table33345678910121120[[#This Row],[Our panel]]+Table33345678910121118[[#This Row],[MTD Panel]]</f>
        <v>0</v>
      </c>
      <c r="H44" s="72">
        <f>Table33345678910121120[[#This Row],[Company Panel]]-Table33345678910121120[[#This Row],[Our panel]]</f>
        <v>0</v>
      </c>
      <c r="I44" s="72">
        <f>Table33345678910121120[[#This Row],[MTD Company]]-Table33345678910121120[[#This Row],[MTD Panel]]</f>
        <v>0</v>
      </c>
    </row>
    <row r="45" spans="1:9">
      <c r="A45" s="11" t="str">
        <f>Table333456789101217[[#This Row],[Carrier]]</f>
        <v>Clover</v>
      </c>
      <c r="B45" s="5" t="str">
        <f>Table333456789101217[[#This Row],[IP]]</f>
        <v>210.150.12.45/84.50.212.66/135.113.88.9</v>
      </c>
      <c r="C45" s="6" t="str">
        <f>Table333456789101217[[#This Row],[Carrier Code]]</f>
        <v>CO</v>
      </c>
      <c r="D45" s="53">
        <v>90.63333333333334</v>
      </c>
      <c r="E45" s="53">
        <v>90.63333333333334</v>
      </c>
      <c r="F45" s="18">
        <f>Table33345678910121120[[#This Row],[Company Panel]]+Table33345678910121118[[#This Row],[MTD Company]]</f>
        <v>33911.683333333334</v>
      </c>
      <c r="G45" s="18">
        <f>Table33345678910121120[[#This Row],[Our panel]]+Table33345678910121118[[#This Row],[MTD Panel]]</f>
        <v>33911.683333333334</v>
      </c>
      <c r="H45" s="13">
        <f>Table33345678910121120[[#This Row],[Company Panel]]-Table33345678910121120[[#This Row],[Our panel]]</f>
        <v>0</v>
      </c>
      <c r="I45" s="13">
        <f>Table33345678910121120[[#This Row],[MTD Company]]-Table33345678910121120[[#This Row],[MTD Panel]]</f>
        <v>0</v>
      </c>
    </row>
    <row r="46" spans="1:9">
      <c r="A46" s="11" t="str">
        <f>Table333456789101217[[#This Row],[Carrier]]</f>
        <v>Hunter</v>
      </c>
      <c r="B46" s="5" t="str">
        <f>Table333456789101217[[#This Row],[IP]]</f>
        <v>170.199.20.87/13.693.39.280/78.30.123.47</v>
      </c>
      <c r="C46" s="6" t="str">
        <f>Table333456789101217[[#This Row],[Carrier Code]]</f>
        <v>HU</v>
      </c>
      <c r="D46" s="53">
        <v>1069.3333333333333</v>
      </c>
      <c r="E46" s="53">
        <v>1069.3333333333333</v>
      </c>
      <c r="F46" s="18">
        <f>Table33345678910121120[[#This Row],[Company Panel]]+Table33345678910121118[[#This Row],[MTD Company]]</f>
        <v>5130.6166666666668</v>
      </c>
      <c r="G46" s="18">
        <f>Table33345678910121120[[#This Row],[Our panel]]+Table33345678910121118[[#This Row],[MTD Panel]]</f>
        <v>5130.6166666666668</v>
      </c>
      <c r="H46" s="13">
        <f>Table33345678910121120[[#This Row],[Company Panel]]-Table33345678910121120[[#This Row],[Our panel]]</f>
        <v>0</v>
      </c>
      <c r="I46" s="13">
        <f>Table33345678910121120[[#This Row],[MTD Company]]-Table33345678910121120[[#This Row],[MTD Panel]]</f>
        <v>0</v>
      </c>
    </row>
    <row r="47" spans="1:9">
      <c r="A47" s="11" t="str">
        <f>Table333456789101217[[#This Row],[Carrier]]</f>
        <v>Invaded</v>
      </c>
      <c r="B47" s="5" t="str">
        <f>Table333456789101217[[#This Row],[IP]]</f>
        <v>182.67.99.120/80.518.230.410/26.847.95.107/188.12.67.92</v>
      </c>
      <c r="C47" s="6" t="str">
        <f>Table333456789101217[[#This Row],[Carrier Code]]</f>
        <v>ID</v>
      </c>
      <c r="D47" s="7">
        <v>0</v>
      </c>
      <c r="E47" s="7">
        <v>0</v>
      </c>
      <c r="F47" s="18">
        <f>Table33345678910121120[[#This Row],[Company Panel]]+Table33345678910121118[[#This Row],[MTD Company]]</f>
        <v>0</v>
      </c>
      <c r="G47" s="18">
        <f>Table33345678910121120[[#This Row],[Our panel]]+Table33345678910121118[[#This Row],[MTD Panel]]</f>
        <v>0</v>
      </c>
      <c r="H47" s="13">
        <f>Table33345678910121120[[#This Row],[Company Panel]]-Table33345678910121120[[#This Row],[Our panel]]</f>
        <v>0</v>
      </c>
      <c r="I47" s="13">
        <f>Table33345678910121120[[#This Row],[MTD Company]]-Table33345678910121120[[#This Row],[MTD Panel]]</f>
        <v>0</v>
      </c>
    </row>
    <row r="48" spans="1:9">
      <c r="A48" s="11" t="str">
        <f>Table333456789101217[[#This Row],[Carrier]]</f>
        <v>Delusion</v>
      </c>
      <c r="B48" s="5" t="str">
        <f>Table333456789101217[[#This Row],[IP]]</f>
        <v>198.51.100.72/69.887.74.738/39.153.110.645</v>
      </c>
      <c r="C48" s="6" t="str">
        <f>Table333456789101217[[#This Row],[Carrier Code]]</f>
        <v>DU</v>
      </c>
      <c r="D48" s="7">
        <v>0</v>
      </c>
      <c r="E48" s="7">
        <v>0</v>
      </c>
      <c r="F48" s="18">
        <f>Table33345678910121120[[#This Row],[Company Panel]]+Table33345678910121118[[#This Row],[MTD Company]]</f>
        <v>0</v>
      </c>
      <c r="G48" s="18">
        <f>Table33345678910121120[[#This Row],[Our panel]]+Table33345678910121118[[#This Row],[MTD Panel]]</f>
        <v>0</v>
      </c>
      <c r="H48" s="13">
        <f>Table33345678910121120[[#This Row],[Company Panel]]-Table33345678910121120[[#This Row],[Our panel]]</f>
        <v>0</v>
      </c>
      <c r="I48" s="13">
        <f>Table33345678910121120[[#This Row],[MTD Company]]-Table33345678910121120[[#This Row],[MTD Panel]]</f>
        <v>0</v>
      </c>
    </row>
    <row r="49" spans="1:9" ht="15.5">
      <c r="A49" s="81" t="str">
        <f>Table333456789101217[[#This Row],[Carrier]]</f>
        <v>Total</v>
      </c>
      <c r="B49" s="85" t="str">
        <f>Table333456789101217[[#This Row],[IP]]</f>
        <v>Total (Mins)</v>
      </c>
      <c r="C49" s="86"/>
      <c r="D49" s="12">
        <f>SUM(D3:D48)</f>
        <v>3882.1499999999996</v>
      </c>
      <c r="E49" s="12">
        <f t="shared" ref="E49:I49" si="0">SUM(E3:E48)</f>
        <v>3882.1499999999996</v>
      </c>
      <c r="F49" s="12">
        <f t="shared" si="0"/>
        <v>137499.29999999999</v>
      </c>
      <c r="G49" s="12">
        <f t="shared" si="0"/>
        <v>137499.29999999999</v>
      </c>
      <c r="H49" s="12">
        <f t="shared" si="0"/>
        <v>0</v>
      </c>
      <c r="I49" s="12">
        <f t="shared" si="0"/>
        <v>0</v>
      </c>
    </row>
  </sheetData>
  <conditionalFormatting sqref="H2:I48">
    <cfRule type="cellIs" dxfId="345" priority="14" operator="lessThan">
      <formula>0</formula>
    </cfRule>
  </conditionalFormatting>
  <conditionalFormatting sqref="I30:I48">
    <cfRule type="cellIs" dxfId="344" priority="13" operator="lessThan">
      <formula>0</formula>
    </cfRule>
  </conditionalFormatting>
  <conditionalFormatting sqref="I30:I48">
    <cfRule type="cellIs" dxfId="343" priority="11" operator="lessThan">
      <formula>0</formula>
    </cfRule>
  </conditionalFormatting>
  <conditionalFormatting sqref="I3:I48">
    <cfRule type="cellIs" dxfId="342" priority="3" operator="lessThan">
      <formula>0</formula>
    </cfRule>
    <cfRule type="cellIs" dxfId="341" priority="4" operator="lessThan">
      <formula>0</formula>
    </cfRule>
  </conditionalFormatting>
  <hyperlinks>
    <hyperlink ref="E1" location="H!A1" display="Home"/>
    <hyperlink ref="D1" location="'12'!D1" display="←"/>
    <hyperlink ref="F1" location="'14'!F1" display="→"/>
  </hyperlink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"/>
  <sheetViews>
    <sheetView workbookViewId="0">
      <selection activeCell="D3" sqref="D3"/>
    </sheetView>
  </sheetViews>
  <sheetFormatPr defaultRowHeight="14.5"/>
  <cols>
    <col min="1" max="1" width="26.7265625" bestFit="1" customWidth="1"/>
    <col min="2" max="2" width="37" bestFit="1" customWidth="1"/>
    <col min="3" max="3" width="10.453125" customWidth="1"/>
    <col min="4" max="9" width="12.7265625" customWidth="1"/>
  </cols>
  <sheetData>
    <row r="1" spans="1:12" ht="18.5">
      <c r="A1" s="23" t="str">
        <f>H!A15</f>
        <v>14th April 2025</v>
      </c>
      <c r="B1" s="24"/>
      <c r="C1" s="24"/>
      <c r="D1" s="22" t="s">
        <v>16</v>
      </c>
      <c r="E1" s="22" t="s">
        <v>9</v>
      </c>
      <c r="F1" s="22" t="s">
        <v>17</v>
      </c>
    </row>
    <row r="2" spans="1:12" ht="31">
      <c r="A2" s="1" t="s">
        <v>0</v>
      </c>
      <c r="B2" s="2" t="s">
        <v>1</v>
      </c>
      <c r="C2" s="2" t="s">
        <v>2</v>
      </c>
      <c r="D2" s="2" t="s">
        <v>3</v>
      </c>
      <c r="E2" s="2" t="s">
        <v>11</v>
      </c>
      <c r="F2" s="2" t="s">
        <v>4</v>
      </c>
      <c r="G2" s="4" t="s">
        <v>6</v>
      </c>
      <c r="H2" s="4" t="s">
        <v>7</v>
      </c>
      <c r="I2" s="3" t="s">
        <v>8</v>
      </c>
    </row>
    <row r="3" spans="1:12">
      <c r="A3" s="11" t="str">
        <f>Table333456789101217[[#This Row],[Carrier]]</f>
        <v>Blaze</v>
      </c>
      <c r="B3" s="5" t="str">
        <f>Table333456789101217[[#This Row],[IP]]</f>
        <v>8.12.34.56/48.163.17.845/60.502.86.203/191.45.28.14</v>
      </c>
      <c r="C3" s="6" t="str">
        <f>Table333456789101217[[#This Row],[Carrier Code]]</f>
        <v>BZ</v>
      </c>
      <c r="D3" s="53">
        <v>0</v>
      </c>
      <c r="E3" s="53">
        <v>0</v>
      </c>
      <c r="F3" s="18">
        <f>Table33345678910121121[[#This Row],[Company Panel]]+Table33345678910121120[[#This Row],[MTD Company]]</f>
        <v>0</v>
      </c>
      <c r="G3" s="18">
        <f>Table33345678910121121[[#This Row],[Our panel]]+Table33345678910121120[[#This Row],[MTD Panel]]</f>
        <v>0</v>
      </c>
      <c r="H3" s="13">
        <f>Table33345678910121121[[#This Row],[Company Panel]]-Table33345678910121121[[#This Row],[Our panel]]</f>
        <v>0</v>
      </c>
      <c r="I3" s="13">
        <f>Table33345678910121121[[#This Row],[MTD Company]]-Table33345678910121121[[#This Row],[MTD Panel]]</f>
        <v>0</v>
      </c>
    </row>
    <row r="4" spans="1:12">
      <c r="A4" s="11" t="str">
        <f>Table333456789101217[[#This Row],[Carrier]]</f>
        <v>Titan</v>
      </c>
      <c r="B4" s="5" t="str">
        <f>Table333456789101217[[#This Row],[IP]]</f>
        <v>123.45.67.89/123.45.67.93/203.24.101.65</v>
      </c>
      <c r="C4" s="6" t="str">
        <f>Table333456789101217[[#This Row],[Carrier Code]]</f>
        <v>TI</v>
      </c>
      <c r="D4" s="53">
        <v>4.2</v>
      </c>
      <c r="E4" s="53">
        <v>4.2</v>
      </c>
      <c r="F4" s="18">
        <f>Table33345678910121121[[#This Row],[Company Panel]]+Table33345678910121120[[#This Row],[MTD Company]]</f>
        <v>320.2</v>
      </c>
      <c r="G4" s="18">
        <f>Table33345678910121121[[#This Row],[Our panel]]+Table33345678910121120[[#This Row],[MTD Panel]]</f>
        <v>320.2</v>
      </c>
      <c r="H4" s="13">
        <f>Table33345678910121121[[#This Row],[Company Panel]]-Table33345678910121121[[#This Row],[Our panel]]</f>
        <v>0</v>
      </c>
      <c r="I4" s="13">
        <f>Table33345678910121121[[#This Row],[MTD Company]]-Table33345678910121121[[#This Row],[MTD Panel]]</f>
        <v>0</v>
      </c>
      <c r="L4" s="9"/>
    </row>
    <row r="5" spans="1:12">
      <c r="A5" s="11" t="str">
        <f>Table333456789101217[[#This Row],[Carrier]]</f>
        <v>Hollow</v>
      </c>
      <c r="B5" s="5" t="str">
        <f>Table333456789101217[[#This Row],[IP]]</f>
        <v>204.56.78.100/204.56.57.169/52.94.101.12</v>
      </c>
      <c r="C5" s="6" t="str">
        <f>Table333456789101217[[#This Row],[Carrier Code]]</f>
        <v>HO</v>
      </c>
      <c r="D5" s="53">
        <v>0</v>
      </c>
      <c r="E5" s="53">
        <v>0</v>
      </c>
      <c r="F5" s="18">
        <f>Table33345678910121121[[#This Row],[Company Panel]]+Table33345678910121120[[#This Row],[MTD Company]]</f>
        <v>0</v>
      </c>
      <c r="G5" s="18">
        <f>Table33345678910121121[[#This Row],[Our panel]]+Table33345678910121120[[#This Row],[MTD Panel]]</f>
        <v>0</v>
      </c>
      <c r="H5" s="13">
        <f>Table33345678910121121[[#This Row],[Company Panel]]-Table33345678910121121[[#This Row],[Our panel]]</f>
        <v>0</v>
      </c>
      <c r="I5" s="13">
        <f>Table33345678910121121[[#This Row],[MTD Company]]-Table33345678910121121[[#This Row],[MTD Panel]]</f>
        <v>0</v>
      </c>
    </row>
    <row r="6" spans="1:12">
      <c r="A6" s="11" t="str">
        <f>Table333456789101217[[#This Row],[Carrier]]</f>
        <v>Prism</v>
      </c>
      <c r="B6" s="5" t="str">
        <f>Table333456789101217[[#This Row],[IP]]</f>
        <v>35.118.22.45/137.63.112.25</v>
      </c>
      <c r="C6" s="6" t="str">
        <f>Table333456789101217[[#This Row],[Carrier Code]]</f>
        <v>PS</v>
      </c>
      <c r="D6" s="53">
        <v>477.45</v>
      </c>
      <c r="E6" s="53">
        <v>477.45</v>
      </c>
      <c r="F6" s="18">
        <f>Table33345678910121121[[#This Row],[Company Panel]]+Table33345678910121120[[#This Row],[MTD Company]]</f>
        <v>60276.799999999988</v>
      </c>
      <c r="G6" s="18">
        <f>Table33345678910121121[[#This Row],[Our panel]]+Table33345678910121120[[#This Row],[MTD Panel]]</f>
        <v>60276.799999999988</v>
      </c>
      <c r="H6" s="13">
        <f>Table33345678910121121[[#This Row],[Company Panel]]-Table33345678910121121[[#This Row],[Our panel]]</f>
        <v>0</v>
      </c>
      <c r="I6" s="13">
        <f>Table33345678910121121[[#This Row],[MTD Company]]-Table33345678910121121[[#This Row],[MTD Panel]]</f>
        <v>0</v>
      </c>
    </row>
    <row r="7" spans="1:12">
      <c r="A7" s="11" t="str">
        <f>Table333456789101217[[#This Row],[Carrier]]</f>
        <v>Echo</v>
      </c>
      <c r="B7" s="5" t="str">
        <f>Table333456789101217[[#This Row],[IP]]</f>
        <v>66.89.101.10/66.89.101.19/66.89.101.23/66.89.101.45/66.89.101.81/85.21.34.99</v>
      </c>
      <c r="C7" s="6" t="str">
        <f>Table333456789101217[[#This Row],[Carrier Code]]</f>
        <v>EC</v>
      </c>
      <c r="D7" s="53">
        <v>1.7</v>
      </c>
      <c r="E7" s="53">
        <v>1.7</v>
      </c>
      <c r="F7" s="18">
        <f>Table33345678910121121[[#This Row],[Company Panel]]+Table33345678910121120[[#This Row],[MTD Company]]</f>
        <v>38.900000000000006</v>
      </c>
      <c r="G7" s="18">
        <f>Table33345678910121121[[#This Row],[Our panel]]+Table33345678910121120[[#This Row],[MTD Panel]]</f>
        <v>38.900000000000006</v>
      </c>
      <c r="H7" s="13">
        <f>Table33345678910121121[[#This Row],[Company Panel]]-Table33345678910121121[[#This Row],[Our panel]]</f>
        <v>0</v>
      </c>
      <c r="I7" s="13">
        <f>Table33345678910121121[[#This Row],[MTD Company]]-Table33345678910121121[[#This Row],[MTD Panel]]</f>
        <v>0</v>
      </c>
    </row>
    <row r="8" spans="1:12">
      <c r="A8" s="11" t="str">
        <f>Table333456789101217[[#This Row],[Carrier]]</f>
        <v>Strike</v>
      </c>
      <c r="B8" s="5" t="str">
        <f>Table333456789101217[[#This Row],[IP]]</f>
        <v>100.200.150.3/100.200.165.38/41.102.90.78</v>
      </c>
      <c r="C8" s="6" t="str">
        <f>Table333456789101217[[#This Row],[Carrier Code]]</f>
        <v>ST</v>
      </c>
      <c r="D8" s="53">
        <v>122.5</v>
      </c>
      <c r="E8" s="53">
        <v>122.5</v>
      </c>
      <c r="F8" s="18">
        <f>Table33345678910121121[[#This Row],[Company Panel]]+Table33345678910121120[[#This Row],[MTD Company]]</f>
        <v>1549.9833333333329</v>
      </c>
      <c r="G8" s="18">
        <f>Table33345678910121121[[#This Row],[Our panel]]+Table33345678910121120[[#This Row],[MTD Panel]]</f>
        <v>1549.9833333333329</v>
      </c>
      <c r="H8" s="13">
        <f>Table33345678910121121[[#This Row],[Company Panel]]-Table33345678910121121[[#This Row],[Our panel]]</f>
        <v>0</v>
      </c>
      <c r="I8" s="13">
        <f>Table33345678910121121[[#This Row],[MTD Company]]-Table33345678910121121[[#This Row],[MTD Panel]]</f>
        <v>0</v>
      </c>
      <c r="L8" s="9"/>
    </row>
    <row r="9" spans="1:12">
      <c r="A9" s="11" t="str">
        <f>Table333456789101217[[#This Row],[Carrier]]</f>
        <v>Blunt</v>
      </c>
      <c r="B9" s="5" t="str">
        <f>Table333456789101217[[#This Row],[IP]]</f>
        <v>52.28.191.25/52.28.191.38/52.28.191.24/61.110.23.45</v>
      </c>
      <c r="C9" s="6" t="str">
        <f>Table333456789101217[[#This Row],[Carrier Code]]</f>
        <v>BL</v>
      </c>
      <c r="D9" s="53">
        <v>1775.5166666666667</v>
      </c>
      <c r="E9" s="53">
        <v>1775.5166666666667</v>
      </c>
      <c r="F9" s="18">
        <f>Table33345678910121121[[#This Row],[Company Panel]]+Table33345678910121120[[#This Row],[MTD Company]]</f>
        <v>9571.6166666666668</v>
      </c>
      <c r="G9" s="18">
        <f>Table33345678910121121[[#This Row],[Our panel]]+Table33345678910121120[[#This Row],[MTD Panel]]</f>
        <v>9571.6166666666668</v>
      </c>
      <c r="H9" s="13">
        <f>Table33345678910121121[[#This Row],[Company Panel]]-Table33345678910121121[[#This Row],[Our panel]]</f>
        <v>0</v>
      </c>
      <c r="I9" s="13">
        <f>Table33345678910121121[[#This Row],[MTD Company]]-Table33345678910121121[[#This Row],[MTD Panel]]</f>
        <v>0</v>
      </c>
    </row>
    <row r="10" spans="1:12">
      <c r="A10" s="11" t="str">
        <f>Table333456789101217[[#This Row],[Carrier]]</f>
        <v>Law</v>
      </c>
      <c r="B10" s="5" t="str">
        <f>Table333456789101217[[#This Row],[IP]]</f>
        <v>77.88.99.21/77.88.99.88/77.88.99.94/110.56.211.7</v>
      </c>
      <c r="C10" s="6" t="str">
        <f>Table333456789101217[[#This Row],[Carrier Code]]</f>
        <v>LA</v>
      </c>
      <c r="D10" s="53">
        <v>0</v>
      </c>
      <c r="E10" s="53">
        <v>0</v>
      </c>
      <c r="F10" s="18">
        <f>Table33345678910121121[[#This Row],[Company Panel]]+Table33345678910121120[[#This Row],[MTD Company]]</f>
        <v>0</v>
      </c>
      <c r="G10" s="18">
        <f>Table33345678910121121[[#This Row],[Our panel]]+Table33345678910121120[[#This Row],[MTD Panel]]</f>
        <v>0</v>
      </c>
      <c r="H10" s="13">
        <f>Table33345678910121121[[#This Row],[Company Panel]]-Table33345678910121121[[#This Row],[Our panel]]</f>
        <v>0</v>
      </c>
      <c r="I10" s="13">
        <f>Table33345678910121121[[#This Row],[MTD Company]]-Table33345678910121121[[#This Row],[MTD Panel]]</f>
        <v>0</v>
      </c>
    </row>
    <row r="11" spans="1:12">
      <c r="A11" s="11" t="str">
        <f>Table333456789101217[[#This Row],[Carrier]]</f>
        <v>Pulse</v>
      </c>
      <c r="B11" s="5" t="str">
        <f>Table333456789101217[[#This Row],[IP]]</f>
        <v>198.51.100.130/31.725.16.608/66.59.61.503/167.34.122.90</v>
      </c>
      <c r="C11" s="6" t="str">
        <f>Table333456789101217[[#This Row],[Carrier Code]]</f>
        <v>PU</v>
      </c>
      <c r="D11" s="53">
        <v>0</v>
      </c>
      <c r="E11" s="53">
        <v>0</v>
      </c>
      <c r="F11" s="18">
        <f>Table33345678910121121[[#This Row],[Company Panel]]+Table33345678910121120[[#This Row],[MTD Company]]</f>
        <v>0</v>
      </c>
      <c r="G11" s="18">
        <f>Table33345678910121121[[#This Row],[Our panel]]+Table33345678910121120[[#This Row],[MTD Panel]]</f>
        <v>0</v>
      </c>
      <c r="H11" s="13">
        <f>Table33345678910121121[[#This Row],[Company Panel]]-Table33345678910121121[[#This Row],[Our panel]]</f>
        <v>0</v>
      </c>
      <c r="I11" s="13">
        <f>Table33345678910121121[[#This Row],[MTD Company]]-Table33345678910121121[[#This Row],[MTD Panel]]</f>
        <v>0</v>
      </c>
    </row>
    <row r="12" spans="1:12">
      <c r="A12" s="11" t="str">
        <f>Table333456789101217[[#This Row],[Carrier]]</f>
        <v>Phantom</v>
      </c>
      <c r="B12" s="5" t="str">
        <f>Table333456789101217[[#This Row],[IP]]</f>
        <v>141.15.210.67/141.15.42.82/179.62.211.4</v>
      </c>
      <c r="C12" s="6" t="str">
        <f>Table333456789101217[[#This Row],[Carrier Code]]</f>
        <v>PH</v>
      </c>
      <c r="D12" s="53">
        <v>2.0833333333333335</v>
      </c>
      <c r="E12" s="53">
        <v>2.0833333333333335</v>
      </c>
      <c r="F12" s="18">
        <f>Table33345678910121121[[#This Row],[Company Panel]]+Table33345678910121120[[#This Row],[MTD Company]]</f>
        <v>3325.016666666666</v>
      </c>
      <c r="G12" s="18">
        <f>Table33345678910121121[[#This Row],[Our panel]]+Table33345678910121120[[#This Row],[MTD Panel]]</f>
        <v>3325.016666666666</v>
      </c>
      <c r="H12" s="13">
        <f>Table33345678910121121[[#This Row],[Company Panel]]-Table33345678910121121[[#This Row],[Our panel]]</f>
        <v>0</v>
      </c>
      <c r="I12" s="13">
        <f>Table33345678910121121[[#This Row],[MTD Company]]-Table33345678910121121[[#This Row],[MTD Panel]]</f>
        <v>0</v>
      </c>
    </row>
    <row r="13" spans="1:12">
      <c r="A13" s="11" t="str">
        <f>Table333456789101217[[#This Row],[Carrier]]</f>
        <v>Dragon</v>
      </c>
      <c r="B13" s="5" t="str">
        <f>Table333456789101217[[#This Row],[IP]]</f>
        <v>12.34.56.78/12.34.56.128/200.180.245.18</v>
      </c>
      <c r="C13" s="6" t="str">
        <f>Table333456789101217[[#This Row],[Carrier Code]]</f>
        <v>DG</v>
      </c>
      <c r="D13" s="53">
        <v>0</v>
      </c>
      <c r="E13" s="53">
        <v>0</v>
      </c>
      <c r="F13" s="18">
        <f>Table33345678910121121[[#This Row],[Company Panel]]+Table33345678910121120[[#This Row],[MTD Company]]</f>
        <v>0</v>
      </c>
      <c r="G13" s="18">
        <f>Table33345678910121121[[#This Row],[Our panel]]+Table33345678910121120[[#This Row],[MTD Panel]]</f>
        <v>0</v>
      </c>
      <c r="H13" s="13">
        <f>Table33345678910121121[[#This Row],[Company Panel]]-Table33345678910121121[[#This Row],[Our panel]]</f>
        <v>0</v>
      </c>
      <c r="I13" s="13">
        <f>Table33345678910121121[[#This Row],[MTD Company]]-Table33345678910121121[[#This Row],[MTD Panel]]</f>
        <v>0</v>
      </c>
    </row>
    <row r="14" spans="1:12">
      <c r="A14" s="11" t="str">
        <f>Table333456789101217[[#This Row],[Carrier]]</f>
        <v>Tempest</v>
      </c>
      <c r="B14" s="5" t="str">
        <f>Table333456789101217[[#This Row],[IP]]</f>
        <v>59.144.223.88/55.39.99.60</v>
      </c>
      <c r="C14" s="6" t="str">
        <f>Table333456789101217[[#This Row],[Carrier Code]]</f>
        <v>TE</v>
      </c>
      <c r="D14" s="53">
        <v>0</v>
      </c>
      <c r="E14" s="53">
        <v>0</v>
      </c>
      <c r="F14" s="18">
        <f>Table33345678910121121[[#This Row],[Company Panel]]+Table33345678910121120[[#This Row],[MTD Company]]</f>
        <v>0</v>
      </c>
      <c r="G14" s="18">
        <f>Table33345678910121121[[#This Row],[Our panel]]+Table33345678910121120[[#This Row],[MTD Panel]]</f>
        <v>0</v>
      </c>
      <c r="H14" s="13">
        <f>Table33345678910121121[[#This Row],[Company Panel]]-Table33345678910121121[[#This Row],[Our panel]]</f>
        <v>0</v>
      </c>
      <c r="I14" s="13">
        <f>Table33345678910121121[[#This Row],[MTD Company]]-Table33345678910121121[[#This Row],[MTD Panel]]</f>
        <v>0</v>
      </c>
    </row>
    <row r="15" spans="1:12">
      <c r="A15" s="11" t="str">
        <f>Table333456789101217[[#This Row],[Carrier]]</f>
        <v>Shadow</v>
      </c>
      <c r="B15" s="5" t="str">
        <f>Table333456789101217[[#This Row],[IP]]</f>
        <v>175.45.112.100/25.851.31.153/39.80.220.100</v>
      </c>
      <c r="C15" s="6" t="str">
        <f>Table333456789101217[[#This Row],[Carrier Code]]</f>
        <v>SH</v>
      </c>
      <c r="D15" s="53">
        <v>0</v>
      </c>
      <c r="E15" s="53">
        <v>0</v>
      </c>
      <c r="F15" s="18">
        <f>Table33345678910121121[[#This Row],[Company Panel]]+Table33345678910121120[[#This Row],[MTD Company]]</f>
        <v>0</v>
      </c>
      <c r="G15" s="18">
        <f>Table33345678910121121[[#This Row],[Our panel]]+Table33345678910121120[[#This Row],[MTD Panel]]</f>
        <v>0</v>
      </c>
      <c r="H15" s="13">
        <f>Table33345678910121121[[#This Row],[Company Panel]]-Table33345678910121121[[#This Row],[Our panel]]</f>
        <v>0</v>
      </c>
      <c r="I15" s="13">
        <f>Table33345678910121121[[#This Row],[MTD Company]]-Table33345678910121121[[#This Row],[MTD Panel]]</f>
        <v>0</v>
      </c>
    </row>
    <row r="16" spans="1:12">
      <c r="A16" s="11" t="str">
        <f>Table333456789101217[[#This Row],[Carrier]]</f>
        <v>Cyclone</v>
      </c>
      <c r="B16" s="5" t="str">
        <f>Table333456789101217[[#This Row],[IP]]</f>
        <v>150.13.75.190/16.160.89.512/72.11.97.34</v>
      </c>
      <c r="C16" s="6" t="str">
        <f>Table333456789101217[[#This Row],[Carrier Code]]</f>
        <v>CY</v>
      </c>
      <c r="D16" s="53">
        <v>0</v>
      </c>
      <c r="E16" s="53">
        <v>0</v>
      </c>
      <c r="F16" s="18">
        <f>Table33345678910121121[[#This Row],[Company Panel]]+Table33345678910121120[[#This Row],[MTD Company]]</f>
        <v>0</v>
      </c>
      <c r="G16" s="18">
        <f>Table33345678910121121[[#This Row],[Our panel]]+Table33345678910121120[[#This Row],[MTD Panel]]</f>
        <v>0</v>
      </c>
      <c r="H16" s="13">
        <f>Table33345678910121121[[#This Row],[Company Panel]]-Table33345678910121121[[#This Row],[Our panel]]</f>
        <v>0</v>
      </c>
      <c r="I16" s="13">
        <f>Table33345678910121121[[#This Row],[MTD Company]]-Table33345678910121121[[#This Row],[MTD Panel]]</f>
        <v>0</v>
      </c>
    </row>
    <row r="17" spans="1:9">
      <c r="A17" s="11" t="str">
        <f>Table333456789101217[[#This Row],[Carrier]]</f>
        <v>Reaver</v>
      </c>
      <c r="B17" s="5" t="str">
        <f>Table333456789101217[[#This Row],[IP]]</f>
        <v>203.0.113.44/188.17.56.210</v>
      </c>
      <c r="C17" s="6" t="str">
        <f>Table333456789101217[[#This Row],[Carrier Code]]</f>
        <v>RE</v>
      </c>
      <c r="D17" s="53">
        <v>0</v>
      </c>
      <c r="E17" s="53">
        <v>0</v>
      </c>
      <c r="F17" s="18">
        <f>Table33345678910121121[[#This Row],[Company Panel]]+Table33345678910121120[[#This Row],[MTD Company]]</f>
        <v>0</v>
      </c>
      <c r="G17" s="18">
        <f>Table33345678910121121[[#This Row],[Our panel]]+Table33345678910121120[[#This Row],[MTD Panel]]</f>
        <v>0</v>
      </c>
      <c r="H17" s="13">
        <f>Table33345678910121121[[#This Row],[Company Panel]]-Table33345678910121121[[#This Row],[Our panel]]</f>
        <v>0</v>
      </c>
      <c r="I17" s="13">
        <f>Table33345678910121121[[#This Row],[MTD Company]]-Table33345678910121121[[#This Row],[MTD Panel]]</f>
        <v>0</v>
      </c>
    </row>
    <row r="18" spans="1:9">
      <c r="A18" s="11" t="str">
        <f>Table333456789101217[[#This Row],[Carrier]]</f>
        <v>Forge</v>
      </c>
      <c r="B18" s="5" t="str">
        <f>Table333456789101217[[#This Row],[IP]]</f>
        <v>112.54.89.168/112.54.89.138</v>
      </c>
      <c r="C18" s="6" t="str">
        <f>Table333456789101217[[#This Row],[Carrier Code]]</f>
        <v>FO</v>
      </c>
      <c r="D18" s="53">
        <v>39.733333333333334</v>
      </c>
      <c r="E18" s="53">
        <v>39.733333333333334</v>
      </c>
      <c r="F18" s="18">
        <f>Table33345678910121121[[#This Row],[Company Panel]]+Table33345678910121120[[#This Row],[MTD Company]]</f>
        <v>380.7</v>
      </c>
      <c r="G18" s="18">
        <f>Table33345678910121121[[#This Row],[Our panel]]+Table33345678910121120[[#This Row],[MTD Panel]]</f>
        <v>380.7</v>
      </c>
      <c r="H18" s="13">
        <f>Table33345678910121121[[#This Row],[Company Panel]]-Table33345678910121121[[#This Row],[Our panel]]</f>
        <v>0</v>
      </c>
      <c r="I18" s="13">
        <f>Table33345678910121121[[#This Row],[MTD Company]]-Table33345678910121121[[#This Row],[MTD Panel]]</f>
        <v>0</v>
      </c>
    </row>
    <row r="19" spans="1:9">
      <c r="A19" s="11" t="str">
        <f>Table333456789101217[[#This Row],[Carrier]]</f>
        <v>Ember</v>
      </c>
      <c r="B19" s="5" t="str">
        <f>Table333456789101217[[#This Row],[IP]]</f>
        <v>78.34.90.24/328.56.122.44/142.150.75.22</v>
      </c>
      <c r="C19" s="6" t="str">
        <f>Table333456789101217[[#This Row],[Carrier Code]]</f>
        <v>EM</v>
      </c>
      <c r="D19" s="53">
        <v>0</v>
      </c>
      <c r="E19" s="53">
        <v>0</v>
      </c>
      <c r="F19" s="18">
        <f>Table33345678910121121[[#This Row],[Company Panel]]+Table33345678910121120[[#This Row],[MTD Company]]</f>
        <v>0</v>
      </c>
      <c r="G19" s="18">
        <f>Table33345678910121121[[#This Row],[Our panel]]+Table33345678910121120[[#This Row],[MTD Panel]]</f>
        <v>0</v>
      </c>
      <c r="H19" s="13">
        <f>Table33345678910121121[[#This Row],[Company Panel]]-Table33345678910121121[[#This Row],[Our panel]]</f>
        <v>0</v>
      </c>
      <c r="I19" s="13">
        <f>Table33345678910121121[[#This Row],[MTD Company]]-Table33345678910121121[[#This Row],[MTD Panel]]</f>
        <v>0</v>
      </c>
    </row>
    <row r="20" spans="1:9">
      <c r="A20" s="11" t="str">
        <f>Table333456789101217[[#This Row],[Carrier]]</f>
        <v>Specter</v>
      </c>
      <c r="B20" s="5" t="str">
        <f>Table333456789101217[[#This Row],[IP]]</f>
        <v>205.60.34.150</v>
      </c>
      <c r="C20" s="6" t="str">
        <f>Table333456789101217[[#This Row],[Carrier Code]]</f>
        <v>SP</v>
      </c>
      <c r="D20" s="53">
        <v>0.05</v>
      </c>
      <c r="E20" s="53">
        <v>0.05</v>
      </c>
      <c r="F20" s="18">
        <f>Table33345678910121121[[#This Row],[Company Panel]]+Table33345678910121120[[#This Row],[MTD Company]]</f>
        <v>11.850000000000001</v>
      </c>
      <c r="G20" s="18">
        <f>Table33345678910121121[[#This Row],[Our panel]]+Table33345678910121120[[#This Row],[MTD Panel]]</f>
        <v>11.850000000000001</v>
      </c>
      <c r="H20" s="13">
        <f>Table33345678910121121[[#This Row],[Company Panel]]-Table33345678910121121[[#This Row],[Our panel]]</f>
        <v>0</v>
      </c>
      <c r="I20" s="13">
        <f>Table33345678910121121[[#This Row],[MTD Company]]-Table33345678910121121[[#This Row],[MTD Panel]]</f>
        <v>0</v>
      </c>
    </row>
    <row r="21" spans="1:9">
      <c r="A21" s="11" t="str">
        <f>Table333456789101217[[#This Row],[Carrier]]</f>
        <v>Throne</v>
      </c>
      <c r="B21" s="5" t="str">
        <f>Table333456789101217[[#This Row],[IP]]</f>
        <v>54.32.11.90/27.758.27.201/125.150.58.20</v>
      </c>
      <c r="C21" s="6" t="str">
        <f>Table333456789101217[[#This Row],[Carrier Code]]</f>
        <v>TH</v>
      </c>
      <c r="D21" s="53">
        <v>0</v>
      </c>
      <c r="E21" s="53">
        <v>0</v>
      </c>
      <c r="F21" s="18">
        <f>Table33345678910121121[[#This Row],[Company Panel]]+Table33345678910121120[[#This Row],[MTD Company]]</f>
        <v>0</v>
      </c>
      <c r="G21" s="18">
        <f>Table33345678910121121[[#This Row],[Our panel]]+Table33345678910121120[[#This Row],[MTD Panel]]</f>
        <v>0</v>
      </c>
      <c r="H21" s="13">
        <f>Table33345678910121121[[#This Row],[Company Panel]]-Table33345678910121121[[#This Row],[Our panel]]</f>
        <v>0</v>
      </c>
      <c r="I21" s="13">
        <f>Table33345678910121121[[#This Row],[MTD Company]]-Table33345678910121121[[#This Row],[MTD Panel]]</f>
        <v>0</v>
      </c>
    </row>
    <row r="22" spans="1:9">
      <c r="A22" s="11" t="str">
        <f>Table333456789101217[[#This Row],[Carrier]]</f>
        <v>Arcane</v>
      </c>
      <c r="B22" s="5" t="str">
        <f>Table333456789101217[[#This Row],[IP]]</f>
        <v>212.100.25.78/212.100.25.87</v>
      </c>
      <c r="C22" s="6" t="str">
        <f>Table333456789101217[[#This Row],[Carrier Code]]</f>
        <v>AR</v>
      </c>
      <c r="D22" s="53">
        <v>0</v>
      </c>
      <c r="E22" s="53">
        <v>0</v>
      </c>
      <c r="F22" s="18">
        <f>Table33345678910121121[[#This Row],[Company Panel]]+Table33345678910121120[[#This Row],[MTD Company]]</f>
        <v>0.58333333333333337</v>
      </c>
      <c r="G22" s="18">
        <f>Table33345678910121121[[#This Row],[Our panel]]+Table33345678910121120[[#This Row],[MTD Panel]]</f>
        <v>0.58333333333333337</v>
      </c>
      <c r="H22" s="13">
        <f>Table33345678910121121[[#This Row],[Company Panel]]-Table33345678910121121[[#This Row],[Our panel]]</f>
        <v>0</v>
      </c>
      <c r="I22" s="13">
        <f>Table33345678910121121[[#This Row],[MTD Company]]-Table33345678910121121[[#This Row],[MTD Panel]]</f>
        <v>0</v>
      </c>
    </row>
    <row r="23" spans="1:9">
      <c r="A23" s="11" t="str">
        <f>Table333456789101217[[#This Row],[Carrier]]</f>
        <v>Glitch</v>
      </c>
      <c r="B23" s="5" t="str">
        <f>Table333456789101217[[#This Row],[IP]]</f>
        <v>198.204.100.12/198.204.100.34/198.204.100.51</v>
      </c>
      <c r="C23" s="6" t="str">
        <f>Table333456789101217[[#This Row],[Carrier Code]]</f>
        <v>GL</v>
      </c>
      <c r="D23" s="53">
        <v>0</v>
      </c>
      <c r="E23" s="53">
        <v>0</v>
      </c>
      <c r="F23" s="18">
        <f>Table33345678910121121[[#This Row],[Company Panel]]+Table33345678910121120[[#This Row],[MTD Company]]</f>
        <v>0</v>
      </c>
      <c r="G23" s="18">
        <f>Table33345678910121121[[#This Row],[Our panel]]+Table33345678910121120[[#This Row],[MTD Panel]]</f>
        <v>0</v>
      </c>
      <c r="H23" s="13">
        <f>Table33345678910121121[[#This Row],[Company Panel]]-Table33345678910121121[[#This Row],[Our panel]]</f>
        <v>0</v>
      </c>
      <c r="I23" s="13">
        <f>Table33345678910121121[[#This Row],[MTD Company]]-Table33345678910121121[[#This Row],[MTD Panel]]</f>
        <v>0</v>
      </c>
    </row>
    <row r="24" spans="1:9">
      <c r="A24" s="11" t="str">
        <f>Table333456789101217[[#This Row],[Carrier]]</f>
        <v>Nitro</v>
      </c>
      <c r="B24" s="5" t="str">
        <f>Table333456789101217[[#This Row],[IP]]</f>
        <v>15.150.200.33/119.82.200.100</v>
      </c>
      <c r="C24" s="6" t="str">
        <f>Table333456789101217[[#This Row],[Carrier Code]]</f>
        <v>NI</v>
      </c>
      <c r="D24" s="53">
        <v>0</v>
      </c>
      <c r="E24" s="53">
        <v>0</v>
      </c>
      <c r="F24" s="18">
        <f>Table33345678910121121[[#This Row],[Company Panel]]+Table33345678910121120[[#This Row],[MTD Company]]</f>
        <v>0</v>
      </c>
      <c r="G24" s="18">
        <f>Table33345678910121121[[#This Row],[Our panel]]+Table33345678910121120[[#This Row],[MTD Panel]]</f>
        <v>0</v>
      </c>
      <c r="H24" s="13">
        <f>Table33345678910121121[[#This Row],[Company Panel]]-Table33345678910121121[[#This Row],[Our panel]]</f>
        <v>0</v>
      </c>
      <c r="I24" s="13">
        <f>Table33345678910121121[[#This Row],[MTD Company]]-Table33345678910121121[[#This Row],[MTD Panel]]</f>
        <v>0</v>
      </c>
    </row>
    <row r="25" spans="1:9">
      <c r="A25" s="11" t="str">
        <f>Table333456789101217[[#This Row],[Carrier]]</f>
        <v>Drip</v>
      </c>
      <c r="B25" s="5" t="str">
        <f>Table333456789101217[[#This Row],[IP]]</f>
        <v>84.13.76.190/90.945.80.11/198.160.234.5</v>
      </c>
      <c r="C25" s="6" t="str">
        <f>Table333456789101217[[#This Row],[Carrier Code]]</f>
        <v>DR</v>
      </c>
      <c r="D25" s="53">
        <v>0</v>
      </c>
      <c r="E25" s="53">
        <v>0</v>
      </c>
      <c r="F25" s="18">
        <f>Table33345678910121121[[#This Row],[Company Panel]]+Table33345678910121120[[#This Row],[MTD Company]]</f>
        <v>0</v>
      </c>
      <c r="G25" s="18">
        <f>Table33345678910121121[[#This Row],[Our panel]]+Table33345678910121120[[#This Row],[MTD Panel]]</f>
        <v>0</v>
      </c>
      <c r="H25" s="13">
        <f>Table33345678910121121[[#This Row],[Company Panel]]-Table33345678910121121[[#This Row],[Our panel]]</f>
        <v>0</v>
      </c>
      <c r="I25" s="13">
        <f>Table33345678910121121[[#This Row],[MTD Company]]-Table33345678910121121[[#This Row],[MTD Panel]]</f>
        <v>0</v>
      </c>
    </row>
    <row r="26" spans="1:9">
      <c r="A26" s="11" t="str">
        <f>Table333456789101217[[#This Row],[Carrier]]</f>
        <v>Glide</v>
      </c>
      <c r="B26" s="5" t="str">
        <f>Table333456789101217[[#This Row],[IP]]</f>
        <v>120.45.12.25/85.739.221.80/85.739.221.93</v>
      </c>
      <c r="C26" s="6" t="str">
        <f>Table333456789101217[[#This Row],[Carrier Code]]</f>
        <v>GI</v>
      </c>
      <c r="D26" s="53">
        <v>0</v>
      </c>
      <c r="E26" s="53">
        <v>0</v>
      </c>
      <c r="F26" s="18">
        <f>Table33345678910121121[[#This Row],[Company Panel]]+Table33345678910121120[[#This Row],[MTD Company]]</f>
        <v>0</v>
      </c>
      <c r="G26" s="18">
        <f>Table33345678910121121[[#This Row],[Our panel]]+Table33345678910121120[[#This Row],[MTD Panel]]</f>
        <v>0</v>
      </c>
      <c r="H26" s="13">
        <f>Table33345678910121121[[#This Row],[Company Panel]]-Table33345678910121121[[#This Row],[Our panel]]</f>
        <v>0</v>
      </c>
      <c r="I26" s="13">
        <f>Table33345678910121121[[#This Row],[MTD Company]]-Table33345678910121121[[#This Row],[MTD Panel]]</f>
        <v>0</v>
      </c>
    </row>
    <row r="27" spans="1:9">
      <c r="A27" s="11" t="str">
        <f>Table333456789101217[[#This Row],[Carrier]]</f>
        <v>Orbit</v>
      </c>
      <c r="B27" s="5" t="str">
        <f>Table333456789101217[[#This Row],[IP]]</f>
        <v>176.98.54.112/60.110.154.91/60.110.155.162</v>
      </c>
      <c r="C27" s="6" t="str">
        <f>Table333456789101217[[#This Row],[Carrier Code]]</f>
        <v>OR</v>
      </c>
      <c r="D27" s="53">
        <v>0</v>
      </c>
      <c r="E27" s="53">
        <v>0</v>
      </c>
      <c r="F27" s="18">
        <f>Table33345678910121121[[#This Row],[Company Panel]]+Table33345678910121120[[#This Row],[MTD Company]]</f>
        <v>0</v>
      </c>
      <c r="G27" s="18">
        <f>Table33345678910121121[[#This Row],[Our panel]]+Table33345678910121120[[#This Row],[MTD Panel]]</f>
        <v>0</v>
      </c>
      <c r="H27" s="13">
        <f>Table33345678910121121[[#This Row],[Company Panel]]-Table33345678910121121[[#This Row],[Our panel]]</f>
        <v>0</v>
      </c>
      <c r="I27" s="13">
        <f>Table33345678910121121[[#This Row],[MTD Company]]-Table33345678910121121[[#This Row],[MTD Panel]]</f>
        <v>0</v>
      </c>
    </row>
    <row r="28" spans="1:9">
      <c r="A28" s="11" t="str">
        <f>Table333456789101217[[#This Row],[Carrier]]</f>
        <v>Thunder</v>
      </c>
      <c r="B28" s="5" t="str">
        <f>Table333456789101217[[#This Row],[IP]]</f>
        <v>67.102.200.9/81.905.48.847/143.235.100.34</v>
      </c>
      <c r="C28" s="6" t="str">
        <f>Table333456789101217[[#This Row],[Carrier Code]]</f>
        <v>TU</v>
      </c>
      <c r="D28" s="53">
        <v>10.4</v>
      </c>
      <c r="E28" s="53">
        <v>10.4</v>
      </c>
      <c r="F28" s="18">
        <f>Table33345678910121121[[#This Row],[Company Panel]]+Table33345678910121120[[#This Row],[MTD Company]]</f>
        <v>338.53333333333325</v>
      </c>
      <c r="G28" s="18">
        <f>Table33345678910121121[[#This Row],[Our panel]]+Table33345678910121120[[#This Row],[MTD Panel]]</f>
        <v>338.53333333333325</v>
      </c>
      <c r="H28" s="13">
        <f>Table33345678910121121[[#This Row],[Company Panel]]-Table33345678910121121[[#This Row],[Our panel]]</f>
        <v>0</v>
      </c>
      <c r="I28" s="13">
        <f>Table33345678910121121[[#This Row],[MTD Company]]-Table33345678910121121[[#This Row],[MTD Panel]]</f>
        <v>0</v>
      </c>
    </row>
    <row r="29" spans="1:9">
      <c r="A29" s="11" t="str">
        <f>Table333456789101217[[#This Row],[Carrier]]</f>
        <v>Glimmer</v>
      </c>
      <c r="B29" s="5" t="str">
        <f>Table333456789101217[[#This Row],[IP]]</f>
        <v>99.22.211.100/71.54.85.344/71.54.85.218</v>
      </c>
      <c r="C29" s="6" t="str">
        <f>Table333456789101217[[#This Row],[Carrier Code]]</f>
        <v>GM</v>
      </c>
      <c r="D29" s="53">
        <v>0</v>
      </c>
      <c r="E29" s="53">
        <v>0</v>
      </c>
      <c r="F29" s="18">
        <f>Table33345678910121121[[#This Row],[Company Panel]]+Table33345678910121120[[#This Row],[MTD Company]]</f>
        <v>0</v>
      </c>
      <c r="G29" s="18">
        <f>Table33345678910121121[[#This Row],[Our panel]]+Table33345678910121120[[#This Row],[MTD Panel]]</f>
        <v>0</v>
      </c>
      <c r="H29" s="13">
        <f>Table33345678910121121[[#This Row],[Company Panel]]-Table33345678910121121[[#This Row],[Our panel]]</f>
        <v>0</v>
      </c>
      <c r="I29" s="13">
        <f>Table33345678910121121[[#This Row],[MTD Company]]-Table33345678910121121[[#This Row],[MTD Panel]]</f>
        <v>0</v>
      </c>
    </row>
    <row r="30" spans="1:9">
      <c r="A30" s="11" t="str">
        <f>Table333456789101217[[#This Row],[Carrier]]</f>
        <v>Fragment</v>
      </c>
      <c r="B30" s="5" t="str">
        <f>Table333456789101217[[#This Row],[IP]]</f>
        <v>203.0.113.56/195.56.101.10</v>
      </c>
      <c r="C30" s="6" t="str">
        <f>Table333456789101217[[#This Row],[Carrier Code]]</f>
        <v>FR</v>
      </c>
      <c r="D30" s="53">
        <v>0</v>
      </c>
      <c r="E30" s="53">
        <v>0</v>
      </c>
      <c r="F30" s="18">
        <f>Table33345678910121121[[#This Row],[Company Panel]]+Table33345678910121120[[#This Row],[MTD Company]]</f>
        <v>0</v>
      </c>
      <c r="G30" s="18">
        <f>Table33345678910121121[[#This Row],[Our panel]]+Table33345678910121120[[#This Row],[MTD Panel]]</f>
        <v>0</v>
      </c>
      <c r="H30" s="13">
        <f>Table33345678910121121[[#This Row],[Company Panel]]-Table33345678910121121[[#This Row],[Our panel]]</f>
        <v>0</v>
      </c>
      <c r="I30" s="13">
        <f>Table33345678910121121[[#This Row],[MTD Company]]-Table33345678910121121[[#This Row],[MTD Panel]]</f>
        <v>0</v>
      </c>
    </row>
    <row r="31" spans="1:9">
      <c r="A31" s="11" t="str">
        <f>Table333456789101217[[#This Row],[Carrier]]</f>
        <v>Dusk</v>
      </c>
      <c r="B31" s="5" t="str">
        <f>Table333456789101217[[#This Row],[IP]]</f>
        <v>33.44.55.66/33.44.55.84/33.44.55.122/214.68.90.122</v>
      </c>
      <c r="C31" s="6" t="str">
        <f>Table333456789101217[[#This Row],[Carrier Code]]</f>
        <v>DK</v>
      </c>
      <c r="D31" s="53">
        <v>0</v>
      </c>
      <c r="E31" s="53">
        <v>0</v>
      </c>
      <c r="F31" s="18">
        <f>Table33345678910121121[[#This Row],[Company Panel]]+Table33345678910121120[[#This Row],[MTD Company]]</f>
        <v>0</v>
      </c>
      <c r="G31" s="18">
        <f>Table33345678910121121[[#This Row],[Our panel]]+Table33345678910121120[[#This Row],[MTD Panel]]</f>
        <v>0</v>
      </c>
      <c r="H31" s="13">
        <f>Table33345678910121121[[#This Row],[Company Panel]]-Table33345678910121121[[#This Row],[Our panel]]</f>
        <v>0</v>
      </c>
      <c r="I31" s="13">
        <f>Table33345678910121121[[#This Row],[MTD Company]]-Table33345678910121121[[#This Row],[MTD Panel]]</f>
        <v>0</v>
      </c>
    </row>
    <row r="32" spans="1:9">
      <c r="A32" s="11" t="str">
        <f>Table333456789101217[[#This Row],[Carrier]]</f>
        <v>Breeze</v>
      </c>
      <c r="B32" s="5" t="str">
        <f>Table333456789101217[[#This Row],[IP]]</f>
        <v>199.123.87.45/199.123.34.52/77.189.22.56</v>
      </c>
      <c r="C32" s="6" t="str">
        <f>Table333456789101217[[#This Row],[Carrier Code]]</f>
        <v>BR</v>
      </c>
      <c r="D32" s="53">
        <v>0</v>
      </c>
      <c r="E32" s="53">
        <v>0</v>
      </c>
      <c r="F32" s="18">
        <f>Table33345678910121121[[#This Row],[Company Panel]]+Table33345678910121120[[#This Row],[MTD Company]]</f>
        <v>0</v>
      </c>
      <c r="G32" s="18">
        <f>Table33345678910121121[[#This Row],[Our panel]]+Table33345678910121120[[#This Row],[MTD Panel]]</f>
        <v>0</v>
      </c>
      <c r="H32" s="13">
        <f>Table33345678910121121[[#This Row],[Company Panel]]-Table33345678910121121[[#This Row],[Our panel]]</f>
        <v>0</v>
      </c>
      <c r="I32" s="13">
        <f>Table33345678910121121[[#This Row],[MTD Company]]-Table33345678910121121[[#This Row],[MTD Panel]]</f>
        <v>0</v>
      </c>
    </row>
    <row r="33" spans="1:9">
      <c r="A33" s="11" t="str">
        <f>Table333456789101217[[#This Row],[Carrier]]</f>
        <v>Clutch</v>
      </c>
      <c r="B33" s="5" t="str">
        <f>Table333456789101217[[#This Row],[IP]]</f>
        <v>55.66.77.88/84.126.79.28/152.233.45.11</v>
      </c>
      <c r="C33" s="6" t="str">
        <f>Table333456789101217[[#This Row],[Carrier Code]]</f>
        <v>CL</v>
      </c>
      <c r="D33" s="53">
        <v>0</v>
      </c>
      <c r="E33" s="53">
        <v>0</v>
      </c>
      <c r="F33" s="18">
        <f>Table33345678910121121[[#This Row],[Company Panel]]+Table33345678910121120[[#This Row],[MTD Company]]</f>
        <v>0</v>
      </c>
      <c r="G33" s="18">
        <f>Table33345678910121121[[#This Row],[Our panel]]+Table33345678910121120[[#This Row],[MTD Panel]]</f>
        <v>0</v>
      </c>
      <c r="H33" s="13">
        <f>Table33345678910121121[[#This Row],[Company Panel]]-Table33345678910121121[[#This Row],[Our panel]]</f>
        <v>0</v>
      </c>
      <c r="I33" s="13">
        <f>Table33345678910121121[[#This Row],[MTD Company]]-Table33345678910121121[[#This Row],[MTD Panel]]</f>
        <v>0</v>
      </c>
    </row>
    <row r="34" spans="1:9">
      <c r="A34" s="11" t="str">
        <f>Table333456789101217[[#This Row],[Carrier]]</f>
        <v>Haze</v>
      </c>
      <c r="B34" s="5" t="str">
        <f>Table333456789101217[[#This Row],[IP]]</f>
        <v>230.111.44.56</v>
      </c>
      <c r="C34" s="6" t="str">
        <f>Table333456789101217[[#This Row],[Carrier Code]]</f>
        <v>HZ</v>
      </c>
      <c r="D34" s="53">
        <v>469.36666666666667</v>
      </c>
      <c r="E34" s="53">
        <v>469.36666666666667</v>
      </c>
      <c r="F34" s="18">
        <f>Table33345678910121121[[#This Row],[Company Panel]]+Table33345678910121120[[#This Row],[MTD Company]]</f>
        <v>469.93333333333334</v>
      </c>
      <c r="G34" s="18">
        <f>Table33345678910121121[[#This Row],[Our panel]]+Table33345678910121120[[#This Row],[MTD Panel]]</f>
        <v>469.93333333333334</v>
      </c>
      <c r="H34" s="63">
        <f>Table33345678910121121[[#This Row],[Company Panel]]-Table33345678910121121[[#This Row],[Our panel]]</f>
        <v>0</v>
      </c>
      <c r="I34" s="63">
        <f>Table33345678910121121[[#This Row],[MTD Company]]-Table33345678910121121[[#This Row],[MTD Panel]]</f>
        <v>0</v>
      </c>
    </row>
    <row r="35" spans="1:9">
      <c r="A35" s="11" t="str">
        <f>Table333456789101217[[#This Row],[Carrier]]</f>
        <v>Vault</v>
      </c>
      <c r="B35" s="5" t="str">
        <f>Table333456789101217[[#This Row],[IP]]</f>
        <v>213.189.94.5/213.189.94.7/111.180.64.222</v>
      </c>
      <c r="C35" s="6" t="str">
        <f>Table333456789101217[[#This Row],[Carrier Code]]</f>
        <v>VA</v>
      </c>
      <c r="D35" s="53">
        <v>0</v>
      </c>
      <c r="E35" s="53">
        <v>0</v>
      </c>
      <c r="F35" s="18">
        <f>Table33345678910121121[[#This Row],[Company Panel]]+Table33345678910121120[[#This Row],[MTD Company]]</f>
        <v>0</v>
      </c>
      <c r="G35" s="18">
        <f>Table33345678910121121[[#This Row],[Our panel]]+Table33345678910121120[[#This Row],[MTD Panel]]</f>
        <v>0</v>
      </c>
      <c r="H35" s="63">
        <f>Table33345678910121121[[#This Row],[Company Panel]]-Table33345678910121121[[#This Row],[Our panel]]</f>
        <v>0</v>
      </c>
      <c r="I35" s="63">
        <f>Table33345678910121121[[#This Row],[MTD Company]]-Table33345678910121121[[#This Row],[MTD Panel]]</f>
        <v>0</v>
      </c>
    </row>
    <row r="36" spans="1:9">
      <c r="A36" s="11" t="str">
        <f>Table333456789101217[[#This Row],[Carrier]]</f>
        <v>Scatter</v>
      </c>
      <c r="B36" s="5" t="str">
        <f>Table333456789101217[[#This Row],[IP]]</f>
        <v>14.123.45.67/168.251.90.15</v>
      </c>
      <c r="C36" s="6" t="str">
        <f>Table333456789101217[[#This Row],[Carrier Code]]</f>
        <v>SC</v>
      </c>
      <c r="D36" s="53">
        <v>153.35</v>
      </c>
      <c r="E36" s="53">
        <v>153.35</v>
      </c>
      <c r="F36" s="18">
        <f>Table33345678910121121[[#This Row],[Company Panel]]+Table33345678910121120[[#This Row],[MTD Company]]</f>
        <v>594.79999999999995</v>
      </c>
      <c r="G36" s="18">
        <f>Table33345678910121121[[#This Row],[Our panel]]+Table33345678910121120[[#This Row],[MTD Panel]]</f>
        <v>594.79999999999995</v>
      </c>
      <c r="H36" s="63">
        <f>Table33345678910121121[[#This Row],[Company Panel]]-Table33345678910121121[[#This Row],[Our panel]]</f>
        <v>0</v>
      </c>
      <c r="I36" s="63">
        <f>Table33345678910121121[[#This Row],[MTD Company]]-Table33345678910121121[[#This Row],[MTD Panel]]</f>
        <v>0</v>
      </c>
    </row>
    <row r="37" spans="1:9">
      <c r="A37" s="11" t="str">
        <f>Table333456789101217[[#This Row],[Carrier]]</f>
        <v>Hammer</v>
      </c>
      <c r="B37" s="5" t="str">
        <f>Table333456789101217[[#This Row],[IP]]</f>
        <v>200.111.78.9/200.111.236.62/200.111.823.89/137.79.48.56</v>
      </c>
      <c r="C37" s="6" t="str">
        <f>Table333456789101217[[#This Row],[Carrier Code]]</f>
        <v>HA</v>
      </c>
      <c r="D37" s="53">
        <v>0</v>
      </c>
      <c r="E37" s="53">
        <v>0</v>
      </c>
      <c r="F37" s="18">
        <f>Table33345678910121121[[#This Row],[Company Panel]]+Table33345678910121120[[#This Row],[MTD Company]]</f>
        <v>0</v>
      </c>
      <c r="G37" s="18">
        <f>Table33345678910121121[[#This Row],[Our panel]]+Table33345678910121120[[#This Row],[MTD Panel]]</f>
        <v>0</v>
      </c>
      <c r="H37" s="72">
        <f>Table33345678910121121[[#This Row],[Company Panel]]-Table33345678910121121[[#This Row],[Our panel]]</f>
        <v>0</v>
      </c>
      <c r="I37" s="72">
        <f>Table33345678910121121[[#This Row],[MTD Company]]-Table33345678910121121[[#This Row],[MTD Panel]]</f>
        <v>0</v>
      </c>
    </row>
    <row r="38" spans="1:9">
      <c r="A38" s="11" t="str">
        <f>Table333456789101217[[#This Row],[Carrier]]</f>
        <v>Smudge</v>
      </c>
      <c r="B38" s="5" t="str">
        <f>Table333456789101217[[#This Row],[IP]]</f>
        <v>88.99.233.56/54.71.99.234</v>
      </c>
      <c r="C38" s="6" t="str">
        <f>Table333456789101217[[#This Row],[Carrier Code]]</f>
        <v>SM</v>
      </c>
      <c r="D38" s="53">
        <v>26.1</v>
      </c>
      <c r="E38" s="53">
        <v>26.1</v>
      </c>
      <c r="F38" s="18">
        <f>Table33345678910121121[[#This Row],[Company Panel]]+Table33345678910121120[[#This Row],[MTD Company]]</f>
        <v>162.88333333333333</v>
      </c>
      <c r="G38" s="18">
        <f>Table33345678910121121[[#This Row],[Our panel]]+Table33345678910121120[[#This Row],[MTD Panel]]</f>
        <v>162.88333333333333</v>
      </c>
      <c r="H38" s="72">
        <f>Table33345678910121121[[#This Row],[Company Panel]]-Table33345678910121121[[#This Row],[Our panel]]</f>
        <v>0</v>
      </c>
      <c r="I38" s="72">
        <f>Table33345678910121121[[#This Row],[MTD Company]]-Table33345678910121121[[#This Row],[MTD Panel]]</f>
        <v>0</v>
      </c>
    </row>
    <row r="39" spans="1:9">
      <c r="A39" s="11" t="str">
        <f>Table333456789101217[[#This Row],[Carrier]]</f>
        <v>Quirk</v>
      </c>
      <c r="B39" s="5" t="str">
        <f>Table333456789101217[[#This Row],[IP]]</f>
        <v>62.45.100.31/62.45.100.15/62.45.100.65/211.95.102.6</v>
      </c>
      <c r="C39" s="6" t="str">
        <f>Table333456789101217[[#This Row],[Carrier Code]]</f>
        <v>QU</v>
      </c>
      <c r="D39" s="53">
        <v>2381.0666666666666</v>
      </c>
      <c r="E39" s="53">
        <v>2381.0666666666666</v>
      </c>
      <c r="F39" s="18">
        <f>Table33345678910121121[[#This Row],[Company Panel]]+Table33345678910121120[[#This Row],[MTD Company]]</f>
        <v>23767.166666666664</v>
      </c>
      <c r="G39" s="18">
        <f>Table33345678910121121[[#This Row],[Our panel]]+Table33345678910121120[[#This Row],[MTD Panel]]</f>
        <v>23767.166666666664</v>
      </c>
      <c r="H39" s="72">
        <f>Table33345678910121121[[#This Row],[Company Panel]]-Table33345678910121121[[#This Row],[Our panel]]</f>
        <v>0</v>
      </c>
      <c r="I39" s="72">
        <f>Table33345678910121121[[#This Row],[MTD Company]]-Table33345678910121121[[#This Row],[MTD Panel]]</f>
        <v>0</v>
      </c>
    </row>
    <row r="40" spans="1:9">
      <c r="A40" s="11" t="str">
        <f>Table333456789101217[[#This Row],[Carrier]]</f>
        <v>Vortex</v>
      </c>
      <c r="B40" s="5" t="str">
        <f>Table333456789101217[[#This Row],[IP]]</f>
        <v>179.250.91.8/29.540.67.457/94.25.34.78/183.144.27.18</v>
      </c>
      <c r="C40" s="6" t="str">
        <f>Table333456789101217[[#This Row],[Carrier Code]]</f>
        <v>VT</v>
      </c>
      <c r="D40" s="53">
        <v>0</v>
      </c>
      <c r="E40" s="53">
        <v>0</v>
      </c>
      <c r="F40" s="18">
        <f>Table33345678910121121[[#This Row],[Company Panel]]+Table33345678910121120[[#This Row],[MTD Company]]</f>
        <v>0</v>
      </c>
      <c r="G40" s="18">
        <f>Table33345678910121121[[#This Row],[Our panel]]+Table33345678910121120[[#This Row],[MTD Panel]]</f>
        <v>0</v>
      </c>
      <c r="H40" s="72">
        <f>Table33345678910121121[[#This Row],[Company Panel]]-Table33345678910121121[[#This Row],[Our panel]]</f>
        <v>0</v>
      </c>
      <c r="I40" s="72">
        <f>Table33345678910121121[[#This Row],[MTD Company]]-Table33345678910121121[[#This Row],[MTD Panel]]</f>
        <v>0</v>
      </c>
    </row>
    <row r="41" spans="1:9">
      <c r="A41" s="11" t="str">
        <f>Table333456789101217[[#This Row],[Carrier]]</f>
        <v>Void</v>
      </c>
      <c r="B41" s="5" t="str">
        <f>Table333456789101217[[#This Row],[IP]]</f>
        <v>156.34.123.11/156.34.123.25/156.34.123.62/92.44.233.110</v>
      </c>
      <c r="C41" s="6" t="str">
        <f>Table333456789101217[[#This Row],[Carrier Code]]</f>
        <v>VO</v>
      </c>
      <c r="D41" s="53">
        <v>29.966666666666665</v>
      </c>
      <c r="E41" s="53">
        <v>29.966666666666665</v>
      </c>
      <c r="F41" s="18">
        <f>Table33345678910121121[[#This Row],[Company Panel]]+Table33345678910121120[[#This Row],[MTD Company]]</f>
        <v>660.3</v>
      </c>
      <c r="G41" s="18">
        <f>Table33345678910121121[[#This Row],[Our panel]]+Table33345678910121120[[#This Row],[MTD Panel]]</f>
        <v>660.3</v>
      </c>
      <c r="H41" s="72">
        <f>Table33345678910121121[[#This Row],[Company Panel]]-Table33345678910121121[[#This Row],[Our panel]]</f>
        <v>0</v>
      </c>
      <c r="I41" s="72">
        <f>Table33345678910121121[[#This Row],[MTD Company]]-Table33345678910121121[[#This Row],[MTD Panel]]</f>
        <v>0</v>
      </c>
    </row>
    <row r="42" spans="1:9">
      <c r="A42" s="11" t="str">
        <f>Table333456789101217[[#This Row],[Carrier]]</f>
        <v>Midnight</v>
      </c>
      <c r="B42" s="5" t="str">
        <f>Table333456789101217[[#This Row],[IP]]</f>
        <v>134.77.22.4/23.97.150.8</v>
      </c>
      <c r="C42" s="6" t="str">
        <f>Table333456789101217[[#This Row],[Carrier Code]]</f>
        <v>MI</v>
      </c>
      <c r="D42" s="53">
        <v>2302.3000000000002</v>
      </c>
      <c r="E42" s="53">
        <v>2302.3000000000002</v>
      </c>
      <c r="F42" s="18">
        <f>Table33345678910121121[[#This Row],[Company Panel]]+Table33345678910121120[[#This Row],[MTD Company]]</f>
        <v>4565.9833333333336</v>
      </c>
      <c r="G42" s="18">
        <f>Table33345678910121121[[#This Row],[Our panel]]+Table33345678910121120[[#This Row],[MTD Panel]]</f>
        <v>4565.9833333333336</v>
      </c>
      <c r="H42" s="72">
        <f>Table33345678910121121[[#This Row],[Company Panel]]-Table33345678910121121[[#This Row],[Our panel]]</f>
        <v>0</v>
      </c>
      <c r="I42" s="72">
        <f>Table33345678910121121[[#This Row],[MTD Company]]-Table33345678910121121[[#This Row],[MTD Panel]]</f>
        <v>0</v>
      </c>
    </row>
    <row r="43" spans="1:9">
      <c r="A43" s="11" t="str">
        <f>Table333456789101217[[#This Row],[Carrier]]</f>
        <v>Autumn</v>
      </c>
      <c r="B43" s="5" t="str">
        <f>Table333456789101217[[#This Row],[IP]]</f>
        <v>202.54.210.88/12.331.94.73/64.19.28.175</v>
      </c>
      <c r="C43" s="6" t="str">
        <f>Table333456789101217[[#This Row],[Carrier Code]]</f>
        <v>AU</v>
      </c>
      <c r="D43" s="53">
        <v>6.1</v>
      </c>
      <c r="E43" s="53">
        <v>6.1</v>
      </c>
      <c r="F43" s="18">
        <f>Table33345678910121121[[#This Row],[Company Panel]]+Table33345678910121120[[#This Row],[MTD Company]]</f>
        <v>223.63333333333333</v>
      </c>
      <c r="G43" s="18">
        <f>Table33345678910121121[[#This Row],[Our panel]]+Table33345678910121120[[#This Row],[MTD Panel]]</f>
        <v>223.63333333333333</v>
      </c>
      <c r="H43" s="72">
        <f>Table33345678910121121[[#This Row],[Company Panel]]-Table33345678910121121[[#This Row],[Our panel]]</f>
        <v>0</v>
      </c>
      <c r="I43" s="72">
        <f>Table33345678910121121[[#This Row],[MTD Company]]-Table33345678910121121[[#This Row],[MTD Panel]]</f>
        <v>0</v>
      </c>
    </row>
    <row r="44" spans="1:9">
      <c r="A44" s="11" t="str">
        <f>Table333456789101217[[#This Row],[Carrier]]</f>
        <v>Mystic</v>
      </c>
      <c r="B44" s="5" t="str">
        <f>Table333456789101217[[#This Row],[IP]]</f>
        <v>51.233.21.76/82.115.35.60/82.115.35.85</v>
      </c>
      <c r="C44" s="6" t="str">
        <f>Table333456789101217[[#This Row],[Carrier Code]]</f>
        <v>MY</v>
      </c>
      <c r="D44" s="53">
        <v>0</v>
      </c>
      <c r="E44" s="53">
        <v>0</v>
      </c>
      <c r="F44" s="18">
        <f>Table33345678910121121[[#This Row],[Company Panel]]+Table33345678910121120[[#This Row],[MTD Company]]</f>
        <v>0</v>
      </c>
      <c r="G44" s="18">
        <f>Table33345678910121121[[#This Row],[Our panel]]+Table33345678910121120[[#This Row],[MTD Panel]]</f>
        <v>0</v>
      </c>
      <c r="H44" s="72">
        <f>Table33345678910121121[[#This Row],[Company Panel]]-Table33345678910121121[[#This Row],[Our panel]]</f>
        <v>0</v>
      </c>
      <c r="I44" s="72">
        <f>Table33345678910121121[[#This Row],[MTD Company]]-Table33345678910121121[[#This Row],[MTD Panel]]</f>
        <v>0</v>
      </c>
    </row>
    <row r="45" spans="1:9">
      <c r="A45" s="11" t="str">
        <f>Table333456789101217[[#This Row],[Carrier]]</f>
        <v>Clover</v>
      </c>
      <c r="B45" s="5" t="str">
        <f>Table333456789101217[[#This Row],[IP]]</f>
        <v>210.150.12.45/84.50.212.66/135.113.88.9</v>
      </c>
      <c r="C45" s="6" t="str">
        <f>Table333456789101217[[#This Row],[Carrier Code]]</f>
        <v>CO</v>
      </c>
      <c r="D45" s="53">
        <v>148.58333333333334</v>
      </c>
      <c r="E45" s="53">
        <v>148.58333333333334</v>
      </c>
      <c r="F45" s="18">
        <f>Table33345678910121121[[#This Row],[Company Panel]]+Table33345678910121120[[#This Row],[MTD Company]]</f>
        <v>34060.26666666667</v>
      </c>
      <c r="G45" s="18">
        <f>Table33345678910121121[[#This Row],[Our panel]]+Table33345678910121120[[#This Row],[MTD Panel]]</f>
        <v>34060.26666666667</v>
      </c>
      <c r="H45" s="78">
        <f>Table33345678910121121[[#This Row],[Company Panel]]-Table33345678910121121[[#This Row],[Our panel]]</f>
        <v>0</v>
      </c>
      <c r="I45" s="78">
        <f>Table33345678910121121[[#This Row],[MTD Company]]-Table33345678910121121[[#This Row],[MTD Panel]]</f>
        <v>0</v>
      </c>
    </row>
    <row r="46" spans="1:9">
      <c r="A46" s="11" t="str">
        <f>Table333456789101217[[#This Row],[Carrier]]</f>
        <v>Hunter</v>
      </c>
      <c r="B46" s="5" t="str">
        <f>Table333456789101217[[#This Row],[IP]]</f>
        <v>170.199.20.87/13.693.39.280/78.30.123.47</v>
      </c>
      <c r="C46" s="6" t="str">
        <f>Table333456789101217[[#This Row],[Carrier Code]]</f>
        <v>HU</v>
      </c>
      <c r="D46" s="53">
        <v>356.71666666666664</v>
      </c>
      <c r="E46" s="53">
        <v>356.71666666666664</v>
      </c>
      <c r="F46" s="18">
        <f>Table33345678910121121[[#This Row],[Company Panel]]+Table33345678910121120[[#This Row],[MTD Company]]</f>
        <v>5487.333333333333</v>
      </c>
      <c r="G46" s="18">
        <f>Table33345678910121121[[#This Row],[Our panel]]+Table33345678910121120[[#This Row],[MTD Panel]]</f>
        <v>5487.333333333333</v>
      </c>
      <c r="H46" s="13">
        <f>Table33345678910121121[[#This Row],[Company Panel]]-Table33345678910121121[[#This Row],[Our panel]]</f>
        <v>0</v>
      </c>
      <c r="I46" s="13">
        <f>Table33345678910121121[[#This Row],[MTD Company]]-Table33345678910121121[[#This Row],[MTD Panel]]</f>
        <v>0</v>
      </c>
    </row>
    <row r="47" spans="1:9">
      <c r="A47" s="11" t="str">
        <f>Table333456789101217[[#This Row],[Carrier]]</f>
        <v>Invaded</v>
      </c>
      <c r="B47" s="5" t="str">
        <f>Table333456789101217[[#This Row],[IP]]</f>
        <v>182.67.99.120/80.518.230.410/26.847.95.107/188.12.67.92</v>
      </c>
      <c r="C47" s="6" t="str">
        <f>Table333456789101217[[#This Row],[Carrier Code]]</f>
        <v>ID</v>
      </c>
      <c r="D47" s="7">
        <v>0</v>
      </c>
      <c r="E47" s="7">
        <v>0</v>
      </c>
      <c r="F47" s="18">
        <f>Table33345678910121121[[#This Row],[Company Panel]]+Table33345678910121120[[#This Row],[MTD Company]]</f>
        <v>0</v>
      </c>
      <c r="G47" s="18">
        <f>Table33345678910121121[[#This Row],[Our panel]]+Table33345678910121120[[#This Row],[MTD Panel]]</f>
        <v>0</v>
      </c>
      <c r="H47" s="13">
        <f>Table33345678910121121[[#This Row],[Company Panel]]-Table33345678910121121[[#This Row],[Our panel]]</f>
        <v>0</v>
      </c>
      <c r="I47" s="13">
        <f>Table33345678910121121[[#This Row],[MTD Company]]-Table33345678910121121[[#This Row],[MTD Panel]]</f>
        <v>0</v>
      </c>
    </row>
    <row r="48" spans="1:9">
      <c r="A48" s="11" t="str">
        <f>Table333456789101217[[#This Row],[Carrier]]</f>
        <v>Delusion</v>
      </c>
      <c r="B48" s="5" t="str">
        <f>Table333456789101217[[#This Row],[IP]]</f>
        <v>198.51.100.72/69.887.74.738/39.153.110.645</v>
      </c>
      <c r="C48" s="6" t="str">
        <f>Table333456789101217[[#This Row],[Carrier Code]]</f>
        <v>DU</v>
      </c>
      <c r="D48" s="7">
        <v>0</v>
      </c>
      <c r="E48" s="7">
        <v>0</v>
      </c>
      <c r="F48" s="18">
        <f>Table33345678910121121[[#This Row],[Company Panel]]+Table33345678910121120[[#This Row],[MTD Company]]</f>
        <v>0</v>
      </c>
      <c r="G48" s="18">
        <f>Table33345678910121121[[#This Row],[Our panel]]+Table33345678910121120[[#This Row],[MTD Panel]]</f>
        <v>0</v>
      </c>
      <c r="H48" s="13">
        <f>Table33345678910121121[[#This Row],[Company Panel]]-Table33345678910121121[[#This Row],[Our panel]]</f>
        <v>0</v>
      </c>
      <c r="I48" s="13">
        <f>Table33345678910121121[[#This Row],[MTD Company]]-Table33345678910121121[[#This Row],[MTD Panel]]</f>
        <v>0</v>
      </c>
    </row>
    <row r="49" spans="1:9" ht="15.5">
      <c r="A49" s="11" t="str">
        <f>Table333456789101217[[#This Row],[Carrier]]</f>
        <v>Total</v>
      </c>
      <c r="B49" s="14"/>
      <c r="C49" s="15"/>
      <c r="D49" s="16">
        <f>SUM(D3:D48)</f>
        <v>8307.1833333333325</v>
      </c>
      <c r="E49" s="16">
        <f t="shared" ref="E49:I49" si="0">SUM(E3:E48)</f>
        <v>8307.1833333333325</v>
      </c>
      <c r="F49" s="16">
        <f t="shared" si="0"/>
        <v>145806.48333333334</v>
      </c>
      <c r="G49" s="16">
        <f t="shared" si="0"/>
        <v>145806.48333333334</v>
      </c>
      <c r="H49" s="16">
        <f t="shared" si="0"/>
        <v>0</v>
      </c>
      <c r="I49" s="16">
        <f t="shared" si="0"/>
        <v>0</v>
      </c>
    </row>
  </sheetData>
  <conditionalFormatting sqref="H2:I48">
    <cfRule type="cellIs" dxfId="319" priority="13" operator="lessThan">
      <formula>0</formula>
    </cfRule>
  </conditionalFormatting>
  <conditionalFormatting sqref="I30:I48">
    <cfRule type="cellIs" dxfId="318" priority="12" operator="lessThan">
      <formula>0</formula>
    </cfRule>
  </conditionalFormatting>
  <conditionalFormatting sqref="H3:I48">
    <cfRule type="cellIs" dxfId="317" priority="11" operator="lessThan">
      <formula>0</formula>
    </cfRule>
  </conditionalFormatting>
  <conditionalFormatting sqref="I30:I48">
    <cfRule type="cellIs" dxfId="316" priority="10" operator="lessThan">
      <formula>0</formula>
    </cfRule>
  </conditionalFormatting>
  <conditionalFormatting sqref="I3:I48">
    <cfRule type="cellIs" dxfId="315" priority="2" operator="lessThan">
      <formula>0</formula>
    </cfRule>
    <cfRule type="cellIs" dxfId="314" priority="3" operator="lessThan">
      <formula>0</formula>
    </cfRule>
  </conditionalFormatting>
  <hyperlinks>
    <hyperlink ref="E1" location="H!A1" display="Home"/>
    <hyperlink ref="D1" location="'13'!D1" display="←"/>
    <hyperlink ref="F1" location="'15'!F1" display="→"/>
  </hyperlink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2"/>
  <sheetViews>
    <sheetView workbookViewId="0">
      <selection activeCell="D3" sqref="D3"/>
    </sheetView>
  </sheetViews>
  <sheetFormatPr defaultRowHeight="14.5"/>
  <cols>
    <col min="1" max="1" width="26.7265625" bestFit="1" customWidth="1"/>
    <col min="2" max="2" width="37" bestFit="1" customWidth="1"/>
    <col min="3" max="3" width="10.453125" customWidth="1"/>
    <col min="4" max="9" width="12.7265625" customWidth="1"/>
  </cols>
  <sheetData>
    <row r="1" spans="1:12" ht="18.5">
      <c r="A1" s="23" t="str">
        <f>H!A16</f>
        <v>15th April 2025</v>
      </c>
      <c r="B1" s="24"/>
      <c r="C1" s="24"/>
      <c r="D1" s="22" t="s">
        <v>16</v>
      </c>
      <c r="E1" s="22" t="s">
        <v>9</v>
      </c>
      <c r="F1" s="22" t="s">
        <v>17</v>
      </c>
    </row>
    <row r="2" spans="1:12" ht="31">
      <c r="A2" s="1" t="s">
        <v>0</v>
      </c>
      <c r="B2" s="2" t="s">
        <v>1</v>
      </c>
      <c r="C2" s="2" t="s">
        <v>2</v>
      </c>
      <c r="D2" s="2" t="s">
        <v>3</v>
      </c>
      <c r="E2" s="2" t="s">
        <v>11</v>
      </c>
      <c r="F2" s="2" t="s">
        <v>4</v>
      </c>
      <c r="G2" s="4" t="s">
        <v>6</v>
      </c>
      <c r="H2" s="4" t="s">
        <v>7</v>
      </c>
      <c r="I2" s="3" t="s">
        <v>8</v>
      </c>
    </row>
    <row r="3" spans="1:12">
      <c r="A3" s="11" t="str">
        <f>Table333456789101217[[#This Row],[Carrier]]</f>
        <v>Blaze</v>
      </c>
      <c r="B3" s="5" t="str">
        <f>Table333456789101217[[#This Row],[IP]]</f>
        <v>8.12.34.56/48.163.17.845/60.502.86.203/191.45.28.14</v>
      </c>
      <c r="C3" s="6" t="str">
        <f>Table333456789101217[[#This Row],[Carrier Code]]</f>
        <v>BZ</v>
      </c>
      <c r="D3" s="53">
        <v>0</v>
      </c>
      <c r="E3" s="53">
        <v>0</v>
      </c>
      <c r="F3" s="18">
        <f>Table3334567891012112122[[#This Row],[Company Panel]]+Table33345678910121121[[#This Row],[MTD Company]]</f>
        <v>0</v>
      </c>
      <c r="G3" s="18">
        <f>Table3334567891012112122[[#This Row],[Our panel]]+Table33345678910121121[[#This Row],[MTD Panel]]</f>
        <v>0</v>
      </c>
      <c r="H3" s="13">
        <f>Table3334567891012112122[[#This Row],[Company Panel]]-Table3334567891012112122[[#This Row],[Our panel]]</f>
        <v>0</v>
      </c>
      <c r="I3" s="13">
        <f>Table3334567891012112122[[#This Row],[MTD Company]]-Table3334567891012112122[[#This Row],[MTD Panel]]</f>
        <v>0</v>
      </c>
    </row>
    <row r="4" spans="1:12">
      <c r="A4" s="11" t="str">
        <f>Table333456789101217[[#This Row],[Carrier]]</f>
        <v>Titan</v>
      </c>
      <c r="B4" s="5" t="str">
        <f>Table333456789101217[[#This Row],[IP]]</f>
        <v>123.45.67.89/123.45.67.93/203.24.101.65</v>
      </c>
      <c r="C4" s="6" t="str">
        <f>Table333456789101217[[#This Row],[Carrier Code]]</f>
        <v>TI</v>
      </c>
      <c r="D4" s="53">
        <v>2.4666666666666668</v>
      </c>
      <c r="E4" s="53">
        <v>2.4666666666666668</v>
      </c>
      <c r="F4" s="18">
        <f>Table3334567891012112122[[#This Row],[Company Panel]]+Table33345678910121121[[#This Row],[MTD Company]]</f>
        <v>322.66666666666663</v>
      </c>
      <c r="G4" s="18">
        <f>Table3334567891012112122[[#This Row],[Our panel]]+Table33345678910121121[[#This Row],[MTD Panel]]</f>
        <v>322.66666666666663</v>
      </c>
      <c r="H4" s="13">
        <f>Table3334567891012112122[[#This Row],[Company Panel]]-Table3334567891012112122[[#This Row],[Our panel]]</f>
        <v>0</v>
      </c>
      <c r="I4" s="13">
        <f>Table3334567891012112122[[#This Row],[MTD Company]]-Table3334567891012112122[[#This Row],[MTD Panel]]</f>
        <v>0</v>
      </c>
      <c r="L4" s="9"/>
    </row>
    <row r="5" spans="1:12">
      <c r="A5" s="11" t="str">
        <f>Table333456789101217[[#This Row],[Carrier]]</f>
        <v>Hollow</v>
      </c>
      <c r="B5" s="5" t="str">
        <f>Table333456789101217[[#This Row],[IP]]</f>
        <v>204.56.78.100/204.56.57.169/52.94.101.12</v>
      </c>
      <c r="C5" s="6" t="str">
        <f>Table333456789101217[[#This Row],[Carrier Code]]</f>
        <v>HO</v>
      </c>
      <c r="D5" s="53">
        <v>0</v>
      </c>
      <c r="E5" s="53">
        <v>0</v>
      </c>
      <c r="F5" s="18">
        <f>Table3334567891012112122[[#This Row],[Company Panel]]+Table33345678910121121[[#This Row],[MTD Company]]</f>
        <v>0</v>
      </c>
      <c r="G5" s="18">
        <f>Table3334567891012112122[[#This Row],[Our panel]]+Table33345678910121121[[#This Row],[MTD Panel]]</f>
        <v>0</v>
      </c>
      <c r="H5" s="13">
        <f>Table3334567891012112122[[#This Row],[Company Panel]]-Table3334567891012112122[[#This Row],[Our panel]]</f>
        <v>0</v>
      </c>
      <c r="I5" s="13">
        <f>Table3334567891012112122[[#This Row],[MTD Company]]-Table3334567891012112122[[#This Row],[MTD Panel]]</f>
        <v>0</v>
      </c>
    </row>
    <row r="6" spans="1:12">
      <c r="A6" s="11" t="str">
        <f>Table333456789101217[[#This Row],[Carrier]]</f>
        <v>Prism</v>
      </c>
      <c r="B6" s="5" t="str">
        <f>Table333456789101217[[#This Row],[IP]]</f>
        <v>35.118.22.45/137.63.112.25</v>
      </c>
      <c r="C6" s="6" t="str">
        <f>Table333456789101217[[#This Row],[Carrier Code]]</f>
        <v>PS</v>
      </c>
      <c r="D6" s="53">
        <v>655.65</v>
      </c>
      <c r="E6" s="53">
        <v>655.65</v>
      </c>
      <c r="F6" s="18">
        <f>Table3334567891012112122[[#This Row],[Company Panel]]+Table33345678910121121[[#This Row],[MTD Company]]</f>
        <v>60932.44999999999</v>
      </c>
      <c r="G6" s="18">
        <f>Table3334567891012112122[[#This Row],[Our panel]]+Table33345678910121121[[#This Row],[MTD Panel]]</f>
        <v>60932.44999999999</v>
      </c>
      <c r="H6" s="13">
        <f>Table3334567891012112122[[#This Row],[Company Panel]]-Table3334567891012112122[[#This Row],[Our panel]]</f>
        <v>0</v>
      </c>
      <c r="I6" s="13">
        <f>Table3334567891012112122[[#This Row],[MTD Company]]-Table3334567891012112122[[#This Row],[MTD Panel]]</f>
        <v>0</v>
      </c>
    </row>
    <row r="7" spans="1:12">
      <c r="A7" s="11" t="str">
        <f>Table333456789101217[[#This Row],[Carrier]]</f>
        <v>Echo</v>
      </c>
      <c r="B7" s="5" t="str">
        <f>Table333456789101217[[#This Row],[IP]]</f>
        <v>66.89.101.10/66.89.101.19/66.89.101.23/66.89.101.45/66.89.101.81/85.21.34.99</v>
      </c>
      <c r="C7" s="6" t="str">
        <f>Table333456789101217[[#This Row],[Carrier Code]]</f>
        <v>EC</v>
      </c>
      <c r="D7" s="53">
        <v>3.65</v>
      </c>
      <c r="E7" s="53">
        <v>3.65</v>
      </c>
      <c r="F7" s="18">
        <f>Table3334567891012112122[[#This Row],[Company Panel]]+Table33345678910121121[[#This Row],[MTD Company]]</f>
        <v>42.550000000000004</v>
      </c>
      <c r="G7" s="18">
        <f>Table3334567891012112122[[#This Row],[Our panel]]+Table33345678910121121[[#This Row],[MTD Panel]]</f>
        <v>42.550000000000004</v>
      </c>
      <c r="H7" s="13">
        <f>Table3334567891012112122[[#This Row],[Company Panel]]-Table3334567891012112122[[#This Row],[Our panel]]</f>
        <v>0</v>
      </c>
      <c r="I7" s="13">
        <f>Table3334567891012112122[[#This Row],[MTD Company]]-Table3334567891012112122[[#This Row],[MTD Panel]]</f>
        <v>0</v>
      </c>
    </row>
    <row r="8" spans="1:12">
      <c r="A8" s="11" t="str">
        <f>Table333456789101217[[#This Row],[Carrier]]</f>
        <v>Strike</v>
      </c>
      <c r="B8" s="5" t="str">
        <f>Table333456789101217[[#This Row],[IP]]</f>
        <v>100.200.150.3/100.200.165.38/41.102.90.78</v>
      </c>
      <c r="C8" s="6" t="str">
        <f>Table333456789101217[[#This Row],[Carrier Code]]</f>
        <v>ST</v>
      </c>
      <c r="D8" s="53">
        <v>103.16666666666667</v>
      </c>
      <c r="E8" s="53">
        <v>103.16666666666667</v>
      </c>
      <c r="F8" s="18">
        <f>Table3334567891012112122[[#This Row],[Company Panel]]+Table33345678910121121[[#This Row],[MTD Company]]</f>
        <v>1653.1499999999996</v>
      </c>
      <c r="G8" s="18">
        <f>Table3334567891012112122[[#This Row],[Our panel]]+Table33345678910121121[[#This Row],[MTD Panel]]</f>
        <v>1653.1499999999996</v>
      </c>
      <c r="H8" s="13">
        <f>Table3334567891012112122[[#This Row],[Company Panel]]-Table3334567891012112122[[#This Row],[Our panel]]</f>
        <v>0</v>
      </c>
      <c r="I8" s="13">
        <f>Table3334567891012112122[[#This Row],[MTD Company]]-Table3334567891012112122[[#This Row],[MTD Panel]]</f>
        <v>0</v>
      </c>
      <c r="L8" s="9"/>
    </row>
    <row r="9" spans="1:12">
      <c r="A9" s="11" t="str">
        <f>Table333456789101217[[#This Row],[Carrier]]</f>
        <v>Blunt</v>
      </c>
      <c r="B9" s="5" t="str">
        <f>Table333456789101217[[#This Row],[IP]]</f>
        <v>52.28.191.25/52.28.191.38/52.28.191.24/61.110.23.45</v>
      </c>
      <c r="C9" s="6" t="str">
        <f>Table333456789101217[[#This Row],[Carrier Code]]</f>
        <v>BL</v>
      </c>
      <c r="D9" s="53">
        <v>123.45</v>
      </c>
      <c r="E9" s="53">
        <v>123.45</v>
      </c>
      <c r="F9" s="18">
        <f>Table3334567891012112122[[#This Row],[Company Panel]]+Table33345678910121121[[#This Row],[MTD Company]]</f>
        <v>9695.0666666666675</v>
      </c>
      <c r="G9" s="18">
        <f>Table3334567891012112122[[#This Row],[Our panel]]+Table33345678910121121[[#This Row],[MTD Panel]]</f>
        <v>9695.0666666666675</v>
      </c>
      <c r="H9" s="13">
        <f>Table3334567891012112122[[#This Row],[Company Panel]]-Table3334567891012112122[[#This Row],[Our panel]]</f>
        <v>0</v>
      </c>
      <c r="I9" s="13">
        <f>Table3334567891012112122[[#This Row],[MTD Company]]-Table3334567891012112122[[#This Row],[MTD Panel]]</f>
        <v>0</v>
      </c>
    </row>
    <row r="10" spans="1:12">
      <c r="A10" s="11" t="str">
        <f>Table333456789101217[[#This Row],[Carrier]]</f>
        <v>Law</v>
      </c>
      <c r="B10" s="5" t="str">
        <f>Table333456789101217[[#This Row],[IP]]</f>
        <v>77.88.99.21/77.88.99.88/77.88.99.94/110.56.211.7</v>
      </c>
      <c r="C10" s="6" t="str">
        <f>Table333456789101217[[#This Row],[Carrier Code]]</f>
        <v>LA</v>
      </c>
      <c r="D10" s="53">
        <v>0</v>
      </c>
      <c r="E10" s="53">
        <v>0</v>
      </c>
      <c r="F10" s="18">
        <f>Table3334567891012112122[[#This Row],[Company Panel]]+Table33345678910121121[[#This Row],[MTD Company]]</f>
        <v>0</v>
      </c>
      <c r="G10" s="18">
        <f>Table3334567891012112122[[#This Row],[Our panel]]+Table33345678910121121[[#This Row],[MTD Panel]]</f>
        <v>0</v>
      </c>
      <c r="H10" s="13">
        <f>Table3334567891012112122[[#This Row],[Company Panel]]-Table3334567891012112122[[#This Row],[Our panel]]</f>
        <v>0</v>
      </c>
      <c r="I10" s="13">
        <f>Table3334567891012112122[[#This Row],[MTD Company]]-Table3334567891012112122[[#This Row],[MTD Panel]]</f>
        <v>0</v>
      </c>
    </row>
    <row r="11" spans="1:12">
      <c r="A11" s="11" t="str">
        <f>Table333456789101217[[#This Row],[Carrier]]</f>
        <v>Pulse</v>
      </c>
      <c r="B11" s="5" t="str">
        <f>Table333456789101217[[#This Row],[IP]]</f>
        <v>198.51.100.130/31.725.16.608/66.59.61.503/167.34.122.90</v>
      </c>
      <c r="C11" s="6" t="str">
        <f>Table333456789101217[[#This Row],[Carrier Code]]</f>
        <v>PU</v>
      </c>
      <c r="D11" s="53">
        <v>0</v>
      </c>
      <c r="E11" s="53">
        <v>0</v>
      </c>
      <c r="F11" s="18">
        <f>Table3334567891012112122[[#This Row],[Company Panel]]+Table33345678910121121[[#This Row],[MTD Company]]</f>
        <v>0</v>
      </c>
      <c r="G11" s="18">
        <f>Table3334567891012112122[[#This Row],[Our panel]]+Table33345678910121121[[#This Row],[MTD Panel]]</f>
        <v>0</v>
      </c>
      <c r="H11" s="13">
        <f>Table3334567891012112122[[#This Row],[Company Panel]]-Table3334567891012112122[[#This Row],[Our panel]]</f>
        <v>0</v>
      </c>
      <c r="I11" s="13">
        <f>Table3334567891012112122[[#This Row],[MTD Company]]-Table3334567891012112122[[#This Row],[MTD Panel]]</f>
        <v>0</v>
      </c>
    </row>
    <row r="12" spans="1:12">
      <c r="A12" s="11" t="str">
        <f>Table333456789101217[[#This Row],[Carrier]]</f>
        <v>Phantom</v>
      </c>
      <c r="B12" s="5" t="str">
        <f>Table333456789101217[[#This Row],[IP]]</f>
        <v>141.15.210.67/141.15.42.82/179.62.211.4</v>
      </c>
      <c r="C12" s="6" t="str">
        <f>Table333456789101217[[#This Row],[Carrier Code]]</f>
        <v>PH</v>
      </c>
      <c r="D12" s="53">
        <v>1.3</v>
      </c>
      <c r="E12" s="53">
        <v>1.3</v>
      </c>
      <c r="F12" s="18">
        <f>Table3334567891012112122[[#This Row],[Company Panel]]+Table33345678910121121[[#This Row],[MTD Company]]</f>
        <v>3326.3166666666662</v>
      </c>
      <c r="G12" s="18">
        <f>Table3334567891012112122[[#This Row],[Our panel]]+Table33345678910121121[[#This Row],[MTD Panel]]</f>
        <v>3326.3166666666662</v>
      </c>
      <c r="H12" s="13">
        <f>Table3334567891012112122[[#This Row],[Company Panel]]-Table3334567891012112122[[#This Row],[Our panel]]</f>
        <v>0</v>
      </c>
      <c r="I12" s="13">
        <f>Table3334567891012112122[[#This Row],[MTD Company]]-Table3334567891012112122[[#This Row],[MTD Panel]]</f>
        <v>0</v>
      </c>
    </row>
    <row r="13" spans="1:12">
      <c r="A13" s="11" t="str">
        <f>Table333456789101217[[#This Row],[Carrier]]</f>
        <v>Dragon</v>
      </c>
      <c r="B13" s="5" t="str">
        <f>Table333456789101217[[#This Row],[IP]]</f>
        <v>12.34.56.78/12.34.56.128/200.180.245.18</v>
      </c>
      <c r="C13" s="6" t="str">
        <f>Table333456789101217[[#This Row],[Carrier Code]]</f>
        <v>DG</v>
      </c>
      <c r="D13" s="53">
        <v>0</v>
      </c>
      <c r="E13" s="53">
        <v>0</v>
      </c>
      <c r="F13" s="18">
        <f>Table3334567891012112122[[#This Row],[Company Panel]]+Table33345678910121121[[#This Row],[MTD Company]]</f>
        <v>0</v>
      </c>
      <c r="G13" s="18">
        <f>Table3334567891012112122[[#This Row],[Our panel]]+Table33345678910121121[[#This Row],[MTD Panel]]</f>
        <v>0</v>
      </c>
      <c r="H13" s="13">
        <f>Table3334567891012112122[[#This Row],[Company Panel]]-Table3334567891012112122[[#This Row],[Our panel]]</f>
        <v>0</v>
      </c>
      <c r="I13" s="13">
        <f>Table3334567891012112122[[#This Row],[MTD Company]]-Table3334567891012112122[[#This Row],[MTD Panel]]</f>
        <v>0</v>
      </c>
    </row>
    <row r="14" spans="1:12">
      <c r="A14" s="11" t="str">
        <f>Table333456789101217[[#This Row],[Carrier]]</f>
        <v>Tempest</v>
      </c>
      <c r="B14" s="5" t="str">
        <f>Table333456789101217[[#This Row],[IP]]</f>
        <v>59.144.223.88/55.39.99.60</v>
      </c>
      <c r="C14" s="6" t="str">
        <f>Table333456789101217[[#This Row],[Carrier Code]]</f>
        <v>TE</v>
      </c>
      <c r="D14" s="53">
        <v>0</v>
      </c>
      <c r="E14" s="53">
        <v>0</v>
      </c>
      <c r="F14" s="18">
        <f>Table3334567891012112122[[#This Row],[Company Panel]]+Table33345678910121121[[#This Row],[MTD Company]]</f>
        <v>0</v>
      </c>
      <c r="G14" s="18">
        <f>Table3334567891012112122[[#This Row],[Our panel]]+Table33345678910121121[[#This Row],[MTD Panel]]</f>
        <v>0</v>
      </c>
      <c r="H14" s="13">
        <f>Table3334567891012112122[[#This Row],[Company Panel]]-Table3334567891012112122[[#This Row],[Our panel]]</f>
        <v>0</v>
      </c>
      <c r="I14" s="13">
        <f>Table3334567891012112122[[#This Row],[MTD Company]]-Table3334567891012112122[[#This Row],[MTD Panel]]</f>
        <v>0</v>
      </c>
    </row>
    <row r="15" spans="1:12">
      <c r="A15" s="11" t="str">
        <f>Table333456789101217[[#This Row],[Carrier]]</f>
        <v>Shadow</v>
      </c>
      <c r="B15" s="5" t="str">
        <f>Table333456789101217[[#This Row],[IP]]</f>
        <v>175.45.112.100/25.851.31.153/39.80.220.100</v>
      </c>
      <c r="C15" s="6" t="str">
        <f>Table333456789101217[[#This Row],[Carrier Code]]</f>
        <v>SH</v>
      </c>
      <c r="D15" s="53">
        <v>0</v>
      </c>
      <c r="E15" s="53">
        <v>0</v>
      </c>
      <c r="F15" s="18">
        <f>Table3334567891012112122[[#This Row],[Company Panel]]+Table33345678910121121[[#This Row],[MTD Company]]</f>
        <v>0</v>
      </c>
      <c r="G15" s="18">
        <f>Table3334567891012112122[[#This Row],[Our panel]]+Table33345678910121121[[#This Row],[MTD Panel]]</f>
        <v>0</v>
      </c>
      <c r="H15" s="13">
        <f>Table3334567891012112122[[#This Row],[Company Panel]]-Table3334567891012112122[[#This Row],[Our panel]]</f>
        <v>0</v>
      </c>
      <c r="I15" s="13">
        <f>Table3334567891012112122[[#This Row],[MTD Company]]-Table3334567891012112122[[#This Row],[MTD Panel]]</f>
        <v>0</v>
      </c>
    </row>
    <row r="16" spans="1:12">
      <c r="A16" s="11" t="str">
        <f>Table333456789101217[[#This Row],[Carrier]]</f>
        <v>Cyclone</v>
      </c>
      <c r="B16" s="5" t="str">
        <f>Table333456789101217[[#This Row],[IP]]</f>
        <v>150.13.75.190/16.160.89.512/72.11.97.34</v>
      </c>
      <c r="C16" s="6" t="str">
        <f>Table333456789101217[[#This Row],[Carrier Code]]</f>
        <v>CY</v>
      </c>
      <c r="D16" s="53">
        <v>0</v>
      </c>
      <c r="E16" s="53">
        <v>0</v>
      </c>
      <c r="F16" s="18">
        <f>Table3334567891012112122[[#This Row],[Company Panel]]+Table33345678910121121[[#This Row],[MTD Company]]</f>
        <v>0</v>
      </c>
      <c r="G16" s="18">
        <f>Table3334567891012112122[[#This Row],[Our panel]]+Table33345678910121121[[#This Row],[MTD Panel]]</f>
        <v>0</v>
      </c>
      <c r="H16" s="13">
        <f>Table3334567891012112122[[#This Row],[Company Panel]]-Table3334567891012112122[[#This Row],[Our panel]]</f>
        <v>0</v>
      </c>
      <c r="I16" s="13">
        <f>Table3334567891012112122[[#This Row],[MTD Company]]-Table3334567891012112122[[#This Row],[MTD Panel]]</f>
        <v>0</v>
      </c>
    </row>
    <row r="17" spans="1:9">
      <c r="A17" s="11" t="str">
        <f>Table333456789101217[[#This Row],[Carrier]]</f>
        <v>Reaver</v>
      </c>
      <c r="B17" s="5" t="str">
        <f>Table333456789101217[[#This Row],[IP]]</f>
        <v>203.0.113.44/188.17.56.210</v>
      </c>
      <c r="C17" s="6" t="str">
        <f>Table333456789101217[[#This Row],[Carrier Code]]</f>
        <v>RE</v>
      </c>
      <c r="D17" s="53">
        <v>0</v>
      </c>
      <c r="E17" s="53">
        <v>0</v>
      </c>
      <c r="F17" s="18">
        <f>Table3334567891012112122[[#This Row],[Company Panel]]+Table33345678910121121[[#This Row],[MTD Company]]</f>
        <v>0</v>
      </c>
      <c r="G17" s="18">
        <f>Table3334567891012112122[[#This Row],[Our panel]]+Table33345678910121121[[#This Row],[MTD Panel]]</f>
        <v>0</v>
      </c>
      <c r="H17" s="13">
        <f>Table3334567891012112122[[#This Row],[Company Panel]]-Table3334567891012112122[[#This Row],[Our panel]]</f>
        <v>0</v>
      </c>
      <c r="I17" s="13">
        <f>Table3334567891012112122[[#This Row],[MTD Company]]-Table3334567891012112122[[#This Row],[MTD Panel]]</f>
        <v>0</v>
      </c>
    </row>
    <row r="18" spans="1:9">
      <c r="A18" s="11" t="str">
        <f>Table333456789101217[[#This Row],[Carrier]]</f>
        <v>Forge</v>
      </c>
      <c r="B18" s="5" t="str">
        <f>Table333456789101217[[#This Row],[IP]]</f>
        <v>112.54.89.168/112.54.89.138</v>
      </c>
      <c r="C18" s="6" t="str">
        <f>Table333456789101217[[#This Row],[Carrier Code]]</f>
        <v>FO</v>
      </c>
      <c r="D18" s="53">
        <v>32.799999999999997</v>
      </c>
      <c r="E18" s="53">
        <v>32.799999999999997</v>
      </c>
      <c r="F18" s="18">
        <f>Table3334567891012112122[[#This Row],[Company Panel]]+Table33345678910121121[[#This Row],[MTD Company]]</f>
        <v>413.5</v>
      </c>
      <c r="G18" s="18">
        <f>Table3334567891012112122[[#This Row],[Our panel]]+Table33345678910121121[[#This Row],[MTD Panel]]</f>
        <v>413.5</v>
      </c>
      <c r="H18" s="13">
        <f>Table3334567891012112122[[#This Row],[Company Panel]]-Table3334567891012112122[[#This Row],[Our panel]]</f>
        <v>0</v>
      </c>
      <c r="I18" s="13">
        <f>Table3334567891012112122[[#This Row],[MTD Company]]-Table3334567891012112122[[#This Row],[MTD Panel]]</f>
        <v>0</v>
      </c>
    </row>
    <row r="19" spans="1:9">
      <c r="A19" s="11" t="str">
        <f>Table333456789101217[[#This Row],[Carrier]]</f>
        <v>Ember</v>
      </c>
      <c r="B19" s="5" t="str">
        <f>Table333456789101217[[#This Row],[IP]]</f>
        <v>78.34.90.24/328.56.122.44/142.150.75.22</v>
      </c>
      <c r="C19" s="6" t="str">
        <f>Table333456789101217[[#This Row],[Carrier Code]]</f>
        <v>EM</v>
      </c>
      <c r="D19" s="53">
        <v>0</v>
      </c>
      <c r="E19" s="53">
        <v>0</v>
      </c>
      <c r="F19" s="18">
        <f>Table3334567891012112122[[#This Row],[Company Panel]]+Table33345678910121121[[#This Row],[MTD Company]]</f>
        <v>0</v>
      </c>
      <c r="G19" s="18">
        <f>Table3334567891012112122[[#This Row],[Our panel]]+Table33345678910121121[[#This Row],[MTD Panel]]</f>
        <v>0</v>
      </c>
      <c r="H19" s="13">
        <f>Table3334567891012112122[[#This Row],[Company Panel]]-Table3334567891012112122[[#This Row],[Our panel]]</f>
        <v>0</v>
      </c>
      <c r="I19" s="13">
        <f>Table3334567891012112122[[#This Row],[MTD Company]]-Table3334567891012112122[[#This Row],[MTD Panel]]</f>
        <v>0</v>
      </c>
    </row>
    <row r="20" spans="1:9">
      <c r="A20" s="11" t="str">
        <f>Table333456789101217[[#This Row],[Carrier]]</f>
        <v>Specter</v>
      </c>
      <c r="B20" s="5" t="str">
        <f>Table333456789101217[[#This Row],[IP]]</f>
        <v>205.60.34.150</v>
      </c>
      <c r="C20" s="6" t="str">
        <f>Table333456789101217[[#This Row],[Carrier Code]]</f>
        <v>SP</v>
      </c>
      <c r="D20" s="53">
        <v>0.05</v>
      </c>
      <c r="E20" s="53">
        <v>0.05</v>
      </c>
      <c r="F20" s="18">
        <f>Table3334567891012112122[[#This Row],[Company Panel]]+Table33345678910121121[[#This Row],[MTD Company]]</f>
        <v>11.900000000000002</v>
      </c>
      <c r="G20" s="18">
        <f>Table3334567891012112122[[#This Row],[Our panel]]+Table33345678910121121[[#This Row],[MTD Panel]]</f>
        <v>11.900000000000002</v>
      </c>
      <c r="H20" s="13">
        <f>Table3334567891012112122[[#This Row],[Company Panel]]-Table3334567891012112122[[#This Row],[Our panel]]</f>
        <v>0</v>
      </c>
      <c r="I20" s="13">
        <f>Table3334567891012112122[[#This Row],[MTD Company]]-Table3334567891012112122[[#This Row],[MTD Panel]]</f>
        <v>0</v>
      </c>
    </row>
    <row r="21" spans="1:9">
      <c r="A21" s="11" t="str">
        <f>Table333456789101217[[#This Row],[Carrier]]</f>
        <v>Throne</v>
      </c>
      <c r="B21" s="5" t="str">
        <f>Table333456789101217[[#This Row],[IP]]</f>
        <v>54.32.11.90/27.758.27.201/125.150.58.20</v>
      </c>
      <c r="C21" s="6" t="str">
        <f>Table333456789101217[[#This Row],[Carrier Code]]</f>
        <v>TH</v>
      </c>
      <c r="D21" s="53">
        <v>0</v>
      </c>
      <c r="E21" s="53">
        <v>0</v>
      </c>
      <c r="F21" s="18">
        <f>Table3334567891012112122[[#This Row],[Company Panel]]+Table33345678910121121[[#This Row],[MTD Company]]</f>
        <v>0</v>
      </c>
      <c r="G21" s="18">
        <f>Table3334567891012112122[[#This Row],[Our panel]]+Table33345678910121121[[#This Row],[MTD Panel]]</f>
        <v>0</v>
      </c>
      <c r="H21" s="13">
        <f>Table3334567891012112122[[#This Row],[Company Panel]]-Table3334567891012112122[[#This Row],[Our panel]]</f>
        <v>0</v>
      </c>
      <c r="I21" s="13">
        <f>Table3334567891012112122[[#This Row],[MTD Company]]-Table3334567891012112122[[#This Row],[MTD Panel]]</f>
        <v>0</v>
      </c>
    </row>
    <row r="22" spans="1:9">
      <c r="A22" s="11" t="str">
        <f>Table333456789101217[[#This Row],[Carrier]]</f>
        <v>Arcane</v>
      </c>
      <c r="B22" s="5" t="str">
        <f>Table333456789101217[[#This Row],[IP]]</f>
        <v>212.100.25.78/212.100.25.87</v>
      </c>
      <c r="C22" s="6" t="str">
        <f>Table333456789101217[[#This Row],[Carrier Code]]</f>
        <v>AR</v>
      </c>
      <c r="D22" s="53">
        <v>0</v>
      </c>
      <c r="E22" s="53">
        <v>0</v>
      </c>
      <c r="F22" s="18">
        <f>Table3334567891012112122[[#This Row],[Company Panel]]+Table33345678910121121[[#This Row],[MTD Company]]</f>
        <v>0.58333333333333337</v>
      </c>
      <c r="G22" s="18">
        <f>Table3334567891012112122[[#This Row],[Our panel]]+Table33345678910121121[[#This Row],[MTD Panel]]</f>
        <v>0.58333333333333337</v>
      </c>
      <c r="H22" s="13">
        <f>Table3334567891012112122[[#This Row],[Company Panel]]-Table3334567891012112122[[#This Row],[Our panel]]</f>
        <v>0</v>
      </c>
      <c r="I22" s="13">
        <f>Table3334567891012112122[[#This Row],[MTD Company]]-Table3334567891012112122[[#This Row],[MTD Panel]]</f>
        <v>0</v>
      </c>
    </row>
    <row r="23" spans="1:9">
      <c r="A23" s="11" t="str">
        <f>Table333456789101217[[#This Row],[Carrier]]</f>
        <v>Glitch</v>
      </c>
      <c r="B23" s="5" t="str">
        <f>Table333456789101217[[#This Row],[IP]]</f>
        <v>198.204.100.12/198.204.100.34/198.204.100.51</v>
      </c>
      <c r="C23" s="6" t="str">
        <f>Table333456789101217[[#This Row],[Carrier Code]]</f>
        <v>GL</v>
      </c>
      <c r="D23" s="53">
        <v>0</v>
      </c>
      <c r="E23" s="53">
        <v>0</v>
      </c>
      <c r="F23" s="18">
        <f>Table3334567891012112122[[#This Row],[Company Panel]]+Table33345678910121121[[#This Row],[MTD Company]]</f>
        <v>0</v>
      </c>
      <c r="G23" s="18">
        <f>Table3334567891012112122[[#This Row],[Our panel]]+Table33345678910121121[[#This Row],[MTD Panel]]</f>
        <v>0</v>
      </c>
      <c r="H23" s="13">
        <f>Table3334567891012112122[[#This Row],[Company Panel]]-Table3334567891012112122[[#This Row],[Our panel]]</f>
        <v>0</v>
      </c>
      <c r="I23" s="13">
        <f>Table3334567891012112122[[#This Row],[MTD Company]]-Table3334567891012112122[[#This Row],[MTD Panel]]</f>
        <v>0</v>
      </c>
    </row>
    <row r="24" spans="1:9">
      <c r="A24" s="11" t="str">
        <f>Table333456789101217[[#This Row],[Carrier]]</f>
        <v>Nitro</v>
      </c>
      <c r="B24" s="5" t="str">
        <f>Table333456789101217[[#This Row],[IP]]</f>
        <v>15.150.200.33/119.82.200.100</v>
      </c>
      <c r="C24" s="6" t="str">
        <f>Table333456789101217[[#This Row],[Carrier Code]]</f>
        <v>NI</v>
      </c>
      <c r="D24" s="53">
        <v>0</v>
      </c>
      <c r="E24" s="53">
        <v>0</v>
      </c>
      <c r="F24" s="18">
        <f>Table3334567891012112122[[#This Row],[Company Panel]]+Table33345678910121121[[#This Row],[MTD Company]]</f>
        <v>0</v>
      </c>
      <c r="G24" s="18">
        <f>Table3334567891012112122[[#This Row],[Our panel]]+Table33345678910121121[[#This Row],[MTD Panel]]</f>
        <v>0</v>
      </c>
      <c r="H24" s="13">
        <f>Table3334567891012112122[[#This Row],[Company Panel]]-Table3334567891012112122[[#This Row],[Our panel]]</f>
        <v>0</v>
      </c>
      <c r="I24" s="13">
        <f>Table3334567891012112122[[#This Row],[MTD Company]]-Table3334567891012112122[[#This Row],[MTD Panel]]</f>
        <v>0</v>
      </c>
    </row>
    <row r="25" spans="1:9">
      <c r="A25" s="11" t="str">
        <f>Table333456789101217[[#This Row],[Carrier]]</f>
        <v>Drip</v>
      </c>
      <c r="B25" s="5" t="str">
        <f>Table333456789101217[[#This Row],[IP]]</f>
        <v>84.13.76.190/90.945.80.11/198.160.234.5</v>
      </c>
      <c r="C25" s="6" t="str">
        <f>Table333456789101217[[#This Row],[Carrier Code]]</f>
        <v>DR</v>
      </c>
      <c r="D25" s="53">
        <v>0</v>
      </c>
      <c r="E25" s="53">
        <v>0</v>
      </c>
      <c r="F25" s="18">
        <f>Table3334567891012112122[[#This Row],[Company Panel]]+Table33345678910121121[[#This Row],[MTD Company]]</f>
        <v>0</v>
      </c>
      <c r="G25" s="18">
        <f>Table3334567891012112122[[#This Row],[Our panel]]+Table33345678910121121[[#This Row],[MTD Panel]]</f>
        <v>0</v>
      </c>
      <c r="H25" s="13">
        <f>Table3334567891012112122[[#This Row],[Company Panel]]-Table3334567891012112122[[#This Row],[Our panel]]</f>
        <v>0</v>
      </c>
      <c r="I25" s="13">
        <f>Table3334567891012112122[[#This Row],[MTD Company]]-Table3334567891012112122[[#This Row],[MTD Panel]]</f>
        <v>0</v>
      </c>
    </row>
    <row r="26" spans="1:9">
      <c r="A26" s="11" t="str">
        <f>Table333456789101217[[#This Row],[Carrier]]</f>
        <v>Glide</v>
      </c>
      <c r="B26" s="5" t="str">
        <f>Table333456789101217[[#This Row],[IP]]</f>
        <v>120.45.12.25/85.739.221.80/85.739.221.93</v>
      </c>
      <c r="C26" s="6" t="str">
        <f>Table333456789101217[[#This Row],[Carrier Code]]</f>
        <v>GI</v>
      </c>
      <c r="D26" s="53">
        <v>0</v>
      </c>
      <c r="E26" s="53">
        <v>0</v>
      </c>
      <c r="F26" s="18">
        <f>Table3334567891012112122[[#This Row],[Company Panel]]+Table33345678910121121[[#This Row],[MTD Company]]</f>
        <v>0</v>
      </c>
      <c r="G26" s="18">
        <f>Table3334567891012112122[[#This Row],[Our panel]]+Table33345678910121121[[#This Row],[MTD Panel]]</f>
        <v>0</v>
      </c>
      <c r="H26" s="13">
        <f>Table3334567891012112122[[#This Row],[Company Panel]]-Table3334567891012112122[[#This Row],[Our panel]]</f>
        <v>0</v>
      </c>
      <c r="I26" s="13">
        <f>Table3334567891012112122[[#This Row],[MTD Company]]-Table3334567891012112122[[#This Row],[MTD Panel]]</f>
        <v>0</v>
      </c>
    </row>
    <row r="27" spans="1:9">
      <c r="A27" s="11" t="str">
        <f>Table333456789101217[[#This Row],[Carrier]]</f>
        <v>Orbit</v>
      </c>
      <c r="B27" s="5" t="str">
        <f>Table333456789101217[[#This Row],[IP]]</f>
        <v>176.98.54.112/60.110.154.91/60.110.155.162</v>
      </c>
      <c r="C27" s="6" t="str">
        <f>Table333456789101217[[#This Row],[Carrier Code]]</f>
        <v>OR</v>
      </c>
      <c r="D27" s="53">
        <v>0</v>
      </c>
      <c r="E27" s="53">
        <v>0</v>
      </c>
      <c r="F27" s="18">
        <f>Table3334567891012112122[[#This Row],[Company Panel]]+Table33345678910121121[[#This Row],[MTD Company]]</f>
        <v>0</v>
      </c>
      <c r="G27" s="18">
        <f>Table3334567891012112122[[#This Row],[Our panel]]+Table33345678910121121[[#This Row],[MTD Panel]]</f>
        <v>0</v>
      </c>
      <c r="H27" s="13">
        <f>Table3334567891012112122[[#This Row],[Company Panel]]-Table3334567891012112122[[#This Row],[Our panel]]</f>
        <v>0</v>
      </c>
      <c r="I27" s="13">
        <f>Table3334567891012112122[[#This Row],[MTD Company]]-Table3334567891012112122[[#This Row],[MTD Panel]]</f>
        <v>0</v>
      </c>
    </row>
    <row r="28" spans="1:9">
      <c r="A28" s="11" t="str">
        <f>Table333456789101217[[#This Row],[Carrier]]</f>
        <v>Thunder</v>
      </c>
      <c r="B28" s="5" t="str">
        <f>Table333456789101217[[#This Row],[IP]]</f>
        <v>67.102.200.9/81.905.48.847/143.235.100.34</v>
      </c>
      <c r="C28" s="6" t="str">
        <f>Table333456789101217[[#This Row],[Carrier Code]]</f>
        <v>TU</v>
      </c>
      <c r="D28" s="53">
        <v>9.8333333333333339</v>
      </c>
      <c r="E28" s="53">
        <v>9.8333333333333339</v>
      </c>
      <c r="F28" s="18">
        <f>Table3334567891012112122[[#This Row],[Company Panel]]+Table33345678910121121[[#This Row],[MTD Company]]</f>
        <v>348.36666666666656</v>
      </c>
      <c r="G28" s="18">
        <f>Table3334567891012112122[[#This Row],[Our panel]]+Table33345678910121121[[#This Row],[MTD Panel]]</f>
        <v>348.36666666666656</v>
      </c>
      <c r="H28" s="13">
        <f>Table3334567891012112122[[#This Row],[Company Panel]]-Table3334567891012112122[[#This Row],[Our panel]]</f>
        <v>0</v>
      </c>
      <c r="I28" s="13">
        <f>Table3334567891012112122[[#This Row],[MTD Company]]-Table3334567891012112122[[#This Row],[MTD Panel]]</f>
        <v>0</v>
      </c>
    </row>
    <row r="29" spans="1:9">
      <c r="A29" s="11" t="str">
        <f>Table333456789101217[[#This Row],[Carrier]]</f>
        <v>Glimmer</v>
      </c>
      <c r="B29" s="5" t="str">
        <f>Table333456789101217[[#This Row],[IP]]</f>
        <v>99.22.211.100/71.54.85.344/71.54.85.218</v>
      </c>
      <c r="C29" s="6" t="str">
        <f>Table333456789101217[[#This Row],[Carrier Code]]</f>
        <v>GM</v>
      </c>
      <c r="D29" s="53">
        <v>0</v>
      </c>
      <c r="E29" s="53">
        <v>0</v>
      </c>
      <c r="F29" s="18">
        <f>Table3334567891012112122[[#This Row],[Company Panel]]+Table33345678910121121[[#This Row],[MTD Company]]</f>
        <v>0</v>
      </c>
      <c r="G29" s="18">
        <f>Table3334567891012112122[[#This Row],[Our panel]]+Table33345678910121121[[#This Row],[MTD Panel]]</f>
        <v>0</v>
      </c>
      <c r="H29" s="13">
        <f>Table3334567891012112122[[#This Row],[Company Panel]]-Table3334567891012112122[[#This Row],[Our panel]]</f>
        <v>0</v>
      </c>
      <c r="I29" s="13">
        <f>Table3334567891012112122[[#This Row],[MTD Company]]-Table3334567891012112122[[#This Row],[MTD Panel]]</f>
        <v>0</v>
      </c>
    </row>
    <row r="30" spans="1:9">
      <c r="A30" s="11" t="str">
        <f>Table333456789101217[[#This Row],[Carrier]]</f>
        <v>Fragment</v>
      </c>
      <c r="B30" s="5" t="str">
        <f>Table333456789101217[[#This Row],[IP]]</f>
        <v>203.0.113.56/195.56.101.10</v>
      </c>
      <c r="C30" s="6" t="str">
        <f>Table333456789101217[[#This Row],[Carrier Code]]</f>
        <v>FR</v>
      </c>
      <c r="D30" s="53">
        <v>0</v>
      </c>
      <c r="E30" s="53">
        <v>0</v>
      </c>
      <c r="F30" s="18">
        <f>Table3334567891012112122[[#This Row],[Company Panel]]+Table33345678910121121[[#This Row],[MTD Company]]</f>
        <v>0</v>
      </c>
      <c r="G30" s="18">
        <f>Table3334567891012112122[[#This Row],[Our panel]]+Table33345678910121121[[#This Row],[MTD Panel]]</f>
        <v>0</v>
      </c>
      <c r="H30" s="13">
        <f>Table3334567891012112122[[#This Row],[Company Panel]]-Table3334567891012112122[[#This Row],[Our panel]]</f>
        <v>0</v>
      </c>
      <c r="I30" s="13">
        <f>Table3334567891012112122[[#This Row],[MTD Company]]-Table3334567891012112122[[#This Row],[MTD Panel]]</f>
        <v>0</v>
      </c>
    </row>
    <row r="31" spans="1:9">
      <c r="A31" s="11" t="str">
        <f>Table333456789101217[[#This Row],[Carrier]]</f>
        <v>Dusk</v>
      </c>
      <c r="B31" s="5" t="str">
        <f>Table333456789101217[[#This Row],[IP]]</f>
        <v>33.44.55.66/33.44.55.84/33.44.55.122/214.68.90.122</v>
      </c>
      <c r="C31" s="6" t="str">
        <f>Table333456789101217[[#This Row],[Carrier Code]]</f>
        <v>DK</v>
      </c>
      <c r="D31" s="53">
        <v>0</v>
      </c>
      <c r="E31" s="53">
        <v>0</v>
      </c>
      <c r="F31" s="18">
        <f>Table3334567891012112122[[#This Row],[Company Panel]]+Table33345678910121121[[#This Row],[MTD Company]]</f>
        <v>0</v>
      </c>
      <c r="G31" s="18">
        <f>Table3334567891012112122[[#This Row],[Our panel]]+Table33345678910121121[[#This Row],[MTD Panel]]</f>
        <v>0</v>
      </c>
      <c r="H31" s="13">
        <f>Table3334567891012112122[[#This Row],[Company Panel]]-Table3334567891012112122[[#This Row],[Our panel]]</f>
        <v>0</v>
      </c>
      <c r="I31" s="13">
        <f>Table3334567891012112122[[#This Row],[MTD Company]]-Table3334567891012112122[[#This Row],[MTD Panel]]</f>
        <v>0</v>
      </c>
    </row>
    <row r="32" spans="1:9">
      <c r="A32" s="11" t="str">
        <f>Table333456789101217[[#This Row],[Carrier]]</f>
        <v>Breeze</v>
      </c>
      <c r="B32" s="5" t="str">
        <f>Table333456789101217[[#This Row],[IP]]</f>
        <v>199.123.87.45/199.123.34.52/77.189.22.56</v>
      </c>
      <c r="C32" s="6" t="str">
        <f>Table333456789101217[[#This Row],[Carrier Code]]</f>
        <v>BR</v>
      </c>
      <c r="D32" s="53">
        <v>0</v>
      </c>
      <c r="E32" s="53">
        <v>0</v>
      </c>
      <c r="F32" s="18">
        <f>Table3334567891012112122[[#This Row],[Company Panel]]+Table33345678910121121[[#This Row],[MTD Company]]</f>
        <v>0</v>
      </c>
      <c r="G32" s="18">
        <f>Table3334567891012112122[[#This Row],[Our panel]]+Table33345678910121121[[#This Row],[MTD Panel]]</f>
        <v>0</v>
      </c>
      <c r="H32" s="13">
        <f>Table3334567891012112122[[#This Row],[Company Panel]]-Table3334567891012112122[[#This Row],[Our panel]]</f>
        <v>0</v>
      </c>
      <c r="I32" s="13">
        <f>Table3334567891012112122[[#This Row],[MTD Company]]-Table3334567891012112122[[#This Row],[MTD Panel]]</f>
        <v>0</v>
      </c>
    </row>
    <row r="33" spans="1:9">
      <c r="A33" s="11" t="str">
        <f>Table333456789101217[[#This Row],[Carrier]]</f>
        <v>Clutch</v>
      </c>
      <c r="B33" s="5" t="str">
        <f>Table333456789101217[[#This Row],[IP]]</f>
        <v>55.66.77.88/84.126.79.28/152.233.45.11</v>
      </c>
      <c r="C33" s="6" t="str">
        <f>Table333456789101217[[#This Row],[Carrier Code]]</f>
        <v>CL</v>
      </c>
      <c r="D33" s="53">
        <v>0</v>
      </c>
      <c r="E33" s="53">
        <v>0</v>
      </c>
      <c r="F33" s="18">
        <f>Table3334567891012112122[[#This Row],[Company Panel]]+Table33345678910121121[[#This Row],[MTD Company]]</f>
        <v>0</v>
      </c>
      <c r="G33" s="18">
        <f>Table3334567891012112122[[#This Row],[Our panel]]+Table33345678910121121[[#This Row],[MTD Panel]]</f>
        <v>0</v>
      </c>
      <c r="H33" s="13">
        <f>Table3334567891012112122[[#This Row],[Company Panel]]-Table3334567891012112122[[#This Row],[Our panel]]</f>
        <v>0</v>
      </c>
      <c r="I33" s="13">
        <f>Table3334567891012112122[[#This Row],[MTD Company]]-Table3334567891012112122[[#This Row],[MTD Panel]]</f>
        <v>0</v>
      </c>
    </row>
    <row r="34" spans="1:9">
      <c r="A34" s="11" t="str">
        <f>Table333456789101217[[#This Row],[Carrier]]</f>
        <v>Haze</v>
      </c>
      <c r="B34" s="5" t="str">
        <f>Table333456789101217[[#This Row],[IP]]</f>
        <v>230.111.44.56</v>
      </c>
      <c r="C34" s="6" t="str">
        <f>Table333456789101217[[#This Row],[Carrier Code]]</f>
        <v>HZ</v>
      </c>
      <c r="D34" s="53">
        <v>919.05</v>
      </c>
      <c r="E34" s="53">
        <v>919.05</v>
      </c>
      <c r="F34" s="18">
        <f>Table3334567891012112122[[#This Row],[Company Panel]]+Table33345678910121121[[#This Row],[MTD Company]]</f>
        <v>1388.9833333333333</v>
      </c>
      <c r="G34" s="18">
        <f>Table3334567891012112122[[#This Row],[Our panel]]+Table33345678910121121[[#This Row],[MTD Panel]]</f>
        <v>1388.9833333333333</v>
      </c>
      <c r="H34" s="63">
        <f>Table3334567891012112122[[#This Row],[Company Panel]]-Table3334567891012112122[[#This Row],[Our panel]]</f>
        <v>0</v>
      </c>
      <c r="I34" s="63">
        <f>Table3334567891012112122[[#This Row],[MTD Company]]-Table3334567891012112122[[#This Row],[MTD Panel]]</f>
        <v>0</v>
      </c>
    </row>
    <row r="35" spans="1:9">
      <c r="A35" s="11" t="str">
        <f>Table333456789101217[[#This Row],[Carrier]]</f>
        <v>Vault</v>
      </c>
      <c r="B35" s="5" t="str">
        <f>Table333456789101217[[#This Row],[IP]]</f>
        <v>213.189.94.5/213.189.94.7/111.180.64.222</v>
      </c>
      <c r="C35" s="6" t="str">
        <f>Table333456789101217[[#This Row],[Carrier Code]]</f>
        <v>VA</v>
      </c>
      <c r="D35" s="53">
        <v>0</v>
      </c>
      <c r="E35" s="53">
        <v>0</v>
      </c>
      <c r="F35" s="18">
        <f>Table3334567891012112122[[#This Row],[Company Panel]]+Table33345678910121121[[#This Row],[MTD Company]]</f>
        <v>0</v>
      </c>
      <c r="G35" s="18">
        <f>Table3334567891012112122[[#This Row],[Our panel]]+Table33345678910121121[[#This Row],[MTD Panel]]</f>
        <v>0</v>
      </c>
      <c r="H35" s="63">
        <f>Table3334567891012112122[[#This Row],[Company Panel]]-Table3334567891012112122[[#This Row],[Our panel]]</f>
        <v>0</v>
      </c>
      <c r="I35" s="63">
        <f>Table3334567891012112122[[#This Row],[MTD Company]]-Table3334567891012112122[[#This Row],[MTD Panel]]</f>
        <v>0</v>
      </c>
    </row>
    <row r="36" spans="1:9">
      <c r="A36" s="11" t="str">
        <f>Table333456789101217[[#This Row],[Carrier]]</f>
        <v>Scatter</v>
      </c>
      <c r="B36" s="5" t="str">
        <f>Table333456789101217[[#This Row],[IP]]</f>
        <v>14.123.45.67/168.251.90.15</v>
      </c>
      <c r="C36" s="6" t="str">
        <f>Table333456789101217[[#This Row],[Carrier Code]]</f>
        <v>SC</v>
      </c>
      <c r="D36" s="53">
        <v>98.316666666666663</v>
      </c>
      <c r="E36" s="53">
        <v>98.316666666666663</v>
      </c>
      <c r="F36" s="18">
        <f>Table3334567891012112122[[#This Row],[Company Panel]]+Table33345678910121121[[#This Row],[MTD Company]]</f>
        <v>693.11666666666656</v>
      </c>
      <c r="G36" s="18">
        <f>Table3334567891012112122[[#This Row],[Our panel]]+Table33345678910121121[[#This Row],[MTD Panel]]</f>
        <v>693.11666666666656</v>
      </c>
      <c r="H36" s="63">
        <f>Table3334567891012112122[[#This Row],[Company Panel]]-Table3334567891012112122[[#This Row],[Our panel]]</f>
        <v>0</v>
      </c>
      <c r="I36" s="63">
        <f>Table3334567891012112122[[#This Row],[MTD Company]]-Table3334567891012112122[[#This Row],[MTD Panel]]</f>
        <v>0</v>
      </c>
    </row>
    <row r="37" spans="1:9">
      <c r="A37" s="11" t="str">
        <f>Table333456789101217[[#This Row],[Carrier]]</f>
        <v>Hammer</v>
      </c>
      <c r="B37" s="5" t="str">
        <f>Table333456789101217[[#This Row],[IP]]</f>
        <v>200.111.78.9/200.111.236.62/200.111.823.89/137.79.48.56</v>
      </c>
      <c r="C37" s="6" t="str">
        <f>Table333456789101217[[#This Row],[Carrier Code]]</f>
        <v>HA</v>
      </c>
      <c r="D37" s="53">
        <v>0</v>
      </c>
      <c r="E37" s="53">
        <v>0</v>
      </c>
      <c r="F37" s="18">
        <f>Table3334567891012112122[[#This Row],[Company Panel]]+Table33345678910121121[[#This Row],[MTD Company]]</f>
        <v>0</v>
      </c>
      <c r="G37" s="18">
        <f>Table3334567891012112122[[#This Row],[Our panel]]+Table33345678910121121[[#This Row],[MTD Panel]]</f>
        <v>0</v>
      </c>
      <c r="H37" s="72">
        <f>Table3334567891012112122[[#This Row],[Company Panel]]-Table3334567891012112122[[#This Row],[Our panel]]</f>
        <v>0</v>
      </c>
      <c r="I37" s="72">
        <f>Table3334567891012112122[[#This Row],[MTD Company]]-Table3334567891012112122[[#This Row],[MTD Panel]]</f>
        <v>0</v>
      </c>
    </row>
    <row r="38" spans="1:9">
      <c r="A38" s="11" t="str">
        <f>Table333456789101217[[#This Row],[Carrier]]</f>
        <v>Smudge</v>
      </c>
      <c r="B38" s="5" t="str">
        <f>Table333456789101217[[#This Row],[IP]]</f>
        <v>88.99.233.56/54.71.99.234</v>
      </c>
      <c r="C38" s="6" t="str">
        <f>Table333456789101217[[#This Row],[Carrier Code]]</f>
        <v>SM</v>
      </c>
      <c r="D38" s="53">
        <v>85.25</v>
      </c>
      <c r="E38" s="53">
        <v>85.25</v>
      </c>
      <c r="F38" s="18">
        <f>Table3334567891012112122[[#This Row],[Company Panel]]+Table33345678910121121[[#This Row],[MTD Company]]</f>
        <v>248.13333333333333</v>
      </c>
      <c r="G38" s="18">
        <f>Table3334567891012112122[[#This Row],[Our panel]]+Table33345678910121121[[#This Row],[MTD Panel]]</f>
        <v>248.13333333333333</v>
      </c>
      <c r="H38" s="72">
        <f>Table3334567891012112122[[#This Row],[Company Panel]]-Table3334567891012112122[[#This Row],[Our panel]]</f>
        <v>0</v>
      </c>
      <c r="I38" s="72">
        <f>Table3334567891012112122[[#This Row],[MTD Company]]-Table3334567891012112122[[#This Row],[MTD Panel]]</f>
        <v>0</v>
      </c>
    </row>
    <row r="39" spans="1:9">
      <c r="A39" s="11" t="str">
        <f>Table333456789101217[[#This Row],[Carrier]]</f>
        <v>Quirk</v>
      </c>
      <c r="B39" s="5" t="str">
        <f>Table333456789101217[[#This Row],[IP]]</f>
        <v>62.45.100.31/62.45.100.15/62.45.100.65/211.95.102.6</v>
      </c>
      <c r="C39" s="6" t="str">
        <f>Table333456789101217[[#This Row],[Carrier Code]]</f>
        <v>QU</v>
      </c>
      <c r="D39" s="53">
        <v>4016.1333333333332</v>
      </c>
      <c r="E39" s="53">
        <v>4016.1333333333332</v>
      </c>
      <c r="F39" s="18">
        <f>Table3334567891012112122[[#This Row],[Company Panel]]+Table33345678910121121[[#This Row],[MTD Company]]</f>
        <v>27783.299999999996</v>
      </c>
      <c r="G39" s="18">
        <f>Table3334567891012112122[[#This Row],[Our panel]]+Table33345678910121121[[#This Row],[MTD Panel]]</f>
        <v>27783.299999999996</v>
      </c>
      <c r="H39" s="72">
        <f>Table3334567891012112122[[#This Row],[Company Panel]]-Table3334567891012112122[[#This Row],[Our panel]]</f>
        <v>0</v>
      </c>
      <c r="I39" s="72">
        <f>Table3334567891012112122[[#This Row],[MTD Company]]-Table3334567891012112122[[#This Row],[MTD Panel]]</f>
        <v>0</v>
      </c>
    </row>
    <row r="40" spans="1:9">
      <c r="A40" s="11" t="str">
        <f>Table333456789101217[[#This Row],[Carrier]]</f>
        <v>Vortex</v>
      </c>
      <c r="B40" s="5" t="str">
        <f>Table333456789101217[[#This Row],[IP]]</f>
        <v>179.250.91.8/29.540.67.457/94.25.34.78/183.144.27.18</v>
      </c>
      <c r="C40" s="6" t="str">
        <f>Table333456789101217[[#This Row],[Carrier Code]]</f>
        <v>VT</v>
      </c>
      <c r="D40" s="53">
        <v>0</v>
      </c>
      <c r="E40" s="53">
        <v>0</v>
      </c>
      <c r="F40" s="18">
        <f>Table3334567891012112122[[#This Row],[Company Panel]]+Table33345678910121121[[#This Row],[MTD Company]]</f>
        <v>0</v>
      </c>
      <c r="G40" s="18">
        <f>Table3334567891012112122[[#This Row],[Our panel]]+Table33345678910121121[[#This Row],[MTD Panel]]</f>
        <v>0</v>
      </c>
      <c r="H40" s="72">
        <f>Table3334567891012112122[[#This Row],[Company Panel]]-Table3334567891012112122[[#This Row],[Our panel]]</f>
        <v>0</v>
      </c>
      <c r="I40" s="72">
        <f>Table3334567891012112122[[#This Row],[MTD Company]]-Table3334567891012112122[[#This Row],[MTD Panel]]</f>
        <v>0</v>
      </c>
    </row>
    <row r="41" spans="1:9">
      <c r="A41" s="11" t="str">
        <f>Table333456789101217[[#This Row],[Carrier]]</f>
        <v>Void</v>
      </c>
      <c r="B41" s="5" t="str">
        <f>Table333456789101217[[#This Row],[IP]]</f>
        <v>156.34.123.11/156.34.123.25/156.34.123.62/92.44.233.110</v>
      </c>
      <c r="C41" s="6" t="str">
        <f>Table333456789101217[[#This Row],[Carrier Code]]</f>
        <v>VO</v>
      </c>
      <c r="D41" s="53">
        <v>31.6</v>
      </c>
      <c r="E41" s="53">
        <v>31.6</v>
      </c>
      <c r="F41" s="18">
        <f>Table3334567891012112122[[#This Row],[Company Panel]]+Table33345678910121121[[#This Row],[MTD Company]]</f>
        <v>691.9</v>
      </c>
      <c r="G41" s="18">
        <f>Table3334567891012112122[[#This Row],[Our panel]]+Table33345678910121121[[#This Row],[MTD Panel]]</f>
        <v>691.9</v>
      </c>
      <c r="H41" s="72">
        <f>Table3334567891012112122[[#This Row],[Company Panel]]-Table3334567891012112122[[#This Row],[Our panel]]</f>
        <v>0</v>
      </c>
      <c r="I41" s="72">
        <f>Table3334567891012112122[[#This Row],[MTD Company]]-Table3334567891012112122[[#This Row],[MTD Panel]]</f>
        <v>0</v>
      </c>
    </row>
    <row r="42" spans="1:9">
      <c r="A42" s="11" t="str">
        <f>Table333456789101217[[#This Row],[Carrier]]</f>
        <v>Midnight</v>
      </c>
      <c r="B42" s="5" t="str">
        <f>Table333456789101217[[#This Row],[IP]]</f>
        <v>134.77.22.4/23.97.150.8</v>
      </c>
      <c r="C42" s="6" t="str">
        <f>Table333456789101217[[#This Row],[Carrier Code]]</f>
        <v>MI</v>
      </c>
      <c r="D42" s="53">
        <v>1282.4166666666667</v>
      </c>
      <c r="E42" s="53">
        <v>1282.4166666666667</v>
      </c>
      <c r="F42" s="18">
        <f>Table3334567891012112122[[#This Row],[Company Panel]]+Table33345678910121121[[#This Row],[MTD Company]]</f>
        <v>5848.4000000000005</v>
      </c>
      <c r="G42" s="18">
        <f>Table3334567891012112122[[#This Row],[Our panel]]+Table33345678910121121[[#This Row],[MTD Panel]]</f>
        <v>5848.4000000000005</v>
      </c>
      <c r="H42" s="72">
        <f>Table3334567891012112122[[#This Row],[Company Panel]]-Table3334567891012112122[[#This Row],[Our panel]]</f>
        <v>0</v>
      </c>
      <c r="I42" s="72">
        <f>Table3334567891012112122[[#This Row],[MTD Company]]-Table3334567891012112122[[#This Row],[MTD Panel]]</f>
        <v>0</v>
      </c>
    </row>
    <row r="43" spans="1:9">
      <c r="A43" s="11" t="str">
        <f>Table333456789101217[[#This Row],[Carrier]]</f>
        <v>Autumn</v>
      </c>
      <c r="B43" s="5" t="str">
        <f>Table333456789101217[[#This Row],[IP]]</f>
        <v>202.54.210.88/12.331.94.73/64.19.28.175</v>
      </c>
      <c r="C43" s="6" t="str">
        <f>Table333456789101217[[#This Row],[Carrier Code]]</f>
        <v>AU</v>
      </c>
      <c r="D43" s="53">
        <v>20.316666666666666</v>
      </c>
      <c r="E43" s="53">
        <v>20.316666666666666</v>
      </c>
      <c r="F43" s="18">
        <f>Table3334567891012112122[[#This Row],[Company Panel]]+Table33345678910121121[[#This Row],[MTD Company]]</f>
        <v>243.95</v>
      </c>
      <c r="G43" s="18">
        <f>Table3334567891012112122[[#This Row],[Our panel]]+Table33345678910121121[[#This Row],[MTD Panel]]</f>
        <v>243.95</v>
      </c>
      <c r="H43" s="72">
        <f>Table3334567891012112122[[#This Row],[Company Panel]]-Table3334567891012112122[[#This Row],[Our panel]]</f>
        <v>0</v>
      </c>
      <c r="I43" s="72">
        <f>Table3334567891012112122[[#This Row],[MTD Company]]-Table3334567891012112122[[#This Row],[MTD Panel]]</f>
        <v>0</v>
      </c>
    </row>
    <row r="44" spans="1:9">
      <c r="A44" s="11" t="str">
        <f>Table333456789101217[[#This Row],[Carrier]]</f>
        <v>Mystic</v>
      </c>
      <c r="B44" s="5" t="str">
        <f>Table333456789101217[[#This Row],[IP]]</f>
        <v>51.233.21.76/82.115.35.60/82.115.35.85</v>
      </c>
      <c r="C44" s="6" t="str">
        <f>Table333456789101217[[#This Row],[Carrier Code]]</f>
        <v>MY</v>
      </c>
      <c r="D44" s="53">
        <v>0</v>
      </c>
      <c r="E44" s="53">
        <v>0</v>
      </c>
      <c r="F44" s="18">
        <f>Table3334567891012112122[[#This Row],[Company Panel]]+Table33345678910121121[[#This Row],[MTD Company]]</f>
        <v>0</v>
      </c>
      <c r="G44" s="18">
        <f>Table3334567891012112122[[#This Row],[Our panel]]+Table33345678910121121[[#This Row],[MTD Panel]]</f>
        <v>0</v>
      </c>
      <c r="H44" s="72">
        <f>Table3334567891012112122[[#This Row],[Company Panel]]-Table3334567891012112122[[#This Row],[Our panel]]</f>
        <v>0</v>
      </c>
      <c r="I44" s="72">
        <f>Table3334567891012112122[[#This Row],[MTD Company]]-Table3334567891012112122[[#This Row],[MTD Panel]]</f>
        <v>0</v>
      </c>
    </row>
    <row r="45" spans="1:9">
      <c r="A45" s="11" t="str">
        <f>Table333456789101217[[#This Row],[Carrier]]</f>
        <v>Clover</v>
      </c>
      <c r="B45" s="5" t="str">
        <f>Table333456789101217[[#This Row],[IP]]</f>
        <v>210.150.12.45/84.50.212.66/135.113.88.9</v>
      </c>
      <c r="C45" s="6" t="str">
        <f>Table333456789101217[[#This Row],[Carrier Code]]</f>
        <v>CO</v>
      </c>
      <c r="D45" s="53">
        <v>133.01666666666668</v>
      </c>
      <c r="E45" s="53">
        <v>133.01666666666668</v>
      </c>
      <c r="F45" s="18">
        <f>Table3334567891012112122[[#This Row],[Company Panel]]+Table33345678910121121[[#This Row],[MTD Company]]</f>
        <v>34193.28333333334</v>
      </c>
      <c r="G45" s="18">
        <f>Table3334567891012112122[[#This Row],[Our panel]]+Table33345678910121121[[#This Row],[MTD Panel]]</f>
        <v>34193.28333333334</v>
      </c>
      <c r="H45" s="78">
        <f>Table3334567891012112122[[#This Row],[Company Panel]]-Table3334567891012112122[[#This Row],[Our panel]]</f>
        <v>0</v>
      </c>
      <c r="I45" s="78">
        <f>Table3334567891012112122[[#This Row],[MTD Company]]-Table3334567891012112122[[#This Row],[MTD Panel]]</f>
        <v>0</v>
      </c>
    </row>
    <row r="46" spans="1:9">
      <c r="A46" s="11" t="str">
        <f>Table333456789101217[[#This Row],[Carrier]]</f>
        <v>Hunter</v>
      </c>
      <c r="B46" s="5" t="str">
        <f>Table333456789101217[[#This Row],[IP]]</f>
        <v>170.199.20.87/13.693.39.280/78.30.123.47</v>
      </c>
      <c r="C46" s="6" t="str">
        <f>Table333456789101217[[#This Row],[Carrier Code]]</f>
        <v>HU</v>
      </c>
      <c r="D46" s="53">
        <v>393.41666666666669</v>
      </c>
      <c r="E46" s="53">
        <v>393.41666666666669</v>
      </c>
      <c r="F46" s="18">
        <f>Table3334567891012112122[[#This Row],[Company Panel]]+Table33345678910121121[[#This Row],[MTD Company]]</f>
        <v>5880.75</v>
      </c>
      <c r="G46" s="18">
        <f>Table3334567891012112122[[#This Row],[Our panel]]+Table33345678910121121[[#This Row],[MTD Panel]]</f>
        <v>5880.75</v>
      </c>
      <c r="H46" s="13">
        <f>Table3334567891012112122[[#This Row],[Company Panel]]-Table3334567891012112122[[#This Row],[Our panel]]</f>
        <v>0</v>
      </c>
      <c r="I46" s="13">
        <f>Table3334567891012112122[[#This Row],[MTD Company]]-Table3334567891012112122[[#This Row],[MTD Panel]]</f>
        <v>0</v>
      </c>
    </row>
    <row r="47" spans="1:9">
      <c r="A47" s="11" t="str">
        <f>Table333456789101217[[#This Row],[Carrier]]</f>
        <v>Invaded</v>
      </c>
      <c r="B47" s="5" t="str">
        <f>Table333456789101217[[#This Row],[IP]]</f>
        <v>182.67.99.120/80.518.230.410/26.847.95.107/188.12.67.92</v>
      </c>
      <c r="C47" s="6" t="str">
        <f>Table333456789101217[[#This Row],[Carrier Code]]</f>
        <v>ID</v>
      </c>
      <c r="D47" s="7">
        <v>0</v>
      </c>
      <c r="E47" s="7">
        <v>0</v>
      </c>
      <c r="F47" s="18">
        <f>Table3334567891012112122[[#This Row],[Company Panel]]+Table33345678910121121[[#This Row],[MTD Company]]</f>
        <v>0</v>
      </c>
      <c r="G47" s="18">
        <f>Table3334567891012112122[[#This Row],[Our panel]]+Table33345678910121121[[#This Row],[MTD Panel]]</f>
        <v>0</v>
      </c>
      <c r="H47" s="13">
        <f>Table3334567891012112122[[#This Row],[Company Panel]]-Table3334567891012112122[[#This Row],[Our panel]]</f>
        <v>0</v>
      </c>
      <c r="I47" s="13">
        <f>Table3334567891012112122[[#This Row],[MTD Company]]-Table3334567891012112122[[#This Row],[MTD Panel]]</f>
        <v>0</v>
      </c>
    </row>
    <row r="48" spans="1:9">
      <c r="A48" s="11" t="str">
        <f>Table333456789101217[[#This Row],[Carrier]]</f>
        <v>Delusion</v>
      </c>
      <c r="B48" s="5" t="str">
        <f>Table333456789101217[[#This Row],[IP]]</f>
        <v>198.51.100.72/69.887.74.738/39.153.110.645</v>
      </c>
      <c r="C48" s="6" t="str">
        <f>Table333456789101217[[#This Row],[Carrier Code]]</f>
        <v>DU</v>
      </c>
      <c r="D48" s="7">
        <v>0</v>
      </c>
      <c r="E48" s="7">
        <v>0</v>
      </c>
      <c r="F48" s="18">
        <f>Table3334567891012112122[[#This Row],[Company Panel]]+Table33345678910121121[[#This Row],[MTD Company]]</f>
        <v>0</v>
      </c>
      <c r="G48" s="18">
        <f>Table3334567891012112122[[#This Row],[Our panel]]+Table33345678910121121[[#This Row],[MTD Panel]]</f>
        <v>0</v>
      </c>
      <c r="H48" s="13">
        <f>Table3334567891012112122[[#This Row],[Company Panel]]-Table3334567891012112122[[#This Row],[Our panel]]</f>
        <v>0</v>
      </c>
      <c r="I48" s="13">
        <f>Table3334567891012112122[[#This Row],[MTD Company]]-Table3334567891012112122[[#This Row],[MTD Panel]]</f>
        <v>0</v>
      </c>
    </row>
    <row r="49" spans="1:9" ht="15.5">
      <c r="A49" s="11" t="str">
        <f>Table333456789101217[[#This Row],[Carrier]]</f>
        <v>Total</v>
      </c>
      <c r="B49" s="14"/>
      <c r="C49" s="15"/>
      <c r="D49" s="16">
        <f>SUM(D3:D48)</f>
        <v>7911.8833333333341</v>
      </c>
      <c r="E49" s="16">
        <f t="shared" ref="E49:I49" si="0">SUM(E3:E48)</f>
        <v>7911.8833333333341</v>
      </c>
      <c r="F49" s="16">
        <f t="shared" si="0"/>
        <v>153718.36666666664</v>
      </c>
      <c r="G49" s="16">
        <f t="shared" si="0"/>
        <v>153718.36666666664</v>
      </c>
      <c r="H49" s="16">
        <f t="shared" si="0"/>
        <v>0</v>
      </c>
      <c r="I49" s="16">
        <f t="shared" si="0"/>
        <v>0</v>
      </c>
    </row>
    <row r="51" spans="1:9">
      <c r="G51" s="52"/>
    </row>
    <row r="52" spans="1:9">
      <c r="G52" s="9"/>
    </row>
  </sheetData>
  <conditionalFormatting sqref="H2:I48">
    <cfRule type="cellIs" dxfId="300" priority="12" operator="lessThan">
      <formula>0</formula>
    </cfRule>
  </conditionalFormatting>
  <conditionalFormatting sqref="I30:I48">
    <cfRule type="cellIs" dxfId="299" priority="11" operator="lessThan">
      <formula>0</formula>
    </cfRule>
  </conditionalFormatting>
  <conditionalFormatting sqref="H3:I48">
    <cfRule type="cellIs" dxfId="298" priority="10" operator="lessThan">
      <formula>0</formula>
    </cfRule>
  </conditionalFormatting>
  <conditionalFormatting sqref="I30:I48">
    <cfRule type="cellIs" dxfId="297" priority="9" operator="lessThan">
      <formula>0</formula>
    </cfRule>
  </conditionalFormatting>
  <conditionalFormatting sqref="I3:I48">
    <cfRule type="cellIs" dxfId="296" priority="1" operator="lessThan">
      <formula>0</formula>
    </cfRule>
    <cfRule type="cellIs" dxfId="295" priority="2" operator="lessThan">
      <formula>0</formula>
    </cfRule>
  </conditionalFormatting>
  <hyperlinks>
    <hyperlink ref="E1" location="H!A1" display="Home"/>
    <hyperlink ref="D1" location="'14'!D1" display="←"/>
    <hyperlink ref="F1" location="'16'!F1" display="→"/>
  </hyperlink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3"/>
  <sheetViews>
    <sheetView zoomScaleNormal="100" workbookViewId="0">
      <selection activeCell="D3" sqref="D3"/>
    </sheetView>
  </sheetViews>
  <sheetFormatPr defaultRowHeight="14.5"/>
  <cols>
    <col min="1" max="1" width="26.7265625" bestFit="1" customWidth="1"/>
    <col min="2" max="2" width="37" bestFit="1" customWidth="1"/>
    <col min="3" max="3" width="10.453125" customWidth="1"/>
    <col min="4" max="9" width="12.7265625" customWidth="1"/>
  </cols>
  <sheetData>
    <row r="1" spans="1:12" ht="18.5">
      <c r="A1" s="23" t="str">
        <f>H!A17</f>
        <v>16th April 2025</v>
      </c>
      <c r="B1" s="24"/>
      <c r="C1" s="24"/>
      <c r="D1" s="22" t="s">
        <v>16</v>
      </c>
      <c r="E1" s="22" t="s">
        <v>9</v>
      </c>
      <c r="F1" s="22" t="s">
        <v>17</v>
      </c>
    </row>
    <row r="2" spans="1:12" ht="31">
      <c r="A2" s="1" t="s">
        <v>0</v>
      </c>
      <c r="B2" s="2" t="s">
        <v>1</v>
      </c>
      <c r="C2" s="2" t="s">
        <v>2</v>
      </c>
      <c r="D2" s="2" t="s">
        <v>3</v>
      </c>
      <c r="E2" s="2" t="s">
        <v>11</v>
      </c>
      <c r="F2" s="2" t="s">
        <v>4</v>
      </c>
      <c r="G2" s="4" t="s">
        <v>6</v>
      </c>
      <c r="H2" s="4" t="s">
        <v>7</v>
      </c>
      <c r="I2" s="3" t="s">
        <v>8</v>
      </c>
    </row>
    <row r="3" spans="1:12">
      <c r="A3" s="11" t="str">
        <f>Table333456789101217[[#This Row],[Carrier]]</f>
        <v>Blaze</v>
      </c>
      <c r="B3" s="5" t="str">
        <f>Table333456789101217[[#This Row],[IP]]</f>
        <v>8.12.34.56/48.163.17.845/60.502.86.203/191.45.28.14</v>
      </c>
      <c r="C3" s="6" t="str">
        <f>Table333456789101217[[#This Row],[Carrier Code]]</f>
        <v>BZ</v>
      </c>
      <c r="D3" s="53">
        <v>0</v>
      </c>
      <c r="E3" s="53">
        <v>0</v>
      </c>
      <c r="F3" s="18">
        <f>Table333456789101211212223[[#This Row],[Company Panel]]+Table3334567891012112122[[#This Row],[MTD Company]]</f>
        <v>0</v>
      </c>
      <c r="G3" s="18">
        <f>Table333456789101211212223[[#This Row],[Our panel]]+Table3334567891012112122[[#This Row],[MTD Panel]]</f>
        <v>0</v>
      </c>
      <c r="H3" s="13">
        <f>Table333456789101211212223[[#This Row],[Company Panel]]-Table333456789101211212223[[#This Row],[Our panel]]</f>
        <v>0</v>
      </c>
      <c r="I3" s="13">
        <f>Table333456789101211212223[[#This Row],[MTD Company]]-Table333456789101211212223[[#This Row],[MTD Panel]]</f>
        <v>0</v>
      </c>
    </row>
    <row r="4" spans="1:12">
      <c r="A4" s="11" t="str">
        <f>Table333456789101217[[#This Row],[Carrier]]</f>
        <v>Titan</v>
      </c>
      <c r="B4" s="5" t="str">
        <f>Table333456789101217[[#This Row],[IP]]</f>
        <v>123.45.67.89/123.45.67.93/203.24.101.65</v>
      </c>
      <c r="C4" s="6" t="str">
        <f>Table333456789101217[[#This Row],[Carrier Code]]</f>
        <v>TI</v>
      </c>
      <c r="D4" s="53">
        <v>1.2833333333333334</v>
      </c>
      <c r="E4" s="53">
        <v>1.2833333333333334</v>
      </c>
      <c r="F4" s="18">
        <f>Table333456789101211212223[[#This Row],[Company Panel]]+Table3334567891012112122[[#This Row],[MTD Company]]</f>
        <v>323.95</v>
      </c>
      <c r="G4" s="18">
        <f>Table333456789101211212223[[#This Row],[Our panel]]+Table3334567891012112122[[#This Row],[MTD Panel]]</f>
        <v>323.95</v>
      </c>
      <c r="H4" s="13">
        <f>Table333456789101211212223[[#This Row],[Company Panel]]-Table333456789101211212223[[#This Row],[Our panel]]</f>
        <v>0</v>
      </c>
      <c r="I4" s="13">
        <f>Table333456789101211212223[[#This Row],[MTD Company]]-Table333456789101211212223[[#This Row],[MTD Panel]]</f>
        <v>0</v>
      </c>
      <c r="L4" s="9"/>
    </row>
    <row r="5" spans="1:12">
      <c r="A5" s="11" t="str">
        <f>Table333456789101217[[#This Row],[Carrier]]</f>
        <v>Hollow</v>
      </c>
      <c r="B5" s="5" t="str">
        <f>Table333456789101217[[#This Row],[IP]]</f>
        <v>204.56.78.100/204.56.57.169/52.94.101.12</v>
      </c>
      <c r="C5" s="6" t="str">
        <f>Table333456789101217[[#This Row],[Carrier Code]]</f>
        <v>HO</v>
      </c>
      <c r="D5" s="53">
        <v>0</v>
      </c>
      <c r="E5" s="53">
        <v>0</v>
      </c>
      <c r="F5" s="18">
        <f>Table333456789101211212223[[#This Row],[Company Panel]]+Table3334567891012112122[[#This Row],[MTD Company]]</f>
        <v>0</v>
      </c>
      <c r="G5" s="18">
        <f>Table333456789101211212223[[#This Row],[Our panel]]+Table3334567891012112122[[#This Row],[MTD Panel]]</f>
        <v>0</v>
      </c>
      <c r="H5" s="13">
        <f>Table333456789101211212223[[#This Row],[Company Panel]]-Table333456789101211212223[[#This Row],[Our panel]]</f>
        <v>0</v>
      </c>
      <c r="I5" s="13">
        <f>Table333456789101211212223[[#This Row],[MTD Company]]-Table333456789101211212223[[#This Row],[MTD Panel]]</f>
        <v>0</v>
      </c>
    </row>
    <row r="6" spans="1:12">
      <c r="A6" s="11" t="str">
        <f>Table333456789101217[[#This Row],[Carrier]]</f>
        <v>Prism</v>
      </c>
      <c r="B6" s="5" t="str">
        <f>Table333456789101217[[#This Row],[IP]]</f>
        <v>35.118.22.45/137.63.112.25</v>
      </c>
      <c r="C6" s="6" t="str">
        <f>Table333456789101217[[#This Row],[Carrier Code]]</f>
        <v>PS</v>
      </c>
      <c r="D6" s="53">
        <v>856.7</v>
      </c>
      <c r="E6" s="53">
        <v>856.7</v>
      </c>
      <c r="F6" s="18">
        <f>Table333456789101211212223[[#This Row],[Company Panel]]+Table3334567891012112122[[#This Row],[MTD Company]]</f>
        <v>61789.149999999987</v>
      </c>
      <c r="G6" s="18">
        <f>Table333456789101211212223[[#This Row],[Our panel]]+Table3334567891012112122[[#This Row],[MTD Panel]]</f>
        <v>61789.149999999987</v>
      </c>
      <c r="H6" s="13">
        <f>Table333456789101211212223[[#This Row],[Company Panel]]-Table333456789101211212223[[#This Row],[Our panel]]</f>
        <v>0</v>
      </c>
      <c r="I6" s="13">
        <f>Table333456789101211212223[[#This Row],[MTD Company]]-Table333456789101211212223[[#This Row],[MTD Panel]]</f>
        <v>0</v>
      </c>
    </row>
    <row r="7" spans="1:12">
      <c r="A7" s="11" t="str">
        <f>Table333456789101217[[#This Row],[Carrier]]</f>
        <v>Echo</v>
      </c>
      <c r="B7" s="5" t="str">
        <f>Table333456789101217[[#This Row],[IP]]</f>
        <v>66.89.101.10/66.89.101.19/66.89.101.23/66.89.101.45/66.89.101.81/85.21.34.99</v>
      </c>
      <c r="C7" s="6" t="str">
        <f>Table333456789101217[[#This Row],[Carrier Code]]</f>
        <v>EC</v>
      </c>
      <c r="D7" s="53">
        <v>2.8166666666666669</v>
      </c>
      <c r="E7" s="53">
        <v>2.8166666666666669</v>
      </c>
      <c r="F7" s="18">
        <f>Table333456789101211212223[[#This Row],[Company Panel]]+Table3334567891012112122[[#This Row],[MTD Company]]</f>
        <v>45.366666666666674</v>
      </c>
      <c r="G7" s="18">
        <f>Table333456789101211212223[[#This Row],[Our panel]]+Table3334567891012112122[[#This Row],[MTD Panel]]</f>
        <v>45.366666666666674</v>
      </c>
      <c r="H7" s="13">
        <f>Table333456789101211212223[[#This Row],[Company Panel]]-Table333456789101211212223[[#This Row],[Our panel]]</f>
        <v>0</v>
      </c>
      <c r="I7" s="13">
        <f>Table333456789101211212223[[#This Row],[MTD Company]]-Table333456789101211212223[[#This Row],[MTD Panel]]</f>
        <v>0</v>
      </c>
    </row>
    <row r="8" spans="1:12">
      <c r="A8" s="11" t="str">
        <f>Table333456789101217[[#This Row],[Carrier]]</f>
        <v>Strike</v>
      </c>
      <c r="B8" s="5" t="str">
        <f>Table333456789101217[[#This Row],[IP]]</f>
        <v>100.200.150.3/100.200.165.38/41.102.90.78</v>
      </c>
      <c r="C8" s="6" t="str">
        <f>Table333456789101217[[#This Row],[Carrier Code]]</f>
        <v>ST</v>
      </c>
      <c r="D8" s="53">
        <v>114.33333333333333</v>
      </c>
      <c r="E8" s="53">
        <v>114.33333333333333</v>
      </c>
      <c r="F8" s="18">
        <f>Table333456789101211212223[[#This Row],[Company Panel]]+Table3334567891012112122[[#This Row],[MTD Company]]</f>
        <v>1767.4833333333329</v>
      </c>
      <c r="G8" s="18">
        <f>Table333456789101211212223[[#This Row],[Our panel]]+Table3334567891012112122[[#This Row],[MTD Panel]]</f>
        <v>1767.4833333333329</v>
      </c>
      <c r="H8" s="13">
        <f>Table333456789101211212223[[#This Row],[Company Panel]]-Table333456789101211212223[[#This Row],[Our panel]]</f>
        <v>0</v>
      </c>
      <c r="I8" s="13">
        <f>Table333456789101211212223[[#This Row],[MTD Company]]-Table333456789101211212223[[#This Row],[MTD Panel]]</f>
        <v>0</v>
      </c>
      <c r="L8" s="9"/>
    </row>
    <row r="9" spans="1:12">
      <c r="A9" s="11" t="str">
        <f>Table333456789101217[[#This Row],[Carrier]]</f>
        <v>Blunt</v>
      </c>
      <c r="B9" s="5" t="str">
        <f>Table333456789101217[[#This Row],[IP]]</f>
        <v>52.28.191.25/52.28.191.38/52.28.191.24/61.110.23.45</v>
      </c>
      <c r="C9" s="6" t="str">
        <f>Table333456789101217[[#This Row],[Carrier Code]]</f>
        <v>BL</v>
      </c>
      <c r="D9" s="53">
        <v>99.63333333333334</v>
      </c>
      <c r="E9" s="53">
        <v>99.63333333333334</v>
      </c>
      <c r="F9" s="18">
        <f>Table333456789101211212223[[#This Row],[Company Panel]]+Table3334567891012112122[[#This Row],[MTD Company]]</f>
        <v>9794.7000000000007</v>
      </c>
      <c r="G9" s="18">
        <f>Table333456789101211212223[[#This Row],[Our panel]]+Table3334567891012112122[[#This Row],[MTD Panel]]</f>
        <v>9794.7000000000007</v>
      </c>
      <c r="H9" s="13">
        <f>Table333456789101211212223[[#This Row],[Company Panel]]-Table333456789101211212223[[#This Row],[Our panel]]</f>
        <v>0</v>
      </c>
      <c r="I9" s="13">
        <f>Table333456789101211212223[[#This Row],[MTD Company]]-Table333456789101211212223[[#This Row],[MTD Panel]]</f>
        <v>0</v>
      </c>
    </row>
    <row r="10" spans="1:12">
      <c r="A10" s="11" t="str">
        <f>Table333456789101217[[#This Row],[Carrier]]</f>
        <v>Law</v>
      </c>
      <c r="B10" s="5" t="str">
        <f>Table333456789101217[[#This Row],[IP]]</f>
        <v>77.88.99.21/77.88.99.88/77.88.99.94/110.56.211.7</v>
      </c>
      <c r="C10" s="6" t="str">
        <f>Table333456789101217[[#This Row],[Carrier Code]]</f>
        <v>LA</v>
      </c>
      <c r="D10" s="53">
        <v>0</v>
      </c>
      <c r="E10" s="53">
        <v>0</v>
      </c>
      <c r="F10" s="18">
        <f>Table333456789101211212223[[#This Row],[Company Panel]]+Table3334567891012112122[[#This Row],[MTD Company]]</f>
        <v>0</v>
      </c>
      <c r="G10" s="18">
        <f>Table333456789101211212223[[#This Row],[Our panel]]+Table3334567891012112122[[#This Row],[MTD Panel]]</f>
        <v>0</v>
      </c>
      <c r="H10" s="13">
        <f>Table333456789101211212223[[#This Row],[Company Panel]]-Table333456789101211212223[[#This Row],[Our panel]]</f>
        <v>0</v>
      </c>
      <c r="I10" s="13">
        <f>Table333456789101211212223[[#This Row],[MTD Company]]-Table333456789101211212223[[#This Row],[MTD Panel]]</f>
        <v>0</v>
      </c>
    </row>
    <row r="11" spans="1:12">
      <c r="A11" s="11" t="str">
        <f>Table333456789101217[[#This Row],[Carrier]]</f>
        <v>Pulse</v>
      </c>
      <c r="B11" s="5" t="str">
        <f>Table333456789101217[[#This Row],[IP]]</f>
        <v>198.51.100.130/31.725.16.608/66.59.61.503/167.34.122.90</v>
      </c>
      <c r="C11" s="6" t="str">
        <f>Table333456789101217[[#This Row],[Carrier Code]]</f>
        <v>PU</v>
      </c>
      <c r="D11" s="53">
        <v>0</v>
      </c>
      <c r="E11" s="53">
        <v>0</v>
      </c>
      <c r="F11" s="18">
        <f>Table333456789101211212223[[#This Row],[Company Panel]]+Table3334567891012112122[[#This Row],[MTD Company]]</f>
        <v>0</v>
      </c>
      <c r="G11" s="18">
        <f>Table333456789101211212223[[#This Row],[Our panel]]+Table3334567891012112122[[#This Row],[MTD Panel]]</f>
        <v>0</v>
      </c>
      <c r="H11" s="13">
        <f>Table333456789101211212223[[#This Row],[Company Panel]]-Table333456789101211212223[[#This Row],[Our panel]]</f>
        <v>0</v>
      </c>
      <c r="I11" s="13">
        <f>Table333456789101211212223[[#This Row],[MTD Company]]-Table333456789101211212223[[#This Row],[MTD Panel]]</f>
        <v>0</v>
      </c>
    </row>
    <row r="12" spans="1:12">
      <c r="A12" s="11" t="str">
        <f>Table333456789101217[[#This Row],[Carrier]]</f>
        <v>Phantom</v>
      </c>
      <c r="B12" s="5" t="str">
        <f>Table333456789101217[[#This Row],[IP]]</f>
        <v>141.15.210.67/141.15.42.82/179.62.211.4</v>
      </c>
      <c r="C12" s="6" t="str">
        <f>Table333456789101217[[#This Row],[Carrier Code]]</f>
        <v>PH</v>
      </c>
      <c r="D12" s="53">
        <v>4.1833333333333336</v>
      </c>
      <c r="E12" s="53">
        <v>4.1833333333333336</v>
      </c>
      <c r="F12" s="18">
        <f>Table333456789101211212223[[#This Row],[Company Panel]]+Table3334567891012112122[[#This Row],[MTD Company]]</f>
        <v>3330.4999999999995</v>
      </c>
      <c r="G12" s="18">
        <f>Table333456789101211212223[[#This Row],[Our panel]]+Table3334567891012112122[[#This Row],[MTD Panel]]</f>
        <v>3330.4999999999995</v>
      </c>
      <c r="H12" s="13">
        <f>Table333456789101211212223[[#This Row],[Company Panel]]-Table333456789101211212223[[#This Row],[Our panel]]</f>
        <v>0</v>
      </c>
      <c r="I12" s="13">
        <f>Table333456789101211212223[[#This Row],[MTD Company]]-Table333456789101211212223[[#This Row],[MTD Panel]]</f>
        <v>0</v>
      </c>
    </row>
    <row r="13" spans="1:12">
      <c r="A13" s="11" t="str">
        <f>Table333456789101217[[#This Row],[Carrier]]</f>
        <v>Dragon</v>
      </c>
      <c r="B13" s="5" t="str">
        <f>Table333456789101217[[#This Row],[IP]]</f>
        <v>12.34.56.78/12.34.56.128/200.180.245.18</v>
      </c>
      <c r="C13" s="6" t="str">
        <f>Table333456789101217[[#This Row],[Carrier Code]]</f>
        <v>DG</v>
      </c>
      <c r="D13" s="53">
        <v>0</v>
      </c>
      <c r="E13" s="53">
        <v>0</v>
      </c>
      <c r="F13" s="18">
        <f>Table333456789101211212223[[#This Row],[Company Panel]]+Table3334567891012112122[[#This Row],[MTD Company]]</f>
        <v>0</v>
      </c>
      <c r="G13" s="18">
        <f>Table333456789101211212223[[#This Row],[Our panel]]+Table3334567891012112122[[#This Row],[MTD Panel]]</f>
        <v>0</v>
      </c>
      <c r="H13" s="13">
        <f>Table333456789101211212223[[#This Row],[Company Panel]]-Table333456789101211212223[[#This Row],[Our panel]]</f>
        <v>0</v>
      </c>
      <c r="I13" s="13">
        <f>Table333456789101211212223[[#This Row],[MTD Company]]-Table333456789101211212223[[#This Row],[MTD Panel]]</f>
        <v>0</v>
      </c>
    </row>
    <row r="14" spans="1:12">
      <c r="A14" s="11" t="str">
        <f>Table333456789101217[[#This Row],[Carrier]]</f>
        <v>Tempest</v>
      </c>
      <c r="B14" s="5" t="str">
        <f>Table333456789101217[[#This Row],[IP]]</f>
        <v>59.144.223.88/55.39.99.60</v>
      </c>
      <c r="C14" s="6" t="str">
        <f>Table333456789101217[[#This Row],[Carrier Code]]</f>
        <v>TE</v>
      </c>
      <c r="D14" s="53">
        <v>0</v>
      </c>
      <c r="E14" s="53">
        <v>0</v>
      </c>
      <c r="F14" s="18">
        <f>Table333456789101211212223[[#This Row],[Company Panel]]+Table3334567891012112122[[#This Row],[MTD Company]]</f>
        <v>0</v>
      </c>
      <c r="G14" s="18">
        <f>Table333456789101211212223[[#This Row],[Our panel]]+Table3334567891012112122[[#This Row],[MTD Panel]]</f>
        <v>0</v>
      </c>
      <c r="H14" s="13">
        <f>Table333456789101211212223[[#This Row],[Company Panel]]-Table333456789101211212223[[#This Row],[Our panel]]</f>
        <v>0</v>
      </c>
      <c r="I14" s="13">
        <f>Table333456789101211212223[[#This Row],[MTD Company]]-Table333456789101211212223[[#This Row],[MTD Panel]]</f>
        <v>0</v>
      </c>
    </row>
    <row r="15" spans="1:12">
      <c r="A15" s="11" t="str">
        <f>Table333456789101217[[#This Row],[Carrier]]</f>
        <v>Shadow</v>
      </c>
      <c r="B15" s="5" t="str">
        <f>Table333456789101217[[#This Row],[IP]]</f>
        <v>175.45.112.100/25.851.31.153/39.80.220.100</v>
      </c>
      <c r="C15" s="6" t="str">
        <f>Table333456789101217[[#This Row],[Carrier Code]]</f>
        <v>SH</v>
      </c>
      <c r="D15" s="53">
        <v>0</v>
      </c>
      <c r="E15" s="53">
        <v>0</v>
      </c>
      <c r="F15" s="18">
        <f>Table333456789101211212223[[#This Row],[Company Panel]]+Table3334567891012112122[[#This Row],[MTD Company]]</f>
        <v>0</v>
      </c>
      <c r="G15" s="18">
        <f>Table333456789101211212223[[#This Row],[Our panel]]+Table3334567891012112122[[#This Row],[MTD Panel]]</f>
        <v>0</v>
      </c>
      <c r="H15" s="13">
        <f>Table333456789101211212223[[#This Row],[Company Panel]]-Table333456789101211212223[[#This Row],[Our panel]]</f>
        <v>0</v>
      </c>
      <c r="I15" s="13">
        <f>Table333456789101211212223[[#This Row],[MTD Company]]-Table333456789101211212223[[#This Row],[MTD Panel]]</f>
        <v>0</v>
      </c>
    </row>
    <row r="16" spans="1:12">
      <c r="A16" s="11" t="str">
        <f>Table333456789101217[[#This Row],[Carrier]]</f>
        <v>Cyclone</v>
      </c>
      <c r="B16" s="5" t="str">
        <f>Table333456789101217[[#This Row],[IP]]</f>
        <v>150.13.75.190/16.160.89.512/72.11.97.34</v>
      </c>
      <c r="C16" s="6" t="str">
        <f>Table333456789101217[[#This Row],[Carrier Code]]</f>
        <v>CY</v>
      </c>
      <c r="D16" s="53">
        <v>0</v>
      </c>
      <c r="E16" s="53">
        <v>0</v>
      </c>
      <c r="F16" s="18">
        <f>Table333456789101211212223[[#This Row],[Company Panel]]+Table3334567891012112122[[#This Row],[MTD Company]]</f>
        <v>0</v>
      </c>
      <c r="G16" s="18">
        <f>Table333456789101211212223[[#This Row],[Our panel]]+Table3334567891012112122[[#This Row],[MTD Panel]]</f>
        <v>0</v>
      </c>
      <c r="H16" s="13">
        <f>Table333456789101211212223[[#This Row],[Company Panel]]-Table333456789101211212223[[#This Row],[Our panel]]</f>
        <v>0</v>
      </c>
      <c r="I16" s="13">
        <f>Table333456789101211212223[[#This Row],[MTD Company]]-Table333456789101211212223[[#This Row],[MTD Panel]]</f>
        <v>0</v>
      </c>
    </row>
    <row r="17" spans="1:9">
      <c r="A17" s="11" t="str">
        <f>Table333456789101217[[#This Row],[Carrier]]</f>
        <v>Reaver</v>
      </c>
      <c r="B17" s="5" t="str">
        <f>Table333456789101217[[#This Row],[IP]]</f>
        <v>203.0.113.44/188.17.56.210</v>
      </c>
      <c r="C17" s="6" t="str">
        <f>Table333456789101217[[#This Row],[Carrier Code]]</f>
        <v>RE</v>
      </c>
      <c r="D17" s="53">
        <v>0</v>
      </c>
      <c r="E17" s="53">
        <v>0</v>
      </c>
      <c r="F17" s="18">
        <f>Table333456789101211212223[[#This Row],[Company Panel]]+Table3334567891012112122[[#This Row],[MTD Company]]</f>
        <v>0</v>
      </c>
      <c r="G17" s="18">
        <f>Table333456789101211212223[[#This Row],[Our panel]]+Table3334567891012112122[[#This Row],[MTD Panel]]</f>
        <v>0</v>
      </c>
      <c r="H17" s="13">
        <f>Table333456789101211212223[[#This Row],[Company Panel]]-Table333456789101211212223[[#This Row],[Our panel]]</f>
        <v>0</v>
      </c>
      <c r="I17" s="13">
        <f>Table333456789101211212223[[#This Row],[MTD Company]]-Table333456789101211212223[[#This Row],[MTD Panel]]</f>
        <v>0</v>
      </c>
    </row>
    <row r="18" spans="1:9">
      <c r="A18" s="11" t="str">
        <f>Table333456789101217[[#This Row],[Carrier]]</f>
        <v>Forge</v>
      </c>
      <c r="B18" s="5" t="str">
        <f>Table333456789101217[[#This Row],[IP]]</f>
        <v>112.54.89.168/112.54.89.138</v>
      </c>
      <c r="C18" s="6" t="str">
        <f>Table333456789101217[[#This Row],[Carrier Code]]</f>
        <v>FO</v>
      </c>
      <c r="D18" s="53">
        <v>24.216666666666665</v>
      </c>
      <c r="E18" s="53">
        <v>24.216666666666665</v>
      </c>
      <c r="F18" s="18">
        <f>Table333456789101211212223[[#This Row],[Company Panel]]+Table3334567891012112122[[#This Row],[MTD Company]]</f>
        <v>437.71666666666664</v>
      </c>
      <c r="G18" s="18">
        <f>Table333456789101211212223[[#This Row],[Our panel]]+Table3334567891012112122[[#This Row],[MTD Panel]]</f>
        <v>437.71666666666664</v>
      </c>
      <c r="H18" s="13">
        <f>Table333456789101211212223[[#This Row],[Company Panel]]-Table333456789101211212223[[#This Row],[Our panel]]</f>
        <v>0</v>
      </c>
      <c r="I18" s="13">
        <f>Table333456789101211212223[[#This Row],[MTD Company]]-Table333456789101211212223[[#This Row],[MTD Panel]]</f>
        <v>0</v>
      </c>
    </row>
    <row r="19" spans="1:9">
      <c r="A19" s="11" t="str">
        <f>Table333456789101217[[#This Row],[Carrier]]</f>
        <v>Ember</v>
      </c>
      <c r="B19" s="5" t="str">
        <f>Table333456789101217[[#This Row],[IP]]</f>
        <v>78.34.90.24/328.56.122.44/142.150.75.22</v>
      </c>
      <c r="C19" s="6" t="str">
        <f>Table333456789101217[[#This Row],[Carrier Code]]</f>
        <v>EM</v>
      </c>
      <c r="D19" s="53">
        <v>0</v>
      </c>
      <c r="E19" s="53">
        <v>0</v>
      </c>
      <c r="F19" s="18">
        <f>Table333456789101211212223[[#This Row],[Company Panel]]+Table3334567891012112122[[#This Row],[MTD Company]]</f>
        <v>0</v>
      </c>
      <c r="G19" s="18">
        <f>Table333456789101211212223[[#This Row],[Our panel]]+Table3334567891012112122[[#This Row],[MTD Panel]]</f>
        <v>0</v>
      </c>
      <c r="H19" s="13">
        <f>Table333456789101211212223[[#This Row],[Company Panel]]-Table333456789101211212223[[#This Row],[Our panel]]</f>
        <v>0</v>
      </c>
      <c r="I19" s="13">
        <f>Table333456789101211212223[[#This Row],[MTD Company]]-Table333456789101211212223[[#This Row],[MTD Panel]]</f>
        <v>0</v>
      </c>
    </row>
    <row r="20" spans="1:9">
      <c r="A20" s="11" t="str">
        <f>Table333456789101217[[#This Row],[Carrier]]</f>
        <v>Specter</v>
      </c>
      <c r="B20" s="5" t="str">
        <f>Table333456789101217[[#This Row],[IP]]</f>
        <v>205.60.34.150</v>
      </c>
      <c r="C20" s="6" t="str">
        <f>Table333456789101217[[#This Row],[Carrier Code]]</f>
        <v>SP</v>
      </c>
      <c r="D20" s="53">
        <v>0.05</v>
      </c>
      <c r="E20" s="53">
        <v>0.05</v>
      </c>
      <c r="F20" s="18">
        <f>Table333456789101211212223[[#This Row],[Company Panel]]+Table3334567891012112122[[#This Row],[MTD Company]]</f>
        <v>11.950000000000003</v>
      </c>
      <c r="G20" s="18">
        <f>Table333456789101211212223[[#This Row],[Our panel]]+Table3334567891012112122[[#This Row],[MTD Panel]]</f>
        <v>11.950000000000003</v>
      </c>
      <c r="H20" s="13">
        <f>Table333456789101211212223[[#This Row],[Company Panel]]-Table333456789101211212223[[#This Row],[Our panel]]</f>
        <v>0</v>
      </c>
      <c r="I20" s="13">
        <f>Table333456789101211212223[[#This Row],[MTD Company]]-Table333456789101211212223[[#This Row],[MTD Panel]]</f>
        <v>0</v>
      </c>
    </row>
    <row r="21" spans="1:9">
      <c r="A21" s="11" t="str">
        <f>Table333456789101217[[#This Row],[Carrier]]</f>
        <v>Throne</v>
      </c>
      <c r="B21" s="5" t="str">
        <f>Table333456789101217[[#This Row],[IP]]</f>
        <v>54.32.11.90/27.758.27.201/125.150.58.20</v>
      </c>
      <c r="C21" s="6" t="str">
        <f>Table333456789101217[[#This Row],[Carrier Code]]</f>
        <v>TH</v>
      </c>
      <c r="D21" s="53">
        <v>0</v>
      </c>
      <c r="E21" s="53">
        <v>0</v>
      </c>
      <c r="F21" s="18">
        <f>Table333456789101211212223[[#This Row],[Company Panel]]+Table3334567891012112122[[#This Row],[MTD Company]]</f>
        <v>0</v>
      </c>
      <c r="G21" s="18">
        <f>Table333456789101211212223[[#This Row],[Our panel]]+Table3334567891012112122[[#This Row],[MTD Panel]]</f>
        <v>0</v>
      </c>
      <c r="H21" s="13">
        <f>Table333456789101211212223[[#This Row],[Company Panel]]-Table333456789101211212223[[#This Row],[Our panel]]</f>
        <v>0</v>
      </c>
      <c r="I21" s="13">
        <f>Table333456789101211212223[[#This Row],[MTD Company]]-Table333456789101211212223[[#This Row],[MTD Panel]]</f>
        <v>0</v>
      </c>
    </row>
    <row r="22" spans="1:9">
      <c r="A22" s="11" t="str">
        <f>Table333456789101217[[#This Row],[Carrier]]</f>
        <v>Arcane</v>
      </c>
      <c r="B22" s="5" t="str">
        <f>Table333456789101217[[#This Row],[IP]]</f>
        <v>212.100.25.78/212.100.25.87</v>
      </c>
      <c r="C22" s="6" t="str">
        <f>Table333456789101217[[#This Row],[Carrier Code]]</f>
        <v>AR</v>
      </c>
      <c r="D22" s="53">
        <v>0</v>
      </c>
      <c r="E22" s="53">
        <v>0</v>
      </c>
      <c r="F22" s="18">
        <f>Table333456789101211212223[[#This Row],[Company Panel]]+Table3334567891012112122[[#This Row],[MTD Company]]</f>
        <v>0.58333333333333337</v>
      </c>
      <c r="G22" s="18">
        <f>Table333456789101211212223[[#This Row],[Our panel]]+Table3334567891012112122[[#This Row],[MTD Panel]]</f>
        <v>0.58333333333333337</v>
      </c>
      <c r="H22" s="13">
        <f>Table333456789101211212223[[#This Row],[Company Panel]]-Table333456789101211212223[[#This Row],[Our panel]]</f>
        <v>0</v>
      </c>
      <c r="I22" s="13">
        <f>Table333456789101211212223[[#This Row],[MTD Company]]-Table333456789101211212223[[#This Row],[MTD Panel]]</f>
        <v>0</v>
      </c>
    </row>
    <row r="23" spans="1:9">
      <c r="A23" s="11" t="str">
        <f>Table333456789101217[[#This Row],[Carrier]]</f>
        <v>Glitch</v>
      </c>
      <c r="B23" s="5" t="str">
        <f>Table333456789101217[[#This Row],[IP]]</f>
        <v>198.204.100.12/198.204.100.34/198.204.100.51</v>
      </c>
      <c r="C23" s="6" t="str">
        <f>Table333456789101217[[#This Row],[Carrier Code]]</f>
        <v>GL</v>
      </c>
      <c r="D23" s="53">
        <v>0</v>
      </c>
      <c r="E23" s="53">
        <v>0</v>
      </c>
      <c r="F23" s="18">
        <f>Table333456789101211212223[[#This Row],[Company Panel]]+Table3334567891012112122[[#This Row],[MTD Company]]</f>
        <v>0</v>
      </c>
      <c r="G23" s="18">
        <f>Table333456789101211212223[[#This Row],[Our panel]]+Table3334567891012112122[[#This Row],[MTD Panel]]</f>
        <v>0</v>
      </c>
      <c r="H23" s="13">
        <f>Table333456789101211212223[[#This Row],[Company Panel]]-Table333456789101211212223[[#This Row],[Our panel]]</f>
        <v>0</v>
      </c>
      <c r="I23" s="13">
        <f>Table333456789101211212223[[#This Row],[MTD Company]]-Table333456789101211212223[[#This Row],[MTD Panel]]</f>
        <v>0</v>
      </c>
    </row>
    <row r="24" spans="1:9">
      <c r="A24" s="11" t="str">
        <f>Table333456789101217[[#This Row],[Carrier]]</f>
        <v>Nitro</v>
      </c>
      <c r="B24" s="5" t="str">
        <f>Table333456789101217[[#This Row],[IP]]</f>
        <v>15.150.200.33/119.82.200.100</v>
      </c>
      <c r="C24" s="6" t="str">
        <f>Table333456789101217[[#This Row],[Carrier Code]]</f>
        <v>NI</v>
      </c>
      <c r="D24" s="53">
        <v>0</v>
      </c>
      <c r="E24" s="53">
        <v>0</v>
      </c>
      <c r="F24" s="18">
        <f>Table333456789101211212223[[#This Row],[Company Panel]]+Table3334567891012112122[[#This Row],[MTD Company]]</f>
        <v>0</v>
      </c>
      <c r="G24" s="18">
        <f>Table333456789101211212223[[#This Row],[Our panel]]+Table3334567891012112122[[#This Row],[MTD Panel]]</f>
        <v>0</v>
      </c>
      <c r="H24" s="13">
        <f>Table333456789101211212223[[#This Row],[Company Panel]]-Table333456789101211212223[[#This Row],[Our panel]]</f>
        <v>0</v>
      </c>
      <c r="I24" s="13">
        <f>Table333456789101211212223[[#This Row],[MTD Company]]-Table333456789101211212223[[#This Row],[MTD Panel]]</f>
        <v>0</v>
      </c>
    </row>
    <row r="25" spans="1:9">
      <c r="A25" s="11" t="str">
        <f>Table333456789101217[[#This Row],[Carrier]]</f>
        <v>Drip</v>
      </c>
      <c r="B25" s="5" t="str">
        <f>Table333456789101217[[#This Row],[IP]]</f>
        <v>84.13.76.190/90.945.80.11/198.160.234.5</v>
      </c>
      <c r="C25" s="6" t="str">
        <f>Table333456789101217[[#This Row],[Carrier Code]]</f>
        <v>DR</v>
      </c>
      <c r="D25" s="53">
        <v>0</v>
      </c>
      <c r="E25" s="53">
        <v>0</v>
      </c>
      <c r="F25" s="18">
        <f>Table333456789101211212223[[#This Row],[Company Panel]]+Table3334567891012112122[[#This Row],[MTD Company]]</f>
        <v>0</v>
      </c>
      <c r="G25" s="18">
        <f>Table333456789101211212223[[#This Row],[Our panel]]+Table3334567891012112122[[#This Row],[MTD Panel]]</f>
        <v>0</v>
      </c>
      <c r="H25" s="13">
        <f>Table333456789101211212223[[#This Row],[Company Panel]]-Table333456789101211212223[[#This Row],[Our panel]]</f>
        <v>0</v>
      </c>
      <c r="I25" s="13">
        <f>Table333456789101211212223[[#This Row],[MTD Company]]-Table333456789101211212223[[#This Row],[MTD Panel]]</f>
        <v>0</v>
      </c>
    </row>
    <row r="26" spans="1:9">
      <c r="A26" s="11" t="str">
        <f>Table333456789101217[[#This Row],[Carrier]]</f>
        <v>Glide</v>
      </c>
      <c r="B26" s="5" t="str">
        <f>Table333456789101217[[#This Row],[IP]]</f>
        <v>120.45.12.25/85.739.221.80/85.739.221.93</v>
      </c>
      <c r="C26" s="6" t="str">
        <f>Table333456789101217[[#This Row],[Carrier Code]]</f>
        <v>GI</v>
      </c>
      <c r="D26" s="53">
        <v>0</v>
      </c>
      <c r="E26" s="53">
        <v>0</v>
      </c>
      <c r="F26" s="18">
        <f>Table333456789101211212223[[#This Row],[Company Panel]]+Table3334567891012112122[[#This Row],[MTD Company]]</f>
        <v>0</v>
      </c>
      <c r="G26" s="18">
        <f>Table333456789101211212223[[#This Row],[Our panel]]+Table3334567891012112122[[#This Row],[MTD Panel]]</f>
        <v>0</v>
      </c>
      <c r="H26" s="13">
        <f>Table333456789101211212223[[#This Row],[Company Panel]]-Table333456789101211212223[[#This Row],[Our panel]]</f>
        <v>0</v>
      </c>
      <c r="I26" s="13">
        <f>Table333456789101211212223[[#This Row],[MTD Company]]-Table333456789101211212223[[#This Row],[MTD Panel]]</f>
        <v>0</v>
      </c>
    </row>
    <row r="27" spans="1:9">
      <c r="A27" s="11" t="str">
        <f>Table333456789101217[[#This Row],[Carrier]]</f>
        <v>Orbit</v>
      </c>
      <c r="B27" s="5" t="str">
        <f>Table333456789101217[[#This Row],[IP]]</f>
        <v>176.98.54.112/60.110.154.91/60.110.155.162</v>
      </c>
      <c r="C27" s="6" t="str">
        <f>Table333456789101217[[#This Row],[Carrier Code]]</f>
        <v>OR</v>
      </c>
      <c r="D27" s="53">
        <v>0</v>
      </c>
      <c r="E27" s="53">
        <v>0</v>
      </c>
      <c r="F27" s="18">
        <f>Table333456789101211212223[[#This Row],[Company Panel]]+Table3334567891012112122[[#This Row],[MTD Company]]</f>
        <v>0</v>
      </c>
      <c r="G27" s="18">
        <f>Table333456789101211212223[[#This Row],[Our panel]]+Table3334567891012112122[[#This Row],[MTD Panel]]</f>
        <v>0</v>
      </c>
      <c r="H27" s="13">
        <f>Table333456789101211212223[[#This Row],[Company Panel]]-Table333456789101211212223[[#This Row],[Our panel]]</f>
        <v>0</v>
      </c>
      <c r="I27" s="13">
        <f>Table333456789101211212223[[#This Row],[MTD Company]]-Table333456789101211212223[[#This Row],[MTD Panel]]</f>
        <v>0</v>
      </c>
    </row>
    <row r="28" spans="1:9">
      <c r="A28" s="11" t="str">
        <f>Table333456789101217[[#This Row],[Carrier]]</f>
        <v>Thunder</v>
      </c>
      <c r="B28" s="5" t="str">
        <f>Table333456789101217[[#This Row],[IP]]</f>
        <v>67.102.200.9/81.905.48.847/143.235.100.34</v>
      </c>
      <c r="C28" s="6" t="str">
        <f>Table333456789101217[[#This Row],[Carrier Code]]</f>
        <v>TU</v>
      </c>
      <c r="D28" s="53">
        <v>6.8833333333333337</v>
      </c>
      <c r="E28" s="53">
        <v>6.8833333333333337</v>
      </c>
      <c r="F28" s="18">
        <f>Table333456789101211212223[[#This Row],[Company Panel]]+Table3334567891012112122[[#This Row],[MTD Company]]</f>
        <v>355.24999999999989</v>
      </c>
      <c r="G28" s="18">
        <f>Table333456789101211212223[[#This Row],[Our panel]]+Table3334567891012112122[[#This Row],[MTD Panel]]</f>
        <v>355.24999999999989</v>
      </c>
      <c r="H28" s="13">
        <f>Table333456789101211212223[[#This Row],[Company Panel]]-Table333456789101211212223[[#This Row],[Our panel]]</f>
        <v>0</v>
      </c>
      <c r="I28" s="13">
        <f>Table333456789101211212223[[#This Row],[MTD Company]]-Table333456789101211212223[[#This Row],[MTD Panel]]</f>
        <v>0</v>
      </c>
    </row>
    <row r="29" spans="1:9">
      <c r="A29" s="11" t="str">
        <f>Table333456789101217[[#This Row],[Carrier]]</f>
        <v>Glimmer</v>
      </c>
      <c r="B29" s="5" t="str">
        <f>Table333456789101217[[#This Row],[IP]]</f>
        <v>99.22.211.100/71.54.85.344/71.54.85.218</v>
      </c>
      <c r="C29" s="6" t="str">
        <f>Table333456789101217[[#This Row],[Carrier Code]]</f>
        <v>GM</v>
      </c>
      <c r="D29" s="53">
        <v>0</v>
      </c>
      <c r="E29" s="53">
        <v>0</v>
      </c>
      <c r="F29" s="18">
        <f>Table333456789101211212223[[#This Row],[Company Panel]]+Table3334567891012112122[[#This Row],[MTD Company]]</f>
        <v>0</v>
      </c>
      <c r="G29" s="18">
        <f>Table333456789101211212223[[#This Row],[Our panel]]+Table3334567891012112122[[#This Row],[MTD Panel]]</f>
        <v>0</v>
      </c>
      <c r="H29" s="13">
        <f>Table333456789101211212223[[#This Row],[Company Panel]]-Table333456789101211212223[[#This Row],[Our panel]]</f>
        <v>0</v>
      </c>
      <c r="I29" s="13">
        <f>Table333456789101211212223[[#This Row],[MTD Company]]-Table333456789101211212223[[#This Row],[MTD Panel]]</f>
        <v>0</v>
      </c>
    </row>
    <row r="30" spans="1:9">
      <c r="A30" s="11" t="str">
        <f>Table333456789101217[[#This Row],[Carrier]]</f>
        <v>Fragment</v>
      </c>
      <c r="B30" s="5" t="str">
        <f>Table333456789101217[[#This Row],[IP]]</f>
        <v>203.0.113.56/195.56.101.10</v>
      </c>
      <c r="C30" s="6" t="str">
        <f>Table333456789101217[[#This Row],[Carrier Code]]</f>
        <v>FR</v>
      </c>
      <c r="D30" s="53">
        <v>0</v>
      </c>
      <c r="E30" s="53">
        <v>0</v>
      </c>
      <c r="F30" s="18">
        <f>Table333456789101211212223[[#This Row],[Company Panel]]+Table3334567891012112122[[#This Row],[MTD Company]]</f>
        <v>0</v>
      </c>
      <c r="G30" s="18">
        <f>Table333456789101211212223[[#This Row],[Our panel]]+Table3334567891012112122[[#This Row],[MTD Panel]]</f>
        <v>0</v>
      </c>
      <c r="H30" s="13">
        <f>Table333456789101211212223[[#This Row],[Company Panel]]-Table333456789101211212223[[#This Row],[Our panel]]</f>
        <v>0</v>
      </c>
      <c r="I30" s="13">
        <f>Table333456789101211212223[[#This Row],[MTD Company]]-Table333456789101211212223[[#This Row],[MTD Panel]]</f>
        <v>0</v>
      </c>
    </row>
    <row r="31" spans="1:9">
      <c r="A31" s="11" t="str">
        <f>Table333456789101217[[#This Row],[Carrier]]</f>
        <v>Dusk</v>
      </c>
      <c r="B31" s="5" t="str">
        <f>Table333456789101217[[#This Row],[IP]]</f>
        <v>33.44.55.66/33.44.55.84/33.44.55.122/214.68.90.122</v>
      </c>
      <c r="C31" s="6" t="str">
        <f>Table333456789101217[[#This Row],[Carrier Code]]</f>
        <v>DK</v>
      </c>
      <c r="D31" s="53">
        <v>0</v>
      </c>
      <c r="E31" s="53">
        <v>0</v>
      </c>
      <c r="F31" s="18">
        <f>Table333456789101211212223[[#This Row],[Company Panel]]+Table3334567891012112122[[#This Row],[MTD Company]]</f>
        <v>0</v>
      </c>
      <c r="G31" s="18">
        <f>Table333456789101211212223[[#This Row],[Our panel]]+Table3334567891012112122[[#This Row],[MTD Panel]]</f>
        <v>0</v>
      </c>
      <c r="H31" s="13">
        <f>Table333456789101211212223[[#This Row],[Company Panel]]-Table333456789101211212223[[#This Row],[Our panel]]</f>
        <v>0</v>
      </c>
      <c r="I31" s="13">
        <f>Table333456789101211212223[[#This Row],[MTD Company]]-Table333456789101211212223[[#This Row],[MTD Panel]]</f>
        <v>0</v>
      </c>
    </row>
    <row r="32" spans="1:9">
      <c r="A32" s="11" t="str">
        <f>Table333456789101217[[#This Row],[Carrier]]</f>
        <v>Breeze</v>
      </c>
      <c r="B32" s="5" t="str">
        <f>Table333456789101217[[#This Row],[IP]]</f>
        <v>199.123.87.45/199.123.34.52/77.189.22.56</v>
      </c>
      <c r="C32" s="6" t="str">
        <f>Table333456789101217[[#This Row],[Carrier Code]]</f>
        <v>BR</v>
      </c>
      <c r="D32" s="53">
        <v>0</v>
      </c>
      <c r="E32" s="53">
        <v>0</v>
      </c>
      <c r="F32" s="18">
        <f>Table333456789101211212223[[#This Row],[Company Panel]]+Table3334567891012112122[[#This Row],[MTD Company]]</f>
        <v>0</v>
      </c>
      <c r="G32" s="18">
        <f>Table333456789101211212223[[#This Row],[Our panel]]+Table3334567891012112122[[#This Row],[MTD Panel]]</f>
        <v>0</v>
      </c>
      <c r="H32" s="13">
        <f>Table333456789101211212223[[#This Row],[Company Panel]]-Table333456789101211212223[[#This Row],[Our panel]]</f>
        <v>0</v>
      </c>
      <c r="I32" s="13">
        <f>Table333456789101211212223[[#This Row],[MTD Company]]-Table333456789101211212223[[#This Row],[MTD Panel]]</f>
        <v>0</v>
      </c>
    </row>
    <row r="33" spans="1:9">
      <c r="A33" s="11" t="str">
        <f>Table333456789101217[[#This Row],[Carrier]]</f>
        <v>Clutch</v>
      </c>
      <c r="B33" s="5" t="str">
        <f>Table333456789101217[[#This Row],[IP]]</f>
        <v>55.66.77.88/84.126.79.28/152.233.45.11</v>
      </c>
      <c r="C33" s="6" t="str">
        <f>Table333456789101217[[#This Row],[Carrier Code]]</f>
        <v>CL</v>
      </c>
      <c r="D33" s="53">
        <v>0</v>
      </c>
      <c r="E33" s="53">
        <v>0</v>
      </c>
      <c r="F33" s="18">
        <f>Table333456789101211212223[[#This Row],[Company Panel]]+Table3334567891012112122[[#This Row],[MTD Company]]</f>
        <v>0</v>
      </c>
      <c r="G33" s="18">
        <f>Table333456789101211212223[[#This Row],[Our panel]]+Table3334567891012112122[[#This Row],[MTD Panel]]</f>
        <v>0</v>
      </c>
      <c r="H33" s="13">
        <f>Table333456789101211212223[[#This Row],[Company Panel]]-Table333456789101211212223[[#This Row],[Our panel]]</f>
        <v>0</v>
      </c>
      <c r="I33" s="13">
        <f>Table333456789101211212223[[#This Row],[MTD Company]]-Table333456789101211212223[[#This Row],[MTD Panel]]</f>
        <v>0</v>
      </c>
    </row>
    <row r="34" spans="1:9">
      <c r="A34" s="11" t="str">
        <f>Table333456789101217[[#This Row],[Carrier]]</f>
        <v>Haze</v>
      </c>
      <c r="B34" s="5" t="str">
        <f>Table333456789101217[[#This Row],[IP]]</f>
        <v>230.111.44.56</v>
      </c>
      <c r="C34" s="6" t="str">
        <f>Table333456789101217[[#This Row],[Carrier Code]]</f>
        <v>HZ</v>
      </c>
      <c r="D34" s="53">
        <v>200.41666666666666</v>
      </c>
      <c r="E34" s="53">
        <v>200.41666666666666</v>
      </c>
      <c r="F34" s="18">
        <f>Table333456789101211212223[[#This Row],[Company Panel]]+Table3334567891012112122[[#This Row],[MTD Company]]</f>
        <v>1589.4</v>
      </c>
      <c r="G34" s="18">
        <f>Table333456789101211212223[[#This Row],[Our panel]]+Table3334567891012112122[[#This Row],[MTD Panel]]</f>
        <v>1589.4</v>
      </c>
      <c r="H34" s="63">
        <f>Table333456789101211212223[[#This Row],[Company Panel]]-Table333456789101211212223[[#This Row],[Our panel]]</f>
        <v>0</v>
      </c>
      <c r="I34" s="63">
        <f>Table333456789101211212223[[#This Row],[MTD Company]]-Table333456789101211212223[[#This Row],[MTD Panel]]</f>
        <v>0</v>
      </c>
    </row>
    <row r="35" spans="1:9">
      <c r="A35" s="11" t="str">
        <f>Table333456789101217[[#This Row],[Carrier]]</f>
        <v>Vault</v>
      </c>
      <c r="B35" s="5" t="str">
        <f>Table333456789101217[[#This Row],[IP]]</f>
        <v>213.189.94.5/213.189.94.7/111.180.64.222</v>
      </c>
      <c r="C35" s="6" t="str">
        <f>Table333456789101217[[#This Row],[Carrier Code]]</f>
        <v>VA</v>
      </c>
      <c r="D35" s="53">
        <v>0</v>
      </c>
      <c r="E35" s="53">
        <v>0</v>
      </c>
      <c r="F35" s="18">
        <f>Table333456789101211212223[[#This Row],[Company Panel]]+Table3334567891012112122[[#This Row],[MTD Company]]</f>
        <v>0</v>
      </c>
      <c r="G35" s="18">
        <f>Table333456789101211212223[[#This Row],[Our panel]]+Table3334567891012112122[[#This Row],[MTD Panel]]</f>
        <v>0</v>
      </c>
      <c r="H35" s="63">
        <f>Table333456789101211212223[[#This Row],[Company Panel]]-Table333456789101211212223[[#This Row],[Our panel]]</f>
        <v>0</v>
      </c>
      <c r="I35" s="63">
        <f>Table333456789101211212223[[#This Row],[MTD Company]]-Table333456789101211212223[[#This Row],[MTD Panel]]</f>
        <v>0</v>
      </c>
    </row>
    <row r="36" spans="1:9">
      <c r="A36" s="11" t="str">
        <f>Table333456789101217[[#This Row],[Carrier]]</f>
        <v>Scatter</v>
      </c>
      <c r="B36" s="5" t="str">
        <f>Table333456789101217[[#This Row],[IP]]</f>
        <v>14.123.45.67/168.251.90.15</v>
      </c>
      <c r="C36" s="6" t="str">
        <f>Table333456789101217[[#This Row],[Carrier Code]]</f>
        <v>SC</v>
      </c>
      <c r="D36" s="53">
        <v>132.31666666666666</v>
      </c>
      <c r="E36" s="53">
        <v>132.31666666666666</v>
      </c>
      <c r="F36" s="18">
        <f>Table333456789101211212223[[#This Row],[Company Panel]]+Table3334567891012112122[[#This Row],[MTD Company]]</f>
        <v>825.43333333333317</v>
      </c>
      <c r="G36" s="18">
        <f>Table333456789101211212223[[#This Row],[Our panel]]+Table3334567891012112122[[#This Row],[MTD Panel]]</f>
        <v>825.43333333333317</v>
      </c>
      <c r="H36" s="63">
        <f>Table333456789101211212223[[#This Row],[Company Panel]]-Table333456789101211212223[[#This Row],[Our panel]]</f>
        <v>0</v>
      </c>
      <c r="I36" s="63">
        <f>Table333456789101211212223[[#This Row],[MTD Company]]-Table333456789101211212223[[#This Row],[MTD Panel]]</f>
        <v>0</v>
      </c>
    </row>
    <row r="37" spans="1:9">
      <c r="A37" s="11" t="str">
        <f>Table333456789101217[[#This Row],[Carrier]]</f>
        <v>Hammer</v>
      </c>
      <c r="B37" s="5" t="str">
        <f>Table333456789101217[[#This Row],[IP]]</f>
        <v>200.111.78.9/200.111.236.62/200.111.823.89/137.79.48.56</v>
      </c>
      <c r="C37" s="6" t="str">
        <f>Table333456789101217[[#This Row],[Carrier Code]]</f>
        <v>HA</v>
      </c>
      <c r="D37" s="53">
        <v>0</v>
      </c>
      <c r="E37" s="53">
        <v>0</v>
      </c>
      <c r="F37" s="18">
        <f>Table333456789101211212223[[#This Row],[Company Panel]]+Table3334567891012112122[[#This Row],[MTD Company]]</f>
        <v>0</v>
      </c>
      <c r="G37" s="18">
        <f>Table333456789101211212223[[#This Row],[Our panel]]+Table3334567891012112122[[#This Row],[MTD Panel]]</f>
        <v>0</v>
      </c>
      <c r="H37" s="72">
        <f>Table333456789101211212223[[#This Row],[Company Panel]]-Table333456789101211212223[[#This Row],[Our panel]]</f>
        <v>0</v>
      </c>
      <c r="I37" s="72">
        <f>Table333456789101211212223[[#This Row],[MTD Company]]-Table333456789101211212223[[#This Row],[MTD Panel]]</f>
        <v>0</v>
      </c>
    </row>
    <row r="38" spans="1:9">
      <c r="A38" s="11" t="str">
        <f>Table333456789101217[[#This Row],[Carrier]]</f>
        <v>Smudge</v>
      </c>
      <c r="B38" s="5" t="str">
        <f>Table333456789101217[[#This Row],[IP]]</f>
        <v>88.99.233.56/54.71.99.234</v>
      </c>
      <c r="C38" s="6" t="str">
        <f>Table333456789101217[[#This Row],[Carrier Code]]</f>
        <v>SM</v>
      </c>
      <c r="D38" s="53">
        <v>16.333333333333332</v>
      </c>
      <c r="E38" s="53">
        <v>16.333333333333332</v>
      </c>
      <c r="F38" s="18">
        <f>Table333456789101211212223[[#This Row],[Company Panel]]+Table3334567891012112122[[#This Row],[MTD Company]]</f>
        <v>264.46666666666664</v>
      </c>
      <c r="G38" s="18">
        <f>Table333456789101211212223[[#This Row],[Our panel]]+Table3334567891012112122[[#This Row],[MTD Panel]]</f>
        <v>264.46666666666664</v>
      </c>
      <c r="H38" s="72">
        <f>Table333456789101211212223[[#This Row],[Company Panel]]-Table333456789101211212223[[#This Row],[Our panel]]</f>
        <v>0</v>
      </c>
      <c r="I38" s="72">
        <f>Table333456789101211212223[[#This Row],[MTD Company]]-Table333456789101211212223[[#This Row],[MTD Panel]]</f>
        <v>0</v>
      </c>
    </row>
    <row r="39" spans="1:9">
      <c r="A39" s="11" t="str">
        <f>Table333456789101217[[#This Row],[Carrier]]</f>
        <v>Quirk</v>
      </c>
      <c r="B39" s="5" t="str">
        <f>Table333456789101217[[#This Row],[IP]]</f>
        <v>62.45.100.31/62.45.100.15/62.45.100.65/211.95.102.6</v>
      </c>
      <c r="C39" s="6" t="str">
        <f>Table333456789101217[[#This Row],[Carrier Code]]</f>
        <v>QU</v>
      </c>
      <c r="D39" s="53">
        <v>1629.3666666666666</v>
      </c>
      <c r="E39" s="53">
        <v>1629.3666666666666</v>
      </c>
      <c r="F39" s="18">
        <f>Table333456789101211212223[[#This Row],[Company Panel]]+Table3334567891012112122[[#This Row],[MTD Company]]</f>
        <v>29412.666666666661</v>
      </c>
      <c r="G39" s="18">
        <f>Table333456789101211212223[[#This Row],[Our panel]]+Table3334567891012112122[[#This Row],[MTD Panel]]</f>
        <v>29412.666666666661</v>
      </c>
      <c r="H39" s="72">
        <f>Table333456789101211212223[[#This Row],[Company Panel]]-Table333456789101211212223[[#This Row],[Our panel]]</f>
        <v>0</v>
      </c>
      <c r="I39" s="72">
        <f>Table333456789101211212223[[#This Row],[MTD Company]]-Table333456789101211212223[[#This Row],[MTD Panel]]</f>
        <v>0</v>
      </c>
    </row>
    <row r="40" spans="1:9">
      <c r="A40" s="11" t="str">
        <f>Table333456789101217[[#This Row],[Carrier]]</f>
        <v>Vortex</v>
      </c>
      <c r="B40" s="5" t="str">
        <f>Table333456789101217[[#This Row],[IP]]</f>
        <v>179.250.91.8/29.540.67.457/94.25.34.78/183.144.27.18</v>
      </c>
      <c r="C40" s="6" t="str">
        <f>Table333456789101217[[#This Row],[Carrier Code]]</f>
        <v>VT</v>
      </c>
      <c r="D40" s="53">
        <v>0</v>
      </c>
      <c r="E40" s="53">
        <v>0</v>
      </c>
      <c r="F40" s="18">
        <f>Table333456789101211212223[[#This Row],[Company Panel]]+Table3334567891012112122[[#This Row],[MTD Company]]</f>
        <v>0</v>
      </c>
      <c r="G40" s="18">
        <f>Table333456789101211212223[[#This Row],[Our panel]]+Table3334567891012112122[[#This Row],[MTD Panel]]</f>
        <v>0</v>
      </c>
      <c r="H40" s="72">
        <f>Table333456789101211212223[[#This Row],[Company Panel]]-Table333456789101211212223[[#This Row],[Our panel]]</f>
        <v>0</v>
      </c>
      <c r="I40" s="72">
        <f>Table333456789101211212223[[#This Row],[MTD Company]]-Table333456789101211212223[[#This Row],[MTD Panel]]</f>
        <v>0</v>
      </c>
    </row>
    <row r="41" spans="1:9">
      <c r="A41" s="11" t="str">
        <f>Table333456789101217[[#This Row],[Carrier]]</f>
        <v>Void</v>
      </c>
      <c r="B41" s="5" t="str">
        <f>Table333456789101217[[#This Row],[IP]]</f>
        <v>156.34.123.11/156.34.123.25/156.34.123.62/92.44.233.110</v>
      </c>
      <c r="C41" s="6" t="str">
        <f>Table333456789101217[[#This Row],[Carrier Code]]</f>
        <v>VO</v>
      </c>
      <c r="D41" s="53">
        <v>26.916666666666668</v>
      </c>
      <c r="E41" s="53">
        <v>26.916666666666668</v>
      </c>
      <c r="F41" s="18">
        <f>Table333456789101211212223[[#This Row],[Company Panel]]+Table3334567891012112122[[#This Row],[MTD Company]]</f>
        <v>718.81666666666661</v>
      </c>
      <c r="G41" s="18">
        <f>Table333456789101211212223[[#This Row],[Our panel]]+Table3334567891012112122[[#This Row],[MTD Panel]]</f>
        <v>718.81666666666661</v>
      </c>
      <c r="H41" s="72">
        <f>Table333456789101211212223[[#This Row],[Company Panel]]-Table333456789101211212223[[#This Row],[Our panel]]</f>
        <v>0</v>
      </c>
      <c r="I41" s="72">
        <f>Table333456789101211212223[[#This Row],[MTD Company]]-Table333456789101211212223[[#This Row],[MTD Panel]]</f>
        <v>0</v>
      </c>
    </row>
    <row r="42" spans="1:9">
      <c r="A42" s="11" t="str">
        <f>Table333456789101217[[#This Row],[Carrier]]</f>
        <v>Midnight</v>
      </c>
      <c r="B42" s="5" t="str">
        <f>Table333456789101217[[#This Row],[IP]]</f>
        <v>134.77.22.4/23.97.150.8</v>
      </c>
      <c r="C42" s="6" t="str">
        <f>Table333456789101217[[#This Row],[Carrier Code]]</f>
        <v>MI</v>
      </c>
      <c r="D42" s="53">
        <v>277.36666666666667</v>
      </c>
      <c r="E42" s="53">
        <v>277.36666666666667</v>
      </c>
      <c r="F42" s="18">
        <f>Table333456789101211212223[[#This Row],[Company Panel]]+Table3334567891012112122[[#This Row],[MTD Company]]</f>
        <v>6125.7666666666673</v>
      </c>
      <c r="G42" s="18">
        <f>Table333456789101211212223[[#This Row],[Our panel]]+Table3334567891012112122[[#This Row],[MTD Panel]]</f>
        <v>6125.7666666666673</v>
      </c>
      <c r="H42" s="72">
        <f>Table333456789101211212223[[#This Row],[Company Panel]]-Table333456789101211212223[[#This Row],[Our panel]]</f>
        <v>0</v>
      </c>
      <c r="I42" s="72">
        <f>Table333456789101211212223[[#This Row],[MTD Company]]-Table333456789101211212223[[#This Row],[MTD Panel]]</f>
        <v>0</v>
      </c>
    </row>
    <row r="43" spans="1:9">
      <c r="A43" s="11" t="str">
        <f>Table333456789101217[[#This Row],[Carrier]]</f>
        <v>Autumn</v>
      </c>
      <c r="B43" s="5" t="str">
        <f>Table333456789101217[[#This Row],[IP]]</f>
        <v>202.54.210.88/12.331.94.73/64.19.28.175</v>
      </c>
      <c r="C43" s="6" t="str">
        <f>Table333456789101217[[#This Row],[Carrier Code]]</f>
        <v>AU</v>
      </c>
      <c r="D43" s="53">
        <v>0</v>
      </c>
      <c r="E43" s="53">
        <v>0</v>
      </c>
      <c r="F43" s="18">
        <f>Table333456789101211212223[[#This Row],[Company Panel]]+Table3334567891012112122[[#This Row],[MTD Company]]</f>
        <v>243.95</v>
      </c>
      <c r="G43" s="18">
        <f>Table333456789101211212223[[#This Row],[Our panel]]+Table3334567891012112122[[#This Row],[MTD Panel]]</f>
        <v>243.95</v>
      </c>
      <c r="H43" s="72">
        <f>Table333456789101211212223[[#This Row],[Company Panel]]-Table333456789101211212223[[#This Row],[Our panel]]</f>
        <v>0</v>
      </c>
      <c r="I43" s="72">
        <f>Table333456789101211212223[[#This Row],[MTD Company]]-Table333456789101211212223[[#This Row],[MTD Panel]]</f>
        <v>0</v>
      </c>
    </row>
    <row r="44" spans="1:9">
      <c r="A44" s="11" t="str">
        <f>Table333456789101217[[#This Row],[Carrier]]</f>
        <v>Mystic</v>
      </c>
      <c r="B44" s="5" t="str">
        <f>Table333456789101217[[#This Row],[IP]]</f>
        <v>51.233.21.76/82.115.35.60/82.115.35.85</v>
      </c>
      <c r="C44" s="6" t="str">
        <f>Table333456789101217[[#This Row],[Carrier Code]]</f>
        <v>MY</v>
      </c>
      <c r="D44" s="53">
        <v>0</v>
      </c>
      <c r="E44" s="53">
        <v>0</v>
      </c>
      <c r="F44" s="18">
        <f>Table333456789101211212223[[#This Row],[Company Panel]]+Table3334567891012112122[[#This Row],[MTD Company]]</f>
        <v>0</v>
      </c>
      <c r="G44" s="18">
        <f>Table333456789101211212223[[#This Row],[Our panel]]+Table3334567891012112122[[#This Row],[MTD Panel]]</f>
        <v>0</v>
      </c>
      <c r="H44" s="72">
        <f>Table333456789101211212223[[#This Row],[Company Panel]]-Table333456789101211212223[[#This Row],[Our panel]]</f>
        <v>0</v>
      </c>
      <c r="I44" s="72">
        <f>Table333456789101211212223[[#This Row],[MTD Company]]-Table333456789101211212223[[#This Row],[MTD Panel]]</f>
        <v>0</v>
      </c>
    </row>
    <row r="45" spans="1:9">
      <c r="A45" s="11" t="str">
        <f>Table333456789101217[[#This Row],[Carrier]]</f>
        <v>Clover</v>
      </c>
      <c r="B45" s="5" t="str">
        <f>Table333456789101217[[#This Row],[IP]]</f>
        <v>210.150.12.45/84.50.212.66/135.113.88.9</v>
      </c>
      <c r="C45" s="6" t="str">
        <f>Table333456789101217[[#This Row],[Carrier Code]]</f>
        <v>CO</v>
      </c>
      <c r="D45" s="53">
        <v>55.266666666666666</v>
      </c>
      <c r="E45" s="53">
        <v>55.266666666666666</v>
      </c>
      <c r="F45" s="18">
        <f>Table333456789101211212223[[#This Row],[Company Panel]]+Table3334567891012112122[[#This Row],[MTD Company]]</f>
        <v>34248.55000000001</v>
      </c>
      <c r="G45" s="18">
        <f>Table333456789101211212223[[#This Row],[Our panel]]+Table3334567891012112122[[#This Row],[MTD Panel]]</f>
        <v>34248.55000000001</v>
      </c>
      <c r="H45" s="78">
        <f>Table333456789101211212223[[#This Row],[Company Panel]]-Table333456789101211212223[[#This Row],[Our panel]]</f>
        <v>0</v>
      </c>
      <c r="I45" s="78">
        <f>Table333456789101211212223[[#This Row],[MTD Company]]-Table333456789101211212223[[#This Row],[MTD Panel]]</f>
        <v>0</v>
      </c>
    </row>
    <row r="46" spans="1:9">
      <c r="A46" s="11" t="str">
        <f>Table333456789101217[[#This Row],[Carrier]]</f>
        <v>Hunter</v>
      </c>
      <c r="B46" s="5" t="str">
        <f>Table333456789101217[[#This Row],[IP]]</f>
        <v>170.199.20.87/13.693.39.280/78.30.123.47</v>
      </c>
      <c r="C46" s="6" t="str">
        <f>Table333456789101217[[#This Row],[Carrier Code]]</f>
        <v>HU</v>
      </c>
      <c r="D46" s="53">
        <v>288</v>
      </c>
      <c r="E46" s="53">
        <v>288</v>
      </c>
      <c r="F46" s="18">
        <f>Table333456789101211212223[[#This Row],[Company Panel]]+Table3334567891012112122[[#This Row],[MTD Company]]</f>
        <v>6168.75</v>
      </c>
      <c r="G46" s="18">
        <f>Table333456789101211212223[[#This Row],[Our panel]]+Table3334567891012112122[[#This Row],[MTD Panel]]</f>
        <v>6168.75</v>
      </c>
      <c r="H46" s="13">
        <f>Table333456789101211212223[[#This Row],[Company Panel]]-Table333456789101211212223[[#This Row],[Our panel]]</f>
        <v>0</v>
      </c>
      <c r="I46" s="13">
        <f>Table333456789101211212223[[#This Row],[MTD Company]]-Table333456789101211212223[[#This Row],[MTD Panel]]</f>
        <v>0</v>
      </c>
    </row>
    <row r="47" spans="1:9">
      <c r="A47" s="11" t="str">
        <f>Table333456789101217[[#This Row],[Carrier]]</f>
        <v>Invaded</v>
      </c>
      <c r="B47" s="5" t="str">
        <f>Table333456789101217[[#This Row],[IP]]</f>
        <v>182.67.99.120/80.518.230.410/26.847.95.107/188.12.67.92</v>
      </c>
      <c r="C47" s="6" t="str">
        <f>Table333456789101217[[#This Row],[Carrier Code]]</f>
        <v>ID</v>
      </c>
      <c r="D47" s="7">
        <v>0</v>
      </c>
      <c r="E47" s="7">
        <v>0</v>
      </c>
      <c r="F47" s="18">
        <f>Table333456789101211212223[[#This Row],[Company Panel]]+Table3334567891012112122[[#This Row],[MTD Company]]</f>
        <v>0</v>
      </c>
      <c r="G47" s="18">
        <f>Table333456789101211212223[[#This Row],[Our panel]]+Table3334567891012112122[[#This Row],[MTD Panel]]</f>
        <v>0</v>
      </c>
      <c r="H47" s="13">
        <f>Table333456789101211212223[[#This Row],[Company Panel]]-Table333456789101211212223[[#This Row],[Our panel]]</f>
        <v>0</v>
      </c>
      <c r="I47" s="13">
        <f>Table333456789101211212223[[#This Row],[MTD Company]]-Table333456789101211212223[[#This Row],[MTD Panel]]</f>
        <v>0</v>
      </c>
    </row>
    <row r="48" spans="1:9">
      <c r="A48" s="11" t="str">
        <f>Table333456789101217[[#This Row],[Carrier]]</f>
        <v>Delusion</v>
      </c>
      <c r="B48" s="5" t="str">
        <f>Table333456789101217[[#This Row],[IP]]</f>
        <v>198.51.100.72/69.887.74.738/39.153.110.645</v>
      </c>
      <c r="C48" s="6" t="str">
        <f>Table333456789101217[[#This Row],[Carrier Code]]</f>
        <v>DU</v>
      </c>
      <c r="D48" s="7">
        <v>0</v>
      </c>
      <c r="E48" s="7">
        <v>0</v>
      </c>
      <c r="F48" s="18">
        <f>Table333456789101211212223[[#This Row],[Company Panel]]+Table3334567891012112122[[#This Row],[MTD Company]]</f>
        <v>0</v>
      </c>
      <c r="G48" s="18">
        <f>Table333456789101211212223[[#This Row],[Our panel]]+Table3334567891012112122[[#This Row],[MTD Panel]]</f>
        <v>0</v>
      </c>
      <c r="H48" s="13">
        <f>Table333456789101211212223[[#This Row],[Company Panel]]-Table333456789101211212223[[#This Row],[Our panel]]</f>
        <v>0</v>
      </c>
      <c r="I48" s="13">
        <f>Table333456789101211212223[[#This Row],[MTD Company]]-Table333456789101211212223[[#This Row],[MTD Panel]]</f>
        <v>0</v>
      </c>
    </row>
    <row r="49" spans="1:9" ht="15.5">
      <c r="A49" s="11" t="str">
        <f>Table333456789101217[[#This Row],[Carrier]]</f>
        <v>Total</v>
      </c>
      <c r="B49" s="14"/>
      <c r="C49" s="15"/>
      <c r="D49" s="16">
        <f>SUM(D3:D48)</f>
        <v>3736.0833333333339</v>
      </c>
      <c r="E49" s="16">
        <f t="shared" ref="E49:I49" si="0">SUM(E3:E48)</f>
        <v>3736.0833333333339</v>
      </c>
      <c r="F49" s="16">
        <f t="shared" si="0"/>
        <v>157454.44999999995</v>
      </c>
      <c r="G49" s="16">
        <f t="shared" si="0"/>
        <v>157454.44999999995</v>
      </c>
      <c r="H49" s="16">
        <f t="shared" si="0"/>
        <v>0</v>
      </c>
      <c r="I49" s="16">
        <f t="shared" si="0"/>
        <v>0</v>
      </c>
    </row>
    <row r="50" spans="1:9">
      <c r="G50" s="61"/>
    </row>
    <row r="51" spans="1:9">
      <c r="G51" s="61"/>
    </row>
    <row r="52" spans="1:9">
      <c r="G52" s="61"/>
    </row>
    <row r="53" spans="1:9">
      <c r="G53" s="9"/>
    </row>
  </sheetData>
  <conditionalFormatting sqref="H2:I48">
    <cfRule type="cellIs" dxfId="281" priority="12" operator="lessThan">
      <formula>0</formula>
    </cfRule>
  </conditionalFormatting>
  <conditionalFormatting sqref="I30:I48">
    <cfRule type="cellIs" dxfId="280" priority="11" operator="lessThan">
      <formula>0</formula>
    </cfRule>
  </conditionalFormatting>
  <conditionalFormatting sqref="H3:I48">
    <cfRule type="cellIs" dxfId="279" priority="10" operator="lessThan">
      <formula>0</formula>
    </cfRule>
  </conditionalFormatting>
  <conditionalFormatting sqref="I30:I48">
    <cfRule type="cellIs" dxfId="278" priority="9" operator="lessThan">
      <formula>0</formula>
    </cfRule>
  </conditionalFormatting>
  <conditionalFormatting sqref="I3:I48">
    <cfRule type="cellIs" dxfId="277" priority="1" operator="lessThan">
      <formula>0</formula>
    </cfRule>
    <cfRule type="cellIs" dxfId="276" priority="2" operator="lessThan">
      <formula>0</formula>
    </cfRule>
  </conditionalFormatting>
  <hyperlinks>
    <hyperlink ref="E1" location="H!A1" display="Home"/>
    <hyperlink ref="D1" location="'15'!D1" display="←"/>
    <hyperlink ref="F1" location="'17'!F1" display="→"/>
  </hyperlink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"/>
  <sheetViews>
    <sheetView workbookViewId="0">
      <selection activeCell="D3" sqref="D3"/>
    </sheetView>
  </sheetViews>
  <sheetFormatPr defaultRowHeight="14.5"/>
  <cols>
    <col min="1" max="1" width="26.7265625" bestFit="1" customWidth="1"/>
    <col min="2" max="2" width="37" bestFit="1" customWidth="1"/>
    <col min="3" max="3" width="10.453125" customWidth="1"/>
    <col min="4" max="9" width="12.7265625" customWidth="1"/>
  </cols>
  <sheetData>
    <row r="1" spans="1:12" ht="18.5">
      <c r="A1" s="23" t="str">
        <f>H!D2</f>
        <v>17th April 2025</v>
      </c>
      <c r="B1" s="24"/>
      <c r="C1" s="24"/>
      <c r="D1" s="22" t="s">
        <v>16</v>
      </c>
      <c r="E1" s="22" t="s">
        <v>9</v>
      </c>
      <c r="F1" s="22" t="s">
        <v>17</v>
      </c>
    </row>
    <row r="2" spans="1:12" ht="31">
      <c r="A2" s="1" t="s">
        <v>0</v>
      </c>
      <c r="B2" s="2" t="s">
        <v>1</v>
      </c>
      <c r="C2" s="2" t="s">
        <v>2</v>
      </c>
      <c r="D2" s="2" t="s">
        <v>3</v>
      </c>
      <c r="E2" s="2" t="s">
        <v>11</v>
      </c>
      <c r="F2" s="2" t="s">
        <v>4</v>
      </c>
      <c r="G2" s="4" t="s">
        <v>6</v>
      </c>
      <c r="H2" s="4" t="s">
        <v>7</v>
      </c>
      <c r="I2" s="3" t="s">
        <v>8</v>
      </c>
    </row>
    <row r="3" spans="1:12">
      <c r="A3" s="11" t="str">
        <f>Table333456789101217[[#This Row],[Carrier]]</f>
        <v>Blaze</v>
      </c>
      <c r="B3" s="5" t="str">
        <f>Table333456789101217[[#This Row],[IP]]</f>
        <v>8.12.34.56/48.163.17.845/60.502.86.203/191.45.28.14</v>
      </c>
      <c r="C3" s="6" t="str">
        <f>Table333456789101217[[#This Row],[Carrier Code]]</f>
        <v>BZ</v>
      </c>
      <c r="D3" s="53">
        <v>0</v>
      </c>
      <c r="E3" s="53">
        <v>0</v>
      </c>
      <c r="F3" s="18">
        <f>Table33345678910121121222324[[#This Row],[Company Panel]]+Table333456789101211212223[[#This Row],[MTD Company]]</f>
        <v>0</v>
      </c>
      <c r="G3" s="18">
        <f>Table33345678910121121222324[[#This Row],[Our panel]]+Table333456789101211212223[[#This Row],[MTD Panel]]</f>
        <v>0</v>
      </c>
      <c r="H3" s="13">
        <f>Table33345678910121121222324[[#This Row],[Company Panel]]-Table33345678910121121222324[[#This Row],[Our panel]]</f>
        <v>0</v>
      </c>
      <c r="I3" s="13">
        <f>Table33345678910121121222324[[#This Row],[MTD Company]]-Table33345678910121121222324[[#This Row],[MTD Panel]]</f>
        <v>0</v>
      </c>
    </row>
    <row r="4" spans="1:12">
      <c r="A4" s="11" t="str">
        <f>Table333456789101217[[#This Row],[Carrier]]</f>
        <v>Titan</v>
      </c>
      <c r="B4" s="5" t="str">
        <f>Table333456789101217[[#This Row],[IP]]</f>
        <v>123.45.67.89/123.45.67.93/203.24.101.65</v>
      </c>
      <c r="C4" s="6" t="str">
        <f>Table333456789101217[[#This Row],[Carrier Code]]</f>
        <v>TI</v>
      </c>
      <c r="D4" s="53">
        <v>6.6666666666666666E-2</v>
      </c>
      <c r="E4" s="53">
        <v>6.6666666666666666E-2</v>
      </c>
      <c r="F4" s="18">
        <f>Table33345678910121121222324[[#This Row],[Company Panel]]+Table333456789101211212223[[#This Row],[MTD Company]]</f>
        <v>324.01666666666665</v>
      </c>
      <c r="G4" s="18">
        <f>Table33345678910121121222324[[#This Row],[Our panel]]+Table333456789101211212223[[#This Row],[MTD Panel]]</f>
        <v>324.01666666666665</v>
      </c>
      <c r="H4" s="13">
        <f>Table33345678910121121222324[[#This Row],[Company Panel]]-Table33345678910121121222324[[#This Row],[Our panel]]</f>
        <v>0</v>
      </c>
      <c r="I4" s="13">
        <f>Table33345678910121121222324[[#This Row],[MTD Company]]-Table33345678910121121222324[[#This Row],[MTD Panel]]</f>
        <v>0</v>
      </c>
      <c r="L4" s="9"/>
    </row>
    <row r="5" spans="1:12">
      <c r="A5" s="11" t="str">
        <f>Table333456789101217[[#This Row],[Carrier]]</f>
        <v>Hollow</v>
      </c>
      <c r="B5" s="5" t="str">
        <f>Table333456789101217[[#This Row],[IP]]</f>
        <v>204.56.78.100/204.56.57.169/52.94.101.12</v>
      </c>
      <c r="C5" s="6" t="str">
        <f>Table333456789101217[[#This Row],[Carrier Code]]</f>
        <v>HO</v>
      </c>
      <c r="D5" s="53">
        <v>0</v>
      </c>
      <c r="E5" s="53">
        <v>0</v>
      </c>
      <c r="F5" s="18">
        <f>Table33345678910121121222324[[#This Row],[Company Panel]]+Table333456789101211212223[[#This Row],[MTD Company]]</f>
        <v>0</v>
      </c>
      <c r="G5" s="18">
        <f>Table33345678910121121222324[[#This Row],[Our panel]]+Table333456789101211212223[[#This Row],[MTD Panel]]</f>
        <v>0</v>
      </c>
      <c r="H5" s="13">
        <f>Table33345678910121121222324[[#This Row],[Company Panel]]-Table33345678910121121222324[[#This Row],[Our panel]]</f>
        <v>0</v>
      </c>
      <c r="I5" s="13">
        <f>Table33345678910121121222324[[#This Row],[MTD Company]]-Table33345678910121121222324[[#This Row],[MTD Panel]]</f>
        <v>0</v>
      </c>
    </row>
    <row r="6" spans="1:12">
      <c r="A6" s="11" t="str">
        <f>Table333456789101217[[#This Row],[Carrier]]</f>
        <v>Prism</v>
      </c>
      <c r="B6" s="5" t="str">
        <f>Table333456789101217[[#This Row],[IP]]</f>
        <v>35.118.22.45/137.63.112.25</v>
      </c>
      <c r="C6" s="6" t="str">
        <f>Table333456789101217[[#This Row],[Carrier Code]]</f>
        <v>PS</v>
      </c>
      <c r="D6" s="53">
        <v>595.73333333333335</v>
      </c>
      <c r="E6" s="53">
        <v>595.73333333333335</v>
      </c>
      <c r="F6" s="18">
        <f>Table33345678910121121222324[[#This Row],[Company Panel]]+Table333456789101211212223[[#This Row],[MTD Company]]</f>
        <v>62384.883333333317</v>
      </c>
      <c r="G6" s="18">
        <f>Table33345678910121121222324[[#This Row],[Our panel]]+Table333456789101211212223[[#This Row],[MTD Panel]]</f>
        <v>62384.883333333317</v>
      </c>
      <c r="H6" s="13">
        <f>Table33345678910121121222324[[#This Row],[Company Panel]]-Table33345678910121121222324[[#This Row],[Our panel]]</f>
        <v>0</v>
      </c>
      <c r="I6" s="13">
        <f>Table33345678910121121222324[[#This Row],[MTD Company]]-Table33345678910121121222324[[#This Row],[MTD Panel]]</f>
        <v>0</v>
      </c>
    </row>
    <row r="7" spans="1:12">
      <c r="A7" s="11" t="str">
        <f>Table333456789101217[[#This Row],[Carrier]]</f>
        <v>Echo</v>
      </c>
      <c r="B7" s="5" t="str">
        <f>Table333456789101217[[#This Row],[IP]]</f>
        <v>66.89.101.10/66.89.101.19/66.89.101.23/66.89.101.45/66.89.101.81/85.21.34.99</v>
      </c>
      <c r="C7" s="6" t="str">
        <f>Table333456789101217[[#This Row],[Carrier Code]]</f>
        <v>EC</v>
      </c>
      <c r="D7" s="53">
        <v>2.2999999999999998</v>
      </c>
      <c r="E7" s="53">
        <v>2.2999999999999998</v>
      </c>
      <c r="F7" s="18">
        <f>Table33345678910121121222324[[#This Row],[Company Panel]]+Table333456789101211212223[[#This Row],[MTD Company]]</f>
        <v>47.666666666666671</v>
      </c>
      <c r="G7" s="18">
        <f>Table33345678910121121222324[[#This Row],[Our panel]]+Table333456789101211212223[[#This Row],[MTD Panel]]</f>
        <v>47.666666666666671</v>
      </c>
      <c r="H7" s="13">
        <f>Table33345678910121121222324[[#This Row],[Company Panel]]-Table33345678910121121222324[[#This Row],[Our panel]]</f>
        <v>0</v>
      </c>
      <c r="I7" s="13">
        <f>Table33345678910121121222324[[#This Row],[MTD Company]]-Table33345678910121121222324[[#This Row],[MTD Panel]]</f>
        <v>0</v>
      </c>
    </row>
    <row r="8" spans="1:12">
      <c r="A8" s="11" t="str">
        <f>Table333456789101217[[#This Row],[Carrier]]</f>
        <v>Strike</v>
      </c>
      <c r="B8" s="5" t="str">
        <f>Table333456789101217[[#This Row],[IP]]</f>
        <v>100.200.150.3/100.200.165.38/41.102.90.78</v>
      </c>
      <c r="C8" s="6" t="str">
        <f>Table333456789101217[[#This Row],[Carrier Code]]</f>
        <v>ST</v>
      </c>
      <c r="D8" s="53">
        <v>93.2</v>
      </c>
      <c r="E8" s="53">
        <v>93.2</v>
      </c>
      <c r="F8" s="18">
        <f>Table33345678910121121222324[[#This Row],[Company Panel]]+Table333456789101211212223[[#This Row],[MTD Company]]</f>
        <v>1860.6833333333329</v>
      </c>
      <c r="G8" s="18">
        <f>Table33345678910121121222324[[#This Row],[Our panel]]+Table333456789101211212223[[#This Row],[MTD Panel]]</f>
        <v>1860.6833333333329</v>
      </c>
      <c r="H8" s="13">
        <f>Table33345678910121121222324[[#This Row],[Company Panel]]-Table33345678910121121222324[[#This Row],[Our panel]]</f>
        <v>0</v>
      </c>
      <c r="I8" s="13">
        <f>Table33345678910121121222324[[#This Row],[MTD Company]]-Table33345678910121121222324[[#This Row],[MTD Panel]]</f>
        <v>0</v>
      </c>
      <c r="L8" s="9"/>
    </row>
    <row r="9" spans="1:12">
      <c r="A9" s="11" t="str">
        <f>Table333456789101217[[#This Row],[Carrier]]</f>
        <v>Blunt</v>
      </c>
      <c r="B9" s="5" t="str">
        <f>Table333456789101217[[#This Row],[IP]]</f>
        <v>52.28.191.25/52.28.191.38/52.28.191.24/61.110.23.45</v>
      </c>
      <c r="C9" s="6" t="str">
        <f>Table333456789101217[[#This Row],[Carrier Code]]</f>
        <v>BL</v>
      </c>
      <c r="D9" s="53">
        <v>75.2</v>
      </c>
      <c r="E9" s="53">
        <v>75.2</v>
      </c>
      <c r="F9" s="18">
        <f>Table33345678910121121222324[[#This Row],[Company Panel]]+Table333456789101211212223[[#This Row],[MTD Company]]</f>
        <v>9869.9000000000015</v>
      </c>
      <c r="G9" s="18">
        <f>Table33345678910121121222324[[#This Row],[Our panel]]+Table333456789101211212223[[#This Row],[MTD Panel]]</f>
        <v>9869.9000000000015</v>
      </c>
      <c r="H9" s="13">
        <f>Table33345678910121121222324[[#This Row],[Company Panel]]-Table33345678910121121222324[[#This Row],[Our panel]]</f>
        <v>0</v>
      </c>
      <c r="I9" s="13">
        <f>Table33345678910121121222324[[#This Row],[MTD Company]]-Table33345678910121121222324[[#This Row],[MTD Panel]]</f>
        <v>0</v>
      </c>
    </row>
    <row r="10" spans="1:12">
      <c r="A10" s="11" t="str">
        <f>Table333456789101217[[#This Row],[Carrier]]</f>
        <v>Law</v>
      </c>
      <c r="B10" s="5" t="str">
        <f>Table333456789101217[[#This Row],[IP]]</f>
        <v>77.88.99.21/77.88.99.88/77.88.99.94/110.56.211.7</v>
      </c>
      <c r="C10" s="6" t="str">
        <f>Table333456789101217[[#This Row],[Carrier Code]]</f>
        <v>LA</v>
      </c>
      <c r="D10" s="53">
        <v>0</v>
      </c>
      <c r="E10" s="53">
        <v>0</v>
      </c>
      <c r="F10" s="18">
        <f>Table33345678910121121222324[[#This Row],[Company Panel]]+Table333456789101211212223[[#This Row],[MTD Company]]</f>
        <v>0</v>
      </c>
      <c r="G10" s="18">
        <f>Table33345678910121121222324[[#This Row],[Our panel]]+Table333456789101211212223[[#This Row],[MTD Panel]]</f>
        <v>0</v>
      </c>
      <c r="H10" s="13">
        <f>Table33345678910121121222324[[#This Row],[Company Panel]]-Table33345678910121121222324[[#This Row],[Our panel]]</f>
        <v>0</v>
      </c>
      <c r="I10" s="13">
        <f>Table33345678910121121222324[[#This Row],[MTD Company]]-Table33345678910121121222324[[#This Row],[MTD Panel]]</f>
        <v>0</v>
      </c>
    </row>
    <row r="11" spans="1:12">
      <c r="A11" s="11" t="str">
        <f>Table333456789101217[[#This Row],[Carrier]]</f>
        <v>Pulse</v>
      </c>
      <c r="B11" s="5" t="str">
        <f>Table333456789101217[[#This Row],[IP]]</f>
        <v>198.51.100.130/31.725.16.608/66.59.61.503/167.34.122.90</v>
      </c>
      <c r="C11" s="6" t="str">
        <f>Table333456789101217[[#This Row],[Carrier Code]]</f>
        <v>PU</v>
      </c>
      <c r="D11" s="53">
        <v>0</v>
      </c>
      <c r="E11" s="53">
        <v>0</v>
      </c>
      <c r="F11" s="18">
        <f>Table33345678910121121222324[[#This Row],[Company Panel]]+Table333456789101211212223[[#This Row],[MTD Company]]</f>
        <v>0</v>
      </c>
      <c r="G11" s="18">
        <f>Table33345678910121121222324[[#This Row],[Our panel]]+Table333456789101211212223[[#This Row],[MTD Panel]]</f>
        <v>0</v>
      </c>
      <c r="H11" s="13">
        <f>Table33345678910121121222324[[#This Row],[Company Panel]]-Table33345678910121121222324[[#This Row],[Our panel]]</f>
        <v>0</v>
      </c>
      <c r="I11" s="13">
        <f>Table33345678910121121222324[[#This Row],[MTD Company]]-Table33345678910121121222324[[#This Row],[MTD Panel]]</f>
        <v>0</v>
      </c>
    </row>
    <row r="12" spans="1:12">
      <c r="A12" s="11" t="str">
        <f>Table333456789101217[[#This Row],[Carrier]]</f>
        <v>Phantom</v>
      </c>
      <c r="B12" s="5" t="str">
        <f>Table333456789101217[[#This Row],[IP]]</f>
        <v>141.15.210.67/141.15.42.82/179.62.211.4</v>
      </c>
      <c r="C12" s="6" t="str">
        <f>Table333456789101217[[#This Row],[Carrier Code]]</f>
        <v>PH</v>
      </c>
      <c r="D12" s="53">
        <v>1.7</v>
      </c>
      <c r="E12" s="53">
        <v>1.7</v>
      </c>
      <c r="F12" s="18">
        <f>Table33345678910121121222324[[#This Row],[Company Panel]]+Table333456789101211212223[[#This Row],[MTD Company]]</f>
        <v>3332.1999999999994</v>
      </c>
      <c r="G12" s="18">
        <f>Table33345678910121121222324[[#This Row],[Our panel]]+Table333456789101211212223[[#This Row],[MTD Panel]]</f>
        <v>3332.1999999999994</v>
      </c>
      <c r="H12" s="13">
        <f>Table33345678910121121222324[[#This Row],[Company Panel]]-Table33345678910121121222324[[#This Row],[Our panel]]</f>
        <v>0</v>
      </c>
      <c r="I12" s="13">
        <f>Table33345678910121121222324[[#This Row],[MTD Company]]-Table33345678910121121222324[[#This Row],[MTD Panel]]</f>
        <v>0</v>
      </c>
    </row>
    <row r="13" spans="1:12">
      <c r="A13" s="11" t="str">
        <f>Table333456789101217[[#This Row],[Carrier]]</f>
        <v>Dragon</v>
      </c>
      <c r="B13" s="5" t="str">
        <f>Table333456789101217[[#This Row],[IP]]</f>
        <v>12.34.56.78/12.34.56.128/200.180.245.18</v>
      </c>
      <c r="C13" s="6" t="str">
        <f>Table333456789101217[[#This Row],[Carrier Code]]</f>
        <v>DG</v>
      </c>
      <c r="D13" s="53">
        <v>0</v>
      </c>
      <c r="E13" s="53">
        <v>0</v>
      </c>
      <c r="F13" s="18">
        <f>Table33345678910121121222324[[#This Row],[Company Panel]]+Table333456789101211212223[[#This Row],[MTD Company]]</f>
        <v>0</v>
      </c>
      <c r="G13" s="18">
        <f>Table33345678910121121222324[[#This Row],[Our panel]]+Table333456789101211212223[[#This Row],[MTD Panel]]</f>
        <v>0</v>
      </c>
      <c r="H13" s="13">
        <f>Table33345678910121121222324[[#This Row],[Company Panel]]-Table33345678910121121222324[[#This Row],[Our panel]]</f>
        <v>0</v>
      </c>
      <c r="I13" s="13">
        <f>Table33345678910121121222324[[#This Row],[MTD Company]]-Table33345678910121121222324[[#This Row],[MTD Panel]]</f>
        <v>0</v>
      </c>
    </row>
    <row r="14" spans="1:12">
      <c r="A14" s="11" t="str">
        <f>Table333456789101217[[#This Row],[Carrier]]</f>
        <v>Tempest</v>
      </c>
      <c r="B14" s="5" t="str">
        <f>Table333456789101217[[#This Row],[IP]]</f>
        <v>59.144.223.88/55.39.99.60</v>
      </c>
      <c r="C14" s="6" t="str">
        <f>Table333456789101217[[#This Row],[Carrier Code]]</f>
        <v>TE</v>
      </c>
      <c r="D14" s="53">
        <v>0</v>
      </c>
      <c r="E14" s="53">
        <v>0</v>
      </c>
      <c r="F14" s="18">
        <f>Table33345678910121121222324[[#This Row],[Company Panel]]+Table333456789101211212223[[#This Row],[MTD Company]]</f>
        <v>0</v>
      </c>
      <c r="G14" s="18">
        <f>Table33345678910121121222324[[#This Row],[Our panel]]+Table333456789101211212223[[#This Row],[MTD Panel]]</f>
        <v>0</v>
      </c>
      <c r="H14" s="13">
        <f>Table33345678910121121222324[[#This Row],[Company Panel]]-Table33345678910121121222324[[#This Row],[Our panel]]</f>
        <v>0</v>
      </c>
      <c r="I14" s="13">
        <f>Table33345678910121121222324[[#This Row],[MTD Company]]-Table33345678910121121222324[[#This Row],[MTD Panel]]</f>
        <v>0</v>
      </c>
    </row>
    <row r="15" spans="1:12">
      <c r="A15" s="11" t="str">
        <f>Table333456789101217[[#This Row],[Carrier]]</f>
        <v>Shadow</v>
      </c>
      <c r="B15" s="5" t="str">
        <f>Table333456789101217[[#This Row],[IP]]</f>
        <v>175.45.112.100/25.851.31.153/39.80.220.100</v>
      </c>
      <c r="C15" s="6" t="str">
        <f>Table333456789101217[[#This Row],[Carrier Code]]</f>
        <v>SH</v>
      </c>
      <c r="D15" s="53">
        <v>0.1</v>
      </c>
      <c r="E15" s="53">
        <v>0.1</v>
      </c>
      <c r="F15" s="18">
        <f>Table33345678910121121222324[[#This Row],[Company Panel]]+Table333456789101211212223[[#This Row],[MTD Company]]</f>
        <v>0.1</v>
      </c>
      <c r="G15" s="18">
        <f>Table33345678910121121222324[[#This Row],[Our panel]]+Table333456789101211212223[[#This Row],[MTD Panel]]</f>
        <v>0.1</v>
      </c>
      <c r="H15" s="13">
        <f>Table33345678910121121222324[[#This Row],[Company Panel]]-Table33345678910121121222324[[#This Row],[Our panel]]</f>
        <v>0</v>
      </c>
      <c r="I15" s="13">
        <f>Table33345678910121121222324[[#This Row],[MTD Company]]-Table33345678910121121222324[[#This Row],[MTD Panel]]</f>
        <v>0</v>
      </c>
    </row>
    <row r="16" spans="1:12">
      <c r="A16" s="11" t="str">
        <f>Table333456789101217[[#This Row],[Carrier]]</f>
        <v>Cyclone</v>
      </c>
      <c r="B16" s="5" t="str">
        <f>Table333456789101217[[#This Row],[IP]]</f>
        <v>150.13.75.190/16.160.89.512/72.11.97.34</v>
      </c>
      <c r="C16" s="6" t="str">
        <f>Table333456789101217[[#This Row],[Carrier Code]]</f>
        <v>CY</v>
      </c>
      <c r="D16" s="53">
        <v>0</v>
      </c>
      <c r="E16" s="53">
        <v>0</v>
      </c>
      <c r="F16" s="18">
        <f>Table33345678910121121222324[[#This Row],[Company Panel]]+Table333456789101211212223[[#This Row],[MTD Company]]</f>
        <v>0</v>
      </c>
      <c r="G16" s="18">
        <f>Table33345678910121121222324[[#This Row],[Our panel]]+Table333456789101211212223[[#This Row],[MTD Panel]]</f>
        <v>0</v>
      </c>
      <c r="H16" s="13">
        <f>Table33345678910121121222324[[#This Row],[Company Panel]]-Table33345678910121121222324[[#This Row],[Our panel]]</f>
        <v>0</v>
      </c>
      <c r="I16" s="13">
        <f>Table33345678910121121222324[[#This Row],[MTD Company]]-Table33345678910121121222324[[#This Row],[MTD Panel]]</f>
        <v>0</v>
      </c>
    </row>
    <row r="17" spans="1:9">
      <c r="A17" s="11" t="str">
        <f>Table333456789101217[[#This Row],[Carrier]]</f>
        <v>Reaver</v>
      </c>
      <c r="B17" s="5" t="str">
        <f>Table333456789101217[[#This Row],[IP]]</f>
        <v>203.0.113.44/188.17.56.210</v>
      </c>
      <c r="C17" s="6" t="str">
        <f>Table333456789101217[[#This Row],[Carrier Code]]</f>
        <v>RE</v>
      </c>
      <c r="D17" s="53">
        <v>0</v>
      </c>
      <c r="E17" s="53">
        <v>0</v>
      </c>
      <c r="F17" s="18">
        <f>Table33345678910121121222324[[#This Row],[Company Panel]]+Table333456789101211212223[[#This Row],[MTD Company]]</f>
        <v>0</v>
      </c>
      <c r="G17" s="18">
        <f>Table33345678910121121222324[[#This Row],[Our panel]]+Table333456789101211212223[[#This Row],[MTD Panel]]</f>
        <v>0</v>
      </c>
      <c r="H17" s="13">
        <f>Table33345678910121121222324[[#This Row],[Company Panel]]-Table33345678910121121222324[[#This Row],[Our panel]]</f>
        <v>0</v>
      </c>
      <c r="I17" s="13">
        <f>Table33345678910121121222324[[#This Row],[MTD Company]]-Table33345678910121121222324[[#This Row],[MTD Panel]]</f>
        <v>0</v>
      </c>
    </row>
    <row r="18" spans="1:9">
      <c r="A18" s="11" t="str">
        <f>Table333456789101217[[#This Row],[Carrier]]</f>
        <v>Forge</v>
      </c>
      <c r="B18" s="5" t="str">
        <f>Table333456789101217[[#This Row],[IP]]</f>
        <v>112.54.89.168/112.54.89.138</v>
      </c>
      <c r="C18" s="6" t="str">
        <f>Table333456789101217[[#This Row],[Carrier Code]]</f>
        <v>FO</v>
      </c>
      <c r="D18" s="53">
        <v>15.383333333333333</v>
      </c>
      <c r="E18" s="53">
        <v>15.383333333333333</v>
      </c>
      <c r="F18" s="18">
        <f>Table33345678910121121222324[[#This Row],[Company Panel]]+Table333456789101211212223[[#This Row],[MTD Company]]</f>
        <v>453.09999999999997</v>
      </c>
      <c r="G18" s="18">
        <f>Table33345678910121121222324[[#This Row],[Our panel]]+Table333456789101211212223[[#This Row],[MTD Panel]]</f>
        <v>453.09999999999997</v>
      </c>
      <c r="H18" s="13">
        <f>Table33345678910121121222324[[#This Row],[Company Panel]]-Table33345678910121121222324[[#This Row],[Our panel]]</f>
        <v>0</v>
      </c>
      <c r="I18" s="13">
        <f>Table33345678910121121222324[[#This Row],[MTD Company]]-Table33345678910121121222324[[#This Row],[MTD Panel]]</f>
        <v>0</v>
      </c>
    </row>
    <row r="19" spans="1:9">
      <c r="A19" s="11" t="str">
        <f>Table333456789101217[[#This Row],[Carrier]]</f>
        <v>Ember</v>
      </c>
      <c r="B19" s="5" t="str">
        <f>Table333456789101217[[#This Row],[IP]]</f>
        <v>78.34.90.24/328.56.122.44/142.150.75.22</v>
      </c>
      <c r="C19" s="6" t="str">
        <f>Table333456789101217[[#This Row],[Carrier Code]]</f>
        <v>EM</v>
      </c>
      <c r="D19" s="53">
        <v>0</v>
      </c>
      <c r="E19" s="53">
        <v>0</v>
      </c>
      <c r="F19" s="18">
        <f>Table33345678910121121222324[[#This Row],[Company Panel]]+Table333456789101211212223[[#This Row],[MTD Company]]</f>
        <v>0</v>
      </c>
      <c r="G19" s="18">
        <f>Table33345678910121121222324[[#This Row],[Our panel]]+Table333456789101211212223[[#This Row],[MTD Panel]]</f>
        <v>0</v>
      </c>
      <c r="H19" s="13">
        <f>Table33345678910121121222324[[#This Row],[Company Panel]]-Table33345678910121121222324[[#This Row],[Our panel]]</f>
        <v>0</v>
      </c>
      <c r="I19" s="13">
        <f>Table33345678910121121222324[[#This Row],[MTD Company]]-Table33345678910121121222324[[#This Row],[MTD Panel]]</f>
        <v>0</v>
      </c>
    </row>
    <row r="20" spans="1:9">
      <c r="A20" s="11" t="str">
        <f>Table333456789101217[[#This Row],[Carrier]]</f>
        <v>Specter</v>
      </c>
      <c r="B20" s="5" t="str">
        <f>Table333456789101217[[#This Row],[IP]]</f>
        <v>205.60.34.150</v>
      </c>
      <c r="C20" s="6" t="str">
        <f>Table333456789101217[[#This Row],[Carrier Code]]</f>
        <v>SP</v>
      </c>
      <c r="D20" s="53">
        <v>0</v>
      </c>
      <c r="E20" s="53">
        <v>0</v>
      </c>
      <c r="F20" s="18">
        <f>Table33345678910121121222324[[#This Row],[Company Panel]]+Table333456789101211212223[[#This Row],[MTD Company]]</f>
        <v>11.950000000000003</v>
      </c>
      <c r="G20" s="18">
        <f>Table33345678910121121222324[[#This Row],[Our panel]]+Table333456789101211212223[[#This Row],[MTD Panel]]</f>
        <v>11.950000000000003</v>
      </c>
      <c r="H20" s="13">
        <f>Table33345678910121121222324[[#This Row],[Company Panel]]-Table33345678910121121222324[[#This Row],[Our panel]]</f>
        <v>0</v>
      </c>
      <c r="I20" s="13">
        <f>Table33345678910121121222324[[#This Row],[MTD Company]]-Table33345678910121121222324[[#This Row],[MTD Panel]]</f>
        <v>0</v>
      </c>
    </row>
    <row r="21" spans="1:9">
      <c r="A21" s="11" t="str">
        <f>Table333456789101217[[#This Row],[Carrier]]</f>
        <v>Throne</v>
      </c>
      <c r="B21" s="5" t="str">
        <f>Table333456789101217[[#This Row],[IP]]</f>
        <v>54.32.11.90/27.758.27.201/125.150.58.20</v>
      </c>
      <c r="C21" s="6" t="str">
        <f>Table333456789101217[[#This Row],[Carrier Code]]</f>
        <v>TH</v>
      </c>
      <c r="D21" s="53">
        <v>0</v>
      </c>
      <c r="E21" s="53">
        <v>0</v>
      </c>
      <c r="F21" s="18">
        <f>Table33345678910121121222324[[#This Row],[Company Panel]]+Table333456789101211212223[[#This Row],[MTD Company]]</f>
        <v>0</v>
      </c>
      <c r="G21" s="18">
        <f>Table33345678910121121222324[[#This Row],[Our panel]]+Table333456789101211212223[[#This Row],[MTD Panel]]</f>
        <v>0</v>
      </c>
      <c r="H21" s="13">
        <f>Table33345678910121121222324[[#This Row],[Company Panel]]-Table33345678910121121222324[[#This Row],[Our panel]]</f>
        <v>0</v>
      </c>
      <c r="I21" s="13">
        <f>Table33345678910121121222324[[#This Row],[MTD Company]]-Table33345678910121121222324[[#This Row],[MTD Panel]]</f>
        <v>0</v>
      </c>
    </row>
    <row r="22" spans="1:9">
      <c r="A22" s="11" t="str">
        <f>Table333456789101217[[#This Row],[Carrier]]</f>
        <v>Arcane</v>
      </c>
      <c r="B22" s="5" t="str">
        <f>Table333456789101217[[#This Row],[IP]]</f>
        <v>212.100.25.78/212.100.25.87</v>
      </c>
      <c r="C22" s="6" t="str">
        <f>Table333456789101217[[#This Row],[Carrier Code]]</f>
        <v>AR</v>
      </c>
      <c r="D22" s="53">
        <v>0</v>
      </c>
      <c r="E22" s="53">
        <v>0</v>
      </c>
      <c r="F22" s="18">
        <f>Table33345678910121121222324[[#This Row],[Company Panel]]+Table333456789101211212223[[#This Row],[MTD Company]]</f>
        <v>0.58333333333333337</v>
      </c>
      <c r="G22" s="18">
        <f>Table33345678910121121222324[[#This Row],[Our panel]]+Table333456789101211212223[[#This Row],[MTD Panel]]</f>
        <v>0.58333333333333337</v>
      </c>
      <c r="H22" s="13">
        <f>Table33345678910121121222324[[#This Row],[Company Panel]]-Table33345678910121121222324[[#This Row],[Our panel]]</f>
        <v>0</v>
      </c>
      <c r="I22" s="13">
        <f>Table33345678910121121222324[[#This Row],[MTD Company]]-Table33345678910121121222324[[#This Row],[MTD Panel]]</f>
        <v>0</v>
      </c>
    </row>
    <row r="23" spans="1:9">
      <c r="A23" s="11" t="str">
        <f>Table333456789101217[[#This Row],[Carrier]]</f>
        <v>Glitch</v>
      </c>
      <c r="B23" s="5" t="str">
        <f>Table333456789101217[[#This Row],[IP]]</f>
        <v>198.204.100.12/198.204.100.34/198.204.100.51</v>
      </c>
      <c r="C23" s="6" t="str">
        <f>Table333456789101217[[#This Row],[Carrier Code]]</f>
        <v>GL</v>
      </c>
      <c r="D23" s="53">
        <v>0</v>
      </c>
      <c r="E23" s="53">
        <v>0</v>
      </c>
      <c r="F23" s="18">
        <f>Table33345678910121121222324[[#This Row],[Company Panel]]+Table333456789101211212223[[#This Row],[MTD Company]]</f>
        <v>0</v>
      </c>
      <c r="G23" s="18">
        <f>Table33345678910121121222324[[#This Row],[Our panel]]+Table333456789101211212223[[#This Row],[MTD Panel]]</f>
        <v>0</v>
      </c>
      <c r="H23" s="13">
        <f>Table33345678910121121222324[[#This Row],[Company Panel]]-Table33345678910121121222324[[#This Row],[Our panel]]</f>
        <v>0</v>
      </c>
      <c r="I23" s="13">
        <f>Table33345678910121121222324[[#This Row],[MTD Company]]-Table33345678910121121222324[[#This Row],[MTD Panel]]</f>
        <v>0</v>
      </c>
    </row>
    <row r="24" spans="1:9">
      <c r="A24" s="11" t="str">
        <f>Table333456789101217[[#This Row],[Carrier]]</f>
        <v>Nitro</v>
      </c>
      <c r="B24" s="5" t="str">
        <f>Table333456789101217[[#This Row],[IP]]</f>
        <v>15.150.200.33/119.82.200.100</v>
      </c>
      <c r="C24" s="6" t="str">
        <f>Table333456789101217[[#This Row],[Carrier Code]]</f>
        <v>NI</v>
      </c>
      <c r="D24" s="53">
        <v>0</v>
      </c>
      <c r="E24" s="53">
        <v>0</v>
      </c>
      <c r="F24" s="18">
        <f>Table33345678910121121222324[[#This Row],[Company Panel]]+Table333456789101211212223[[#This Row],[MTD Company]]</f>
        <v>0</v>
      </c>
      <c r="G24" s="18">
        <f>Table33345678910121121222324[[#This Row],[Our panel]]+Table333456789101211212223[[#This Row],[MTD Panel]]</f>
        <v>0</v>
      </c>
      <c r="H24" s="13">
        <f>Table33345678910121121222324[[#This Row],[Company Panel]]-Table33345678910121121222324[[#This Row],[Our panel]]</f>
        <v>0</v>
      </c>
      <c r="I24" s="13">
        <f>Table33345678910121121222324[[#This Row],[MTD Company]]-Table33345678910121121222324[[#This Row],[MTD Panel]]</f>
        <v>0</v>
      </c>
    </row>
    <row r="25" spans="1:9">
      <c r="A25" s="11" t="str">
        <f>Table333456789101217[[#This Row],[Carrier]]</f>
        <v>Drip</v>
      </c>
      <c r="B25" s="5" t="str">
        <f>Table333456789101217[[#This Row],[IP]]</f>
        <v>84.13.76.190/90.945.80.11/198.160.234.5</v>
      </c>
      <c r="C25" s="6" t="str">
        <f>Table333456789101217[[#This Row],[Carrier Code]]</f>
        <v>DR</v>
      </c>
      <c r="D25" s="53">
        <v>0</v>
      </c>
      <c r="E25" s="53">
        <v>0</v>
      </c>
      <c r="F25" s="18">
        <f>Table33345678910121121222324[[#This Row],[Company Panel]]+Table333456789101211212223[[#This Row],[MTD Company]]</f>
        <v>0</v>
      </c>
      <c r="G25" s="18">
        <f>Table33345678910121121222324[[#This Row],[Our panel]]+Table333456789101211212223[[#This Row],[MTD Panel]]</f>
        <v>0</v>
      </c>
      <c r="H25" s="13">
        <f>Table33345678910121121222324[[#This Row],[Company Panel]]-Table33345678910121121222324[[#This Row],[Our panel]]</f>
        <v>0</v>
      </c>
      <c r="I25" s="13">
        <f>Table33345678910121121222324[[#This Row],[MTD Company]]-Table33345678910121121222324[[#This Row],[MTD Panel]]</f>
        <v>0</v>
      </c>
    </row>
    <row r="26" spans="1:9">
      <c r="A26" s="11" t="str">
        <f>Table333456789101217[[#This Row],[Carrier]]</f>
        <v>Glide</v>
      </c>
      <c r="B26" s="5" t="str">
        <f>Table333456789101217[[#This Row],[IP]]</f>
        <v>120.45.12.25/85.739.221.80/85.739.221.93</v>
      </c>
      <c r="C26" s="6" t="str">
        <f>Table333456789101217[[#This Row],[Carrier Code]]</f>
        <v>GI</v>
      </c>
      <c r="D26" s="53">
        <v>0</v>
      </c>
      <c r="E26" s="53">
        <v>0</v>
      </c>
      <c r="F26" s="18">
        <f>Table33345678910121121222324[[#This Row],[Company Panel]]+Table333456789101211212223[[#This Row],[MTD Company]]</f>
        <v>0</v>
      </c>
      <c r="G26" s="18">
        <f>Table33345678910121121222324[[#This Row],[Our panel]]+Table333456789101211212223[[#This Row],[MTD Panel]]</f>
        <v>0</v>
      </c>
      <c r="H26" s="13">
        <f>Table33345678910121121222324[[#This Row],[Company Panel]]-Table33345678910121121222324[[#This Row],[Our panel]]</f>
        <v>0</v>
      </c>
      <c r="I26" s="13">
        <f>Table33345678910121121222324[[#This Row],[MTD Company]]-Table33345678910121121222324[[#This Row],[MTD Panel]]</f>
        <v>0</v>
      </c>
    </row>
    <row r="27" spans="1:9">
      <c r="A27" s="11" t="str">
        <f>Table333456789101217[[#This Row],[Carrier]]</f>
        <v>Orbit</v>
      </c>
      <c r="B27" s="5" t="str">
        <f>Table333456789101217[[#This Row],[IP]]</f>
        <v>176.98.54.112/60.110.154.91/60.110.155.162</v>
      </c>
      <c r="C27" s="6" t="str">
        <f>Table333456789101217[[#This Row],[Carrier Code]]</f>
        <v>OR</v>
      </c>
      <c r="D27" s="53">
        <v>0</v>
      </c>
      <c r="E27" s="53">
        <v>0</v>
      </c>
      <c r="F27" s="18">
        <f>Table33345678910121121222324[[#This Row],[Company Panel]]+Table333456789101211212223[[#This Row],[MTD Company]]</f>
        <v>0</v>
      </c>
      <c r="G27" s="18">
        <f>Table33345678910121121222324[[#This Row],[Our panel]]+Table333456789101211212223[[#This Row],[MTD Panel]]</f>
        <v>0</v>
      </c>
      <c r="H27" s="13">
        <f>Table33345678910121121222324[[#This Row],[Company Panel]]-Table33345678910121121222324[[#This Row],[Our panel]]</f>
        <v>0</v>
      </c>
      <c r="I27" s="13">
        <f>Table33345678910121121222324[[#This Row],[MTD Company]]-Table33345678910121121222324[[#This Row],[MTD Panel]]</f>
        <v>0</v>
      </c>
    </row>
    <row r="28" spans="1:9">
      <c r="A28" s="11" t="str">
        <f>Table333456789101217[[#This Row],[Carrier]]</f>
        <v>Thunder</v>
      </c>
      <c r="B28" s="5" t="str">
        <f>Table333456789101217[[#This Row],[IP]]</f>
        <v>67.102.200.9/81.905.48.847/143.235.100.34</v>
      </c>
      <c r="C28" s="6" t="str">
        <f>Table333456789101217[[#This Row],[Carrier Code]]</f>
        <v>TU</v>
      </c>
      <c r="D28" s="53">
        <v>137.01666666666668</v>
      </c>
      <c r="E28" s="53">
        <v>137.01666666666668</v>
      </c>
      <c r="F28" s="18">
        <f>Table33345678910121121222324[[#This Row],[Company Panel]]+Table333456789101211212223[[#This Row],[MTD Company]]</f>
        <v>492.26666666666654</v>
      </c>
      <c r="G28" s="18">
        <f>Table33345678910121121222324[[#This Row],[Our panel]]+Table333456789101211212223[[#This Row],[MTD Panel]]</f>
        <v>492.26666666666654</v>
      </c>
      <c r="H28" s="13">
        <f>Table33345678910121121222324[[#This Row],[Company Panel]]-Table33345678910121121222324[[#This Row],[Our panel]]</f>
        <v>0</v>
      </c>
      <c r="I28" s="13">
        <f>Table33345678910121121222324[[#This Row],[MTD Company]]-Table33345678910121121222324[[#This Row],[MTD Panel]]</f>
        <v>0</v>
      </c>
    </row>
    <row r="29" spans="1:9">
      <c r="A29" s="11" t="str">
        <f>Table333456789101217[[#This Row],[Carrier]]</f>
        <v>Glimmer</v>
      </c>
      <c r="B29" s="5" t="str">
        <f>Table333456789101217[[#This Row],[IP]]</f>
        <v>99.22.211.100/71.54.85.344/71.54.85.218</v>
      </c>
      <c r="C29" s="6" t="str">
        <f>Table333456789101217[[#This Row],[Carrier Code]]</f>
        <v>GM</v>
      </c>
      <c r="D29" s="53">
        <v>0</v>
      </c>
      <c r="E29" s="53">
        <v>0</v>
      </c>
      <c r="F29" s="18">
        <f>Table33345678910121121222324[[#This Row],[Company Panel]]+Table333456789101211212223[[#This Row],[MTD Company]]</f>
        <v>0</v>
      </c>
      <c r="G29" s="18">
        <f>Table33345678910121121222324[[#This Row],[Our panel]]+Table333456789101211212223[[#This Row],[MTD Panel]]</f>
        <v>0</v>
      </c>
      <c r="H29" s="13">
        <f>Table33345678910121121222324[[#This Row],[Company Panel]]-Table33345678910121121222324[[#This Row],[Our panel]]</f>
        <v>0</v>
      </c>
      <c r="I29" s="13">
        <f>Table33345678910121121222324[[#This Row],[MTD Company]]-Table33345678910121121222324[[#This Row],[MTD Panel]]</f>
        <v>0</v>
      </c>
    </row>
    <row r="30" spans="1:9">
      <c r="A30" s="11" t="str">
        <f>Table333456789101217[[#This Row],[Carrier]]</f>
        <v>Fragment</v>
      </c>
      <c r="B30" s="5" t="str">
        <f>Table333456789101217[[#This Row],[IP]]</f>
        <v>203.0.113.56/195.56.101.10</v>
      </c>
      <c r="C30" s="6" t="str">
        <f>Table333456789101217[[#This Row],[Carrier Code]]</f>
        <v>FR</v>
      </c>
      <c r="D30" s="53">
        <v>0</v>
      </c>
      <c r="E30" s="53">
        <v>0</v>
      </c>
      <c r="F30" s="18">
        <f>Table33345678910121121222324[[#This Row],[Company Panel]]+Table333456789101211212223[[#This Row],[MTD Company]]</f>
        <v>0</v>
      </c>
      <c r="G30" s="18">
        <f>Table33345678910121121222324[[#This Row],[Our panel]]+Table333456789101211212223[[#This Row],[MTD Panel]]</f>
        <v>0</v>
      </c>
      <c r="H30" s="13">
        <f>Table33345678910121121222324[[#This Row],[Company Panel]]-Table33345678910121121222324[[#This Row],[Our panel]]</f>
        <v>0</v>
      </c>
      <c r="I30" s="13">
        <f>Table33345678910121121222324[[#This Row],[MTD Company]]-Table33345678910121121222324[[#This Row],[MTD Panel]]</f>
        <v>0</v>
      </c>
    </row>
    <row r="31" spans="1:9">
      <c r="A31" s="11" t="str">
        <f>Table333456789101217[[#This Row],[Carrier]]</f>
        <v>Dusk</v>
      </c>
      <c r="B31" s="5" t="str">
        <f>Table333456789101217[[#This Row],[IP]]</f>
        <v>33.44.55.66/33.44.55.84/33.44.55.122/214.68.90.122</v>
      </c>
      <c r="C31" s="6" t="str">
        <f>Table333456789101217[[#This Row],[Carrier Code]]</f>
        <v>DK</v>
      </c>
      <c r="D31" s="53">
        <v>0</v>
      </c>
      <c r="E31" s="53">
        <v>0</v>
      </c>
      <c r="F31" s="18">
        <f>Table33345678910121121222324[[#This Row],[Company Panel]]+Table333456789101211212223[[#This Row],[MTD Company]]</f>
        <v>0</v>
      </c>
      <c r="G31" s="18">
        <f>Table33345678910121121222324[[#This Row],[Our panel]]+Table333456789101211212223[[#This Row],[MTD Panel]]</f>
        <v>0</v>
      </c>
      <c r="H31" s="13">
        <f>Table33345678910121121222324[[#This Row],[Company Panel]]-Table33345678910121121222324[[#This Row],[Our panel]]</f>
        <v>0</v>
      </c>
      <c r="I31" s="13">
        <f>Table33345678910121121222324[[#This Row],[MTD Company]]-Table33345678910121121222324[[#This Row],[MTD Panel]]</f>
        <v>0</v>
      </c>
    </row>
    <row r="32" spans="1:9">
      <c r="A32" s="11" t="str">
        <f>Table333456789101217[[#This Row],[Carrier]]</f>
        <v>Breeze</v>
      </c>
      <c r="B32" s="5" t="str">
        <f>Table333456789101217[[#This Row],[IP]]</f>
        <v>199.123.87.45/199.123.34.52/77.189.22.56</v>
      </c>
      <c r="C32" s="6" t="str">
        <f>Table333456789101217[[#This Row],[Carrier Code]]</f>
        <v>BR</v>
      </c>
      <c r="D32" s="53">
        <v>0</v>
      </c>
      <c r="E32" s="53">
        <v>0</v>
      </c>
      <c r="F32" s="18">
        <f>Table33345678910121121222324[[#This Row],[Company Panel]]+Table333456789101211212223[[#This Row],[MTD Company]]</f>
        <v>0</v>
      </c>
      <c r="G32" s="18">
        <f>Table33345678910121121222324[[#This Row],[Our panel]]+Table333456789101211212223[[#This Row],[MTD Panel]]</f>
        <v>0</v>
      </c>
      <c r="H32" s="13">
        <f>Table33345678910121121222324[[#This Row],[Company Panel]]-Table33345678910121121222324[[#This Row],[Our panel]]</f>
        <v>0</v>
      </c>
      <c r="I32" s="13">
        <f>Table33345678910121121222324[[#This Row],[MTD Company]]-Table33345678910121121222324[[#This Row],[MTD Panel]]</f>
        <v>0</v>
      </c>
    </row>
    <row r="33" spans="1:9">
      <c r="A33" s="11" t="str">
        <f>Table333456789101217[[#This Row],[Carrier]]</f>
        <v>Clutch</v>
      </c>
      <c r="B33" s="5" t="str">
        <f>Table333456789101217[[#This Row],[IP]]</f>
        <v>55.66.77.88/84.126.79.28/152.233.45.11</v>
      </c>
      <c r="C33" s="6" t="str">
        <f>Table333456789101217[[#This Row],[Carrier Code]]</f>
        <v>CL</v>
      </c>
      <c r="D33" s="53">
        <v>0</v>
      </c>
      <c r="E33" s="53">
        <v>0</v>
      </c>
      <c r="F33" s="18">
        <f>Table33345678910121121222324[[#This Row],[Company Panel]]+Table333456789101211212223[[#This Row],[MTD Company]]</f>
        <v>0</v>
      </c>
      <c r="G33" s="18">
        <f>Table33345678910121121222324[[#This Row],[Our panel]]+Table333456789101211212223[[#This Row],[MTD Panel]]</f>
        <v>0</v>
      </c>
      <c r="H33" s="13">
        <f>Table33345678910121121222324[[#This Row],[Company Panel]]-Table33345678910121121222324[[#This Row],[Our panel]]</f>
        <v>0</v>
      </c>
      <c r="I33" s="13">
        <f>Table33345678910121121222324[[#This Row],[MTD Company]]-Table33345678910121121222324[[#This Row],[MTD Panel]]</f>
        <v>0</v>
      </c>
    </row>
    <row r="34" spans="1:9">
      <c r="A34" s="11" t="str">
        <f>Table333456789101217[[#This Row],[Carrier]]</f>
        <v>Haze</v>
      </c>
      <c r="B34" s="5" t="str">
        <f>Table333456789101217[[#This Row],[IP]]</f>
        <v>230.111.44.56</v>
      </c>
      <c r="C34" s="6" t="str">
        <f>Table333456789101217[[#This Row],[Carrier Code]]</f>
        <v>HZ</v>
      </c>
      <c r="D34" s="53">
        <v>311.93333333333334</v>
      </c>
      <c r="E34" s="53">
        <v>311.93333333333334</v>
      </c>
      <c r="F34" s="18">
        <f>Table33345678910121121222324[[#This Row],[Company Panel]]+Table333456789101211212223[[#This Row],[MTD Company]]</f>
        <v>1901.3333333333335</v>
      </c>
      <c r="G34" s="18">
        <f>Table33345678910121121222324[[#This Row],[Our panel]]+Table333456789101211212223[[#This Row],[MTD Panel]]</f>
        <v>1901.3333333333335</v>
      </c>
      <c r="H34" s="63">
        <f>Table33345678910121121222324[[#This Row],[Company Panel]]-Table33345678910121121222324[[#This Row],[Our panel]]</f>
        <v>0</v>
      </c>
      <c r="I34" s="63">
        <f>Table33345678910121121222324[[#This Row],[MTD Company]]-Table33345678910121121222324[[#This Row],[MTD Panel]]</f>
        <v>0</v>
      </c>
    </row>
    <row r="35" spans="1:9">
      <c r="A35" s="11" t="str">
        <f>Table333456789101217[[#This Row],[Carrier]]</f>
        <v>Vault</v>
      </c>
      <c r="B35" s="5" t="str">
        <f>Table333456789101217[[#This Row],[IP]]</f>
        <v>213.189.94.5/213.189.94.7/111.180.64.222</v>
      </c>
      <c r="C35" s="6" t="str">
        <f>Table333456789101217[[#This Row],[Carrier Code]]</f>
        <v>VA</v>
      </c>
      <c r="D35" s="53">
        <v>0</v>
      </c>
      <c r="E35" s="53">
        <v>0</v>
      </c>
      <c r="F35" s="18">
        <f>Table33345678910121121222324[[#This Row],[Company Panel]]+Table333456789101211212223[[#This Row],[MTD Company]]</f>
        <v>0</v>
      </c>
      <c r="G35" s="18">
        <f>Table33345678910121121222324[[#This Row],[Our panel]]+Table333456789101211212223[[#This Row],[MTD Panel]]</f>
        <v>0</v>
      </c>
      <c r="H35" s="63">
        <f>Table33345678910121121222324[[#This Row],[Company Panel]]-Table33345678910121121222324[[#This Row],[Our panel]]</f>
        <v>0</v>
      </c>
      <c r="I35" s="63">
        <f>Table33345678910121121222324[[#This Row],[MTD Company]]-Table33345678910121121222324[[#This Row],[MTD Panel]]</f>
        <v>0</v>
      </c>
    </row>
    <row r="36" spans="1:9">
      <c r="A36" s="11" t="str">
        <f>Table333456789101217[[#This Row],[Carrier]]</f>
        <v>Scatter</v>
      </c>
      <c r="B36" s="5" t="str">
        <f>Table333456789101217[[#This Row],[IP]]</f>
        <v>14.123.45.67/168.251.90.15</v>
      </c>
      <c r="C36" s="6" t="str">
        <f>Table333456789101217[[#This Row],[Carrier Code]]</f>
        <v>SC</v>
      </c>
      <c r="D36" s="53">
        <v>85.066666666666663</v>
      </c>
      <c r="E36" s="53">
        <v>85.066666666666663</v>
      </c>
      <c r="F36" s="18">
        <f>Table33345678910121121222324[[#This Row],[Company Panel]]+Table333456789101211212223[[#This Row],[MTD Company]]</f>
        <v>910.49999999999977</v>
      </c>
      <c r="G36" s="18">
        <f>Table33345678910121121222324[[#This Row],[Our panel]]+Table333456789101211212223[[#This Row],[MTD Panel]]</f>
        <v>910.49999999999977</v>
      </c>
      <c r="H36" s="63">
        <f>Table33345678910121121222324[[#This Row],[Company Panel]]-Table33345678910121121222324[[#This Row],[Our panel]]</f>
        <v>0</v>
      </c>
      <c r="I36" s="63">
        <f>Table33345678910121121222324[[#This Row],[MTD Company]]-Table33345678910121121222324[[#This Row],[MTD Panel]]</f>
        <v>0</v>
      </c>
    </row>
    <row r="37" spans="1:9">
      <c r="A37" s="11" t="str">
        <f>Table333456789101217[[#This Row],[Carrier]]</f>
        <v>Hammer</v>
      </c>
      <c r="B37" s="5" t="str">
        <f>Table333456789101217[[#This Row],[IP]]</f>
        <v>200.111.78.9/200.111.236.62/200.111.823.89/137.79.48.56</v>
      </c>
      <c r="C37" s="6" t="str">
        <f>Table333456789101217[[#This Row],[Carrier Code]]</f>
        <v>HA</v>
      </c>
      <c r="D37" s="53">
        <v>0</v>
      </c>
      <c r="E37" s="53">
        <v>0</v>
      </c>
      <c r="F37" s="18">
        <f>Table33345678910121121222324[[#This Row],[Company Panel]]+Table333456789101211212223[[#This Row],[MTD Company]]</f>
        <v>0</v>
      </c>
      <c r="G37" s="18">
        <f>Table33345678910121121222324[[#This Row],[Our panel]]+Table333456789101211212223[[#This Row],[MTD Panel]]</f>
        <v>0</v>
      </c>
      <c r="H37" s="72">
        <f>Table33345678910121121222324[[#This Row],[Company Panel]]-Table33345678910121121222324[[#This Row],[Our panel]]</f>
        <v>0</v>
      </c>
      <c r="I37" s="72">
        <f>Table33345678910121121222324[[#This Row],[MTD Company]]-Table33345678910121121222324[[#This Row],[MTD Panel]]</f>
        <v>0</v>
      </c>
    </row>
    <row r="38" spans="1:9">
      <c r="A38" s="11" t="str">
        <f>Table333456789101217[[#This Row],[Carrier]]</f>
        <v>Smudge</v>
      </c>
      <c r="B38" s="5" t="str">
        <f>Table333456789101217[[#This Row],[IP]]</f>
        <v>88.99.233.56/54.71.99.234</v>
      </c>
      <c r="C38" s="6" t="str">
        <f>Table333456789101217[[#This Row],[Carrier Code]]</f>
        <v>SM</v>
      </c>
      <c r="D38" s="53">
        <v>26.183333333333334</v>
      </c>
      <c r="E38" s="53">
        <v>26.183333333333334</v>
      </c>
      <c r="F38" s="18">
        <f>Table33345678910121121222324[[#This Row],[Company Panel]]+Table333456789101211212223[[#This Row],[MTD Company]]</f>
        <v>290.64999999999998</v>
      </c>
      <c r="G38" s="18">
        <f>Table33345678910121121222324[[#This Row],[Our panel]]+Table333456789101211212223[[#This Row],[MTD Panel]]</f>
        <v>290.64999999999998</v>
      </c>
      <c r="H38" s="72">
        <f>Table33345678910121121222324[[#This Row],[Company Panel]]-Table33345678910121121222324[[#This Row],[Our panel]]</f>
        <v>0</v>
      </c>
      <c r="I38" s="72">
        <f>Table33345678910121121222324[[#This Row],[MTD Company]]-Table33345678910121121222324[[#This Row],[MTD Panel]]</f>
        <v>0</v>
      </c>
    </row>
    <row r="39" spans="1:9">
      <c r="A39" s="11" t="str">
        <f>Table333456789101217[[#This Row],[Carrier]]</f>
        <v>Quirk</v>
      </c>
      <c r="B39" s="5" t="str">
        <f>Table333456789101217[[#This Row],[IP]]</f>
        <v>62.45.100.31/62.45.100.15/62.45.100.65/211.95.102.6</v>
      </c>
      <c r="C39" s="6" t="str">
        <f>Table333456789101217[[#This Row],[Carrier Code]]</f>
        <v>QU</v>
      </c>
      <c r="D39" s="53">
        <v>1648.5333333333333</v>
      </c>
      <c r="E39" s="53">
        <v>1648.5333333333333</v>
      </c>
      <c r="F39" s="18">
        <f>Table33345678910121121222324[[#This Row],[Company Panel]]+Table333456789101211212223[[#This Row],[MTD Company]]</f>
        <v>31061.199999999993</v>
      </c>
      <c r="G39" s="18">
        <f>Table33345678910121121222324[[#This Row],[Our panel]]+Table333456789101211212223[[#This Row],[MTD Panel]]</f>
        <v>31061.199999999993</v>
      </c>
      <c r="H39" s="72">
        <f>Table33345678910121121222324[[#This Row],[Company Panel]]-Table33345678910121121222324[[#This Row],[Our panel]]</f>
        <v>0</v>
      </c>
      <c r="I39" s="72">
        <f>Table33345678910121121222324[[#This Row],[MTD Company]]-Table33345678910121121222324[[#This Row],[MTD Panel]]</f>
        <v>0</v>
      </c>
    </row>
    <row r="40" spans="1:9">
      <c r="A40" s="11" t="str">
        <f>Table333456789101217[[#This Row],[Carrier]]</f>
        <v>Vortex</v>
      </c>
      <c r="B40" s="5" t="str">
        <f>Table333456789101217[[#This Row],[IP]]</f>
        <v>179.250.91.8/29.540.67.457/94.25.34.78/183.144.27.18</v>
      </c>
      <c r="C40" s="6" t="str">
        <f>Table333456789101217[[#This Row],[Carrier Code]]</f>
        <v>VT</v>
      </c>
      <c r="D40" s="53">
        <v>0</v>
      </c>
      <c r="E40" s="53">
        <v>0</v>
      </c>
      <c r="F40" s="18">
        <f>Table33345678910121121222324[[#This Row],[Company Panel]]+Table333456789101211212223[[#This Row],[MTD Company]]</f>
        <v>0</v>
      </c>
      <c r="G40" s="18">
        <f>Table33345678910121121222324[[#This Row],[Our panel]]+Table333456789101211212223[[#This Row],[MTD Panel]]</f>
        <v>0</v>
      </c>
      <c r="H40" s="72">
        <f>Table33345678910121121222324[[#This Row],[Company Panel]]-Table33345678910121121222324[[#This Row],[Our panel]]</f>
        <v>0</v>
      </c>
      <c r="I40" s="72">
        <f>Table33345678910121121222324[[#This Row],[MTD Company]]-Table33345678910121121222324[[#This Row],[MTD Panel]]</f>
        <v>0</v>
      </c>
    </row>
    <row r="41" spans="1:9">
      <c r="A41" s="11" t="str">
        <f>Table333456789101217[[#This Row],[Carrier]]</f>
        <v>Void</v>
      </c>
      <c r="B41" s="5" t="str">
        <f>Table333456789101217[[#This Row],[IP]]</f>
        <v>156.34.123.11/156.34.123.25/156.34.123.62/92.44.233.110</v>
      </c>
      <c r="C41" s="6" t="str">
        <f>Table333456789101217[[#This Row],[Carrier Code]]</f>
        <v>VO</v>
      </c>
      <c r="D41" s="53">
        <v>14.116666666666667</v>
      </c>
      <c r="E41" s="53">
        <v>14.116666666666667</v>
      </c>
      <c r="F41" s="18">
        <f>Table33345678910121121222324[[#This Row],[Company Panel]]+Table333456789101211212223[[#This Row],[MTD Company]]</f>
        <v>732.93333333333328</v>
      </c>
      <c r="G41" s="18">
        <f>Table33345678910121121222324[[#This Row],[Our panel]]+Table333456789101211212223[[#This Row],[MTD Panel]]</f>
        <v>732.93333333333328</v>
      </c>
      <c r="H41" s="72">
        <f>Table33345678910121121222324[[#This Row],[Company Panel]]-Table33345678910121121222324[[#This Row],[Our panel]]</f>
        <v>0</v>
      </c>
      <c r="I41" s="72">
        <f>Table33345678910121121222324[[#This Row],[MTD Company]]-Table33345678910121121222324[[#This Row],[MTD Panel]]</f>
        <v>0</v>
      </c>
    </row>
    <row r="42" spans="1:9">
      <c r="A42" s="11" t="str">
        <f>Table333456789101217[[#This Row],[Carrier]]</f>
        <v>Midnight</v>
      </c>
      <c r="B42" s="5" t="str">
        <f>Table333456789101217[[#This Row],[IP]]</f>
        <v>134.77.22.4/23.97.150.8</v>
      </c>
      <c r="C42" s="6" t="str">
        <f>Table333456789101217[[#This Row],[Carrier Code]]</f>
        <v>MI</v>
      </c>
      <c r="D42" s="53">
        <v>137.68333333333334</v>
      </c>
      <c r="E42" s="53">
        <v>137.68333333333334</v>
      </c>
      <c r="F42" s="18">
        <f>Table33345678910121121222324[[#This Row],[Company Panel]]+Table333456789101211212223[[#This Row],[MTD Company]]</f>
        <v>6263.4500000000007</v>
      </c>
      <c r="G42" s="18">
        <f>Table33345678910121121222324[[#This Row],[Our panel]]+Table333456789101211212223[[#This Row],[MTD Panel]]</f>
        <v>6263.4500000000007</v>
      </c>
      <c r="H42" s="72">
        <f>Table33345678910121121222324[[#This Row],[Company Panel]]-Table33345678910121121222324[[#This Row],[Our panel]]</f>
        <v>0</v>
      </c>
      <c r="I42" s="72">
        <f>Table33345678910121121222324[[#This Row],[MTD Company]]-Table33345678910121121222324[[#This Row],[MTD Panel]]</f>
        <v>0</v>
      </c>
    </row>
    <row r="43" spans="1:9">
      <c r="A43" s="11" t="str">
        <f>Table333456789101217[[#This Row],[Carrier]]</f>
        <v>Autumn</v>
      </c>
      <c r="B43" s="5" t="str">
        <f>Table333456789101217[[#This Row],[IP]]</f>
        <v>202.54.210.88/12.331.94.73/64.19.28.175</v>
      </c>
      <c r="C43" s="6" t="str">
        <f>Table333456789101217[[#This Row],[Carrier Code]]</f>
        <v>AU</v>
      </c>
      <c r="D43" s="53">
        <v>14.366666666666667</v>
      </c>
      <c r="E43" s="53">
        <v>14.366666666666667</v>
      </c>
      <c r="F43" s="18">
        <f>Table33345678910121121222324[[#This Row],[Company Panel]]+Table333456789101211212223[[#This Row],[MTD Company]]</f>
        <v>258.31666666666666</v>
      </c>
      <c r="G43" s="18">
        <f>Table33345678910121121222324[[#This Row],[Our panel]]+Table333456789101211212223[[#This Row],[MTD Panel]]</f>
        <v>258.31666666666666</v>
      </c>
      <c r="H43" s="72">
        <f>Table33345678910121121222324[[#This Row],[Company Panel]]-Table33345678910121121222324[[#This Row],[Our panel]]</f>
        <v>0</v>
      </c>
      <c r="I43" s="72">
        <f>Table33345678910121121222324[[#This Row],[MTD Company]]-Table33345678910121121222324[[#This Row],[MTD Panel]]</f>
        <v>0</v>
      </c>
    </row>
    <row r="44" spans="1:9">
      <c r="A44" s="11" t="str">
        <f>Table333456789101217[[#This Row],[Carrier]]</f>
        <v>Mystic</v>
      </c>
      <c r="B44" s="5" t="str">
        <f>Table333456789101217[[#This Row],[IP]]</f>
        <v>51.233.21.76/82.115.35.60/82.115.35.85</v>
      </c>
      <c r="C44" s="6" t="str">
        <f>Table333456789101217[[#This Row],[Carrier Code]]</f>
        <v>MY</v>
      </c>
      <c r="D44" s="53">
        <v>0</v>
      </c>
      <c r="E44" s="53">
        <v>0</v>
      </c>
      <c r="F44" s="18">
        <f>Table33345678910121121222324[[#This Row],[Company Panel]]+Table333456789101211212223[[#This Row],[MTD Company]]</f>
        <v>0</v>
      </c>
      <c r="G44" s="18">
        <f>Table33345678910121121222324[[#This Row],[Our panel]]+Table333456789101211212223[[#This Row],[MTD Panel]]</f>
        <v>0</v>
      </c>
      <c r="H44" s="72">
        <f>Table33345678910121121222324[[#This Row],[Company Panel]]-Table33345678910121121222324[[#This Row],[Our panel]]</f>
        <v>0</v>
      </c>
      <c r="I44" s="72">
        <f>Table33345678910121121222324[[#This Row],[MTD Company]]-Table33345678910121121222324[[#This Row],[MTD Panel]]</f>
        <v>0</v>
      </c>
    </row>
    <row r="45" spans="1:9">
      <c r="A45" s="11" t="str">
        <f>Table333456789101217[[#This Row],[Carrier]]</f>
        <v>Clover</v>
      </c>
      <c r="B45" s="5" t="str">
        <f>Table333456789101217[[#This Row],[IP]]</f>
        <v>210.150.12.45/84.50.212.66/135.113.88.9</v>
      </c>
      <c r="C45" s="6" t="str">
        <f>Table333456789101217[[#This Row],[Carrier Code]]</f>
        <v>CO</v>
      </c>
      <c r="D45" s="53">
        <v>68.816666666666663</v>
      </c>
      <c r="E45" s="53">
        <v>68.816666666666663</v>
      </c>
      <c r="F45" s="18">
        <f>Table33345678910121121222324[[#This Row],[Company Panel]]+Table333456789101211212223[[#This Row],[MTD Company]]</f>
        <v>34317.366666666676</v>
      </c>
      <c r="G45" s="18">
        <f>Table33345678910121121222324[[#This Row],[Our panel]]+Table333456789101211212223[[#This Row],[MTD Panel]]</f>
        <v>34317.366666666676</v>
      </c>
      <c r="H45" s="13">
        <f>Table33345678910121121222324[[#This Row],[Company Panel]]-Table33345678910121121222324[[#This Row],[Our panel]]</f>
        <v>0</v>
      </c>
      <c r="I45" s="13">
        <f>Table33345678910121121222324[[#This Row],[MTD Company]]-Table33345678910121121222324[[#This Row],[MTD Panel]]</f>
        <v>0</v>
      </c>
    </row>
    <row r="46" spans="1:9">
      <c r="A46" s="11" t="str">
        <f>Table333456789101217[[#This Row],[Carrier]]</f>
        <v>Hunter</v>
      </c>
      <c r="B46" s="5" t="str">
        <f>Table333456789101217[[#This Row],[IP]]</f>
        <v>170.199.20.87/13.693.39.280/78.30.123.47</v>
      </c>
      <c r="C46" s="6" t="str">
        <f>Table333456789101217[[#This Row],[Carrier Code]]</f>
        <v>HU</v>
      </c>
      <c r="D46" s="53">
        <v>8615</v>
      </c>
      <c r="E46" s="53">
        <v>8615</v>
      </c>
      <c r="F46" s="18">
        <f>Table33345678910121121222324[[#This Row],[Company Panel]]+Table333456789101211212223[[#This Row],[MTD Company]]</f>
        <v>14783.75</v>
      </c>
      <c r="G46" s="18">
        <f>Table33345678910121121222324[[#This Row],[Our panel]]+Table333456789101211212223[[#This Row],[MTD Panel]]</f>
        <v>14783.75</v>
      </c>
      <c r="H46" s="13">
        <f>Table33345678910121121222324[[#This Row],[Company Panel]]-Table33345678910121121222324[[#This Row],[Our panel]]</f>
        <v>0</v>
      </c>
      <c r="I46" s="13">
        <f>Table33345678910121121222324[[#This Row],[MTD Company]]-Table33345678910121121222324[[#This Row],[MTD Panel]]</f>
        <v>0</v>
      </c>
    </row>
    <row r="47" spans="1:9">
      <c r="A47" s="11" t="str">
        <f>Table333456789101217[[#This Row],[Carrier]]</f>
        <v>Invaded</v>
      </c>
      <c r="B47" s="5" t="str">
        <f>Table333456789101217[[#This Row],[IP]]</f>
        <v>182.67.99.120/80.518.230.410/26.847.95.107/188.12.67.92</v>
      </c>
      <c r="C47" s="6" t="str">
        <f>Table333456789101217[[#This Row],[Carrier Code]]</f>
        <v>ID</v>
      </c>
      <c r="D47" s="7">
        <v>0</v>
      </c>
      <c r="E47" s="7">
        <v>0</v>
      </c>
      <c r="F47" s="18">
        <f>Table33345678910121121222324[[#This Row],[Company Panel]]+Table333456789101211212223[[#This Row],[MTD Company]]</f>
        <v>0</v>
      </c>
      <c r="G47" s="18">
        <f>Table33345678910121121222324[[#This Row],[Our panel]]+Table333456789101211212223[[#This Row],[MTD Panel]]</f>
        <v>0</v>
      </c>
      <c r="H47" s="13">
        <f>Table33345678910121121222324[[#This Row],[Company Panel]]-Table33345678910121121222324[[#This Row],[Our panel]]</f>
        <v>0</v>
      </c>
      <c r="I47" s="13">
        <f>Table33345678910121121222324[[#This Row],[MTD Company]]-Table33345678910121121222324[[#This Row],[MTD Panel]]</f>
        <v>0</v>
      </c>
    </row>
    <row r="48" spans="1:9">
      <c r="A48" s="11" t="str">
        <f>Table333456789101217[[#This Row],[Carrier]]</f>
        <v>Delusion</v>
      </c>
      <c r="B48" s="5" t="str">
        <f>Table333456789101217[[#This Row],[IP]]</f>
        <v>198.51.100.72/69.887.74.738/39.153.110.645</v>
      </c>
      <c r="C48" s="6" t="str">
        <f>Table333456789101217[[#This Row],[Carrier Code]]</f>
        <v>DU</v>
      </c>
      <c r="D48" s="7">
        <v>0</v>
      </c>
      <c r="E48" s="7">
        <v>0</v>
      </c>
      <c r="F48" s="18">
        <f>Table33345678910121121222324[[#This Row],[Company Panel]]+Table333456789101211212223[[#This Row],[MTD Company]]</f>
        <v>0</v>
      </c>
      <c r="G48" s="18">
        <f>Table33345678910121121222324[[#This Row],[Our panel]]+Table333456789101211212223[[#This Row],[MTD Panel]]</f>
        <v>0</v>
      </c>
      <c r="H48" s="13">
        <f>Table33345678910121121222324[[#This Row],[Company Panel]]-Table33345678910121121222324[[#This Row],[Our panel]]</f>
        <v>0</v>
      </c>
      <c r="I48" s="13">
        <f>Table33345678910121121222324[[#This Row],[MTD Company]]-Table33345678910121121222324[[#This Row],[MTD Panel]]</f>
        <v>0</v>
      </c>
    </row>
    <row r="49" spans="1:9" ht="15.5">
      <c r="A49" s="11" t="str">
        <f>Table333456789101217[[#This Row],[Carrier]]</f>
        <v>Total</v>
      </c>
      <c r="B49" s="14"/>
      <c r="C49" s="15"/>
      <c r="D49" s="16">
        <f>SUM(D3:D48)</f>
        <v>11842.400000000001</v>
      </c>
      <c r="E49" s="16">
        <f t="shared" ref="E49:I49" si="0">SUM(E3:E48)</f>
        <v>11842.400000000001</v>
      </c>
      <c r="F49" s="16">
        <f t="shared" si="0"/>
        <v>169296.84999999998</v>
      </c>
      <c r="G49" s="16">
        <f t="shared" si="0"/>
        <v>169296.84999999998</v>
      </c>
      <c r="H49" s="16">
        <f t="shared" si="0"/>
        <v>0</v>
      </c>
      <c r="I49" s="16">
        <f t="shared" si="0"/>
        <v>0</v>
      </c>
    </row>
  </sheetData>
  <conditionalFormatting sqref="H2:I48">
    <cfRule type="cellIs" dxfId="262" priority="12" operator="lessThan">
      <formula>0</formula>
    </cfRule>
  </conditionalFormatting>
  <conditionalFormatting sqref="I30:I48">
    <cfRule type="cellIs" dxfId="261" priority="11" operator="lessThan">
      <formula>0</formula>
    </cfRule>
  </conditionalFormatting>
  <conditionalFormatting sqref="H3:I48">
    <cfRule type="cellIs" dxfId="260" priority="10" operator="lessThan">
      <formula>0</formula>
    </cfRule>
  </conditionalFormatting>
  <conditionalFormatting sqref="I30:I48">
    <cfRule type="cellIs" dxfId="259" priority="9" operator="lessThan">
      <formula>0</formula>
    </cfRule>
  </conditionalFormatting>
  <conditionalFormatting sqref="I3:I48">
    <cfRule type="cellIs" dxfId="258" priority="1" operator="lessThan">
      <formula>0</formula>
    </cfRule>
    <cfRule type="cellIs" dxfId="257" priority="2" operator="lessThan">
      <formula>0</formula>
    </cfRule>
  </conditionalFormatting>
  <hyperlinks>
    <hyperlink ref="E1" location="H!A1" display="Home"/>
    <hyperlink ref="D1" location="'16'!D1" display="←"/>
    <hyperlink ref="F1" location="'18'!F1" display="→"/>
  </hyperlink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"/>
  <sheetViews>
    <sheetView workbookViewId="0">
      <selection activeCell="D3" sqref="D3"/>
    </sheetView>
  </sheetViews>
  <sheetFormatPr defaultRowHeight="14.5"/>
  <cols>
    <col min="1" max="1" width="26.7265625" bestFit="1" customWidth="1"/>
    <col min="2" max="2" width="37" bestFit="1" customWidth="1"/>
    <col min="3" max="3" width="10.453125" customWidth="1"/>
    <col min="4" max="9" width="12.7265625" customWidth="1"/>
  </cols>
  <sheetData>
    <row r="1" spans="1:12" ht="18.5">
      <c r="A1" s="23" t="str">
        <f>H!D3</f>
        <v>18th April 2025</v>
      </c>
      <c r="B1" s="24"/>
      <c r="C1" s="24"/>
      <c r="D1" s="22" t="s">
        <v>16</v>
      </c>
      <c r="E1" s="22" t="s">
        <v>9</v>
      </c>
      <c r="F1" s="22" t="s">
        <v>17</v>
      </c>
    </row>
    <row r="2" spans="1:12" ht="31">
      <c r="A2" s="1" t="s">
        <v>0</v>
      </c>
      <c r="B2" s="2" t="s">
        <v>1</v>
      </c>
      <c r="C2" s="2" t="s">
        <v>2</v>
      </c>
      <c r="D2" s="2" t="s">
        <v>3</v>
      </c>
      <c r="E2" s="2" t="s">
        <v>11</v>
      </c>
      <c r="F2" s="2" t="s">
        <v>4</v>
      </c>
      <c r="G2" s="4" t="s">
        <v>6</v>
      </c>
      <c r="H2" s="4" t="s">
        <v>7</v>
      </c>
      <c r="I2" s="3" t="s">
        <v>8</v>
      </c>
    </row>
    <row r="3" spans="1:12">
      <c r="A3" s="11" t="str">
        <f>Table333456789101217[[#This Row],[Carrier]]</f>
        <v>Blaze</v>
      </c>
      <c r="B3" s="5" t="str">
        <f>Table333456789101217[[#This Row],[IP]]</f>
        <v>8.12.34.56/48.163.17.845/60.502.86.203/191.45.28.14</v>
      </c>
      <c r="C3" s="6" t="str">
        <f>Table333456789101217[[#This Row],[Carrier Code]]</f>
        <v>BZ</v>
      </c>
      <c r="D3" s="53">
        <v>0</v>
      </c>
      <c r="E3" s="53">
        <v>0</v>
      </c>
      <c r="F3" s="18">
        <f>Table3334567891012112122232425[[#This Row],[Company Panel]]+Table33345678910121121222324[[#This Row],[MTD Company]]</f>
        <v>0</v>
      </c>
      <c r="G3" s="18">
        <f>Table3334567891012112122232425[[#This Row],[Our panel]]+Table33345678910121121222324[[#This Row],[MTD Panel]]</f>
        <v>0</v>
      </c>
      <c r="H3" s="13">
        <f>Table3334567891012112122232425[[#This Row],[Company Panel]]-Table3334567891012112122232425[[#This Row],[Our panel]]</f>
        <v>0</v>
      </c>
      <c r="I3" s="13">
        <f>Table3334567891012112122232425[[#This Row],[MTD Company]]-Table3334567891012112122232425[[#This Row],[MTD Panel]]</f>
        <v>0</v>
      </c>
    </row>
    <row r="4" spans="1:12">
      <c r="A4" s="11" t="str">
        <f>Table333456789101217[[#This Row],[Carrier]]</f>
        <v>Titan</v>
      </c>
      <c r="B4" s="5" t="str">
        <f>Table333456789101217[[#This Row],[IP]]</f>
        <v>123.45.67.89/123.45.67.93/203.24.101.65</v>
      </c>
      <c r="C4" s="6" t="str">
        <f>Table333456789101217[[#This Row],[Carrier Code]]</f>
        <v>TI</v>
      </c>
      <c r="D4" s="53">
        <v>0</v>
      </c>
      <c r="E4" s="53">
        <v>0</v>
      </c>
      <c r="F4" s="18">
        <f>Table3334567891012112122232425[[#This Row],[Company Panel]]+Table33345678910121121222324[[#This Row],[MTD Company]]</f>
        <v>324.01666666666665</v>
      </c>
      <c r="G4" s="18">
        <f>Table3334567891012112122232425[[#This Row],[Our panel]]+Table33345678910121121222324[[#This Row],[MTD Panel]]</f>
        <v>324.01666666666665</v>
      </c>
      <c r="H4" s="13">
        <f>Table3334567891012112122232425[[#This Row],[Company Panel]]-Table3334567891012112122232425[[#This Row],[Our panel]]</f>
        <v>0</v>
      </c>
      <c r="I4" s="13">
        <f>Table3334567891012112122232425[[#This Row],[MTD Company]]-Table3334567891012112122232425[[#This Row],[MTD Panel]]</f>
        <v>0</v>
      </c>
      <c r="L4" s="9"/>
    </row>
    <row r="5" spans="1:12">
      <c r="A5" s="11" t="str">
        <f>Table333456789101217[[#This Row],[Carrier]]</f>
        <v>Hollow</v>
      </c>
      <c r="B5" s="5" t="str">
        <f>Table333456789101217[[#This Row],[IP]]</f>
        <v>204.56.78.100/204.56.57.169/52.94.101.12</v>
      </c>
      <c r="C5" s="6" t="str">
        <f>Table333456789101217[[#This Row],[Carrier Code]]</f>
        <v>HO</v>
      </c>
      <c r="D5" s="53">
        <v>0</v>
      </c>
      <c r="E5" s="53">
        <v>0</v>
      </c>
      <c r="F5" s="18">
        <f>Table3334567891012112122232425[[#This Row],[Company Panel]]+Table33345678910121121222324[[#This Row],[MTD Company]]</f>
        <v>0</v>
      </c>
      <c r="G5" s="18">
        <f>Table3334567891012112122232425[[#This Row],[Our panel]]+Table33345678910121121222324[[#This Row],[MTD Panel]]</f>
        <v>0</v>
      </c>
      <c r="H5" s="13">
        <f>Table3334567891012112122232425[[#This Row],[Company Panel]]-Table3334567891012112122232425[[#This Row],[Our panel]]</f>
        <v>0</v>
      </c>
      <c r="I5" s="13">
        <f>Table3334567891012112122232425[[#This Row],[MTD Company]]-Table3334567891012112122232425[[#This Row],[MTD Panel]]</f>
        <v>0</v>
      </c>
    </row>
    <row r="6" spans="1:12">
      <c r="A6" s="11" t="str">
        <f>Table333456789101217[[#This Row],[Carrier]]</f>
        <v>Prism</v>
      </c>
      <c r="B6" s="5" t="str">
        <f>Table333456789101217[[#This Row],[IP]]</f>
        <v>35.118.22.45/137.63.112.25</v>
      </c>
      <c r="C6" s="6" t="str">
        <f>Table333456789101217[[#This Row],[Carrier Code]]</f>
        <v>PS</v>
      </c>
      <c r="D6" s="53">
        <v>3573.1166666666668</v>
      </c>
      <c r="E6" s="53">
        <v>3573.1166666666668</v>
      </c>
      <c r="F6" s="18">
        <f>Table3334567891012112122232425[[#This Row],[Company Panel]]+Table33345678910121121222324[[#This Row],[MTD Company]]</f>
        <v>65957.999999999985</v>
      </c>
      <c r="G6" s="18">
        <f>Table3334567891012112122232425[[#This Row],[Our panel]]+Table33345678910121121222324[[#This Row],[MTD Panel]]</f>
        <v>65957.999999999985</v>
      </c>
      <c r="H6" s="13">
        <f>Table3334567891012112122232425[[#This Row],[Company Panel]]-Table3334567891012112122232425[[#This Row],[Our panel]]</f>
        <v>0</v>
      </c>
      <c r="I6" s="13">
        <f>Table3334567891012112122232425[[#This Row],[MTD Company]]-Table3334567891012112122232425[[#This Row],[MTD Panel]]</f>
        <v>0</v>
      </c>
    </row>
    <row r="7" spans="1:12">
      <c r="A7" s="11" t="str">
        <f>Table333456789101217[[#This Row],[Carrier]]</f>
        <v>Echo</v>
      </c>
      <c r="B7" s="5" t="str">
        <f>Table333456789101217[[#This Row],[IP]]</f>
        <v>66.89.101.10/66.89.101.19/66.89.101.23/66.89.101.45/66.89.101.81/85.21.34.99</v>
      </c>
      <c r="C7" s="6" t="str">
        <f>Table333456789101217[[#This Row],[Carrier Code]]</f>
        <v>EC</v>
      </c>
      <c r="D7" s="53">
        <v>8.9499999999999993</v>
      </c>
      <c r="E7" s="53">
        <v>8.9499999999999993</v>
      </c>
      <c r="F7" s="18">
        <f>Table3334567891012112122232425[[#This Row],[Company Panel]]+Table33345678910121121222324[[#This Row],[MTD Company]]</f>
        <v>56.616666666666674</v>
      </c>
      <c r="G7" s="18">
        <f>Table3334567891012112122232425[[#This Row],[Our panel]]+Table33345678910121121222324[[#This Row],[MTD Panel]]</f>
        <v>56.616666666666674</v>
      </c>
      <c r="H7" s="13">
        <f>Table3334567891012112122232425[[#This Row],[Company Panel]]-Table3334567891012112122232425[[#This Row],[Our panel]]</f>
        <v>0</v>
      </c>
      <c r="I7" s="13">
        <f>Table3334567891012112122232425[[#This Row],[MTD Company]]-Table3334567891012112122232425[[#This Row],[MTD Panel]]</f>
        <v>0</v>
      </c>
    </row>
    <row r="8" spans="1:12">
      <c r="A8" s="11" t="str">
        <f>Table333456789101217[[#This Row],[Carrier]]</f>
        <v>Strike</v>
      </c>
      <c r="B8" s="5" t="str">
        <f>Table333456789101217[[#This Row],[IP]]</f>
        <v>100.200.150.3/100.200.165.38/41.102.90.78</v>
      </c>
      <c r="C8" s="6" t="str">
        <f>Table333456789101217[[#This Row],[Carrier Code]]</f>
        <v>ST</v>
      </c>
      <c r="D8" s="53">
        <v>116.5</v>
      </c>
      <c r="E8" s="53">
        <v>116.5</v>
      </c>
      <c r="F8" s="18">
        <f>Table3334567891012112122232425[[#This Row],[Company Panel]]+Table33345678910121121222324[[#This Row],[MTD Company]]</f>
        <v>1977.1833333333329</v>
      </c>
      <c r="G8" s="18">
        <f>Table3334567891012112122232425[[#This Row],[Our panel]]+Table33345678910121121222324[[#This Row],[MTD Panel]]</f>
        <v>1977.1833333333329</v>
      </c>
      <c r="H8" s="13">
        <f>Table3334567891012112122232425[[#This Row],[Company Panel]]-Table3334567891012112122232425[[#This Row],[Our panel]]</f>
        <v>0</v>
      </c>
      <c r="I8" s="13">
        <f>Table3334567891012112122232425[[#This Row],[MTD Company]]-Table3334567891012112122232425[[#This Row],[MTD Panel]]</f>
        <v>0</v>
      </c>
      <c r="L8" s="9"/>
    </row>
    <row r="9" spans="1:12">
      <c r="A9" s="11" t="str">
        <f>Table333456789101217[[#This Row],[Carrier]]</f>
        <v>Blunt</v>
      </c>
      <c r="B9" s="5" t="str">
        <f>Table333456789101217[[#This Row],[IP]]</f>
        <v>52.28.191.25/52.28.191.38/52.28.191.24/61.110.23.45</v>
      </c>
      <c r="C9" s="6" t="str">
        <f>Table333456789101217[[#This Row],[Carrier Code]]</f>
        <v>BL</v>
      </c>
      <c r="D9" s="53">
        <v>89.61666666666666</v>
      </c>
      <c r="E9" s="53">
        <v>89.61666666666666</v>
      </c>
      <c r="F9" s="18">
        <f>Table3334567891012112122232425[[#This Row],[Company Panel]]+Table33345678910121121222324[[#This Row],[MTD Company]]</f>
        <v>9959.5166666666682</v>
      </c>
      <c r="G9" s="18">
        <f>Table3334567891012112122232425[[#This Row],[Our panel]]+Table33345678910121121222324[[#This Row],[MTD Panel]]</f>
        <v>9959.5166666666682</v>
      </c>
      <c r="H9" s="13">
        <f>Table3334567891012112122232425[[#This Row],[Company Panel]]-Table3334567891012112122232425[[#This Row],[Our panel]]</f>
        <v>0</v>
      </c>
      <c r="I9" s="13">
        <f>Table3334567891012112122232425[[#This Row],[MTD Company]]-Table3334567891012112122232425[[#This Row],[MTD Panel]]</f>
        <v>0</v>
      </c>
    </row>
    <row r="10" spans="1:12">
      <c r="A10" s="11" t="str">
        <f>Table333456789101217[[#This Row],[Carrier]]</f>
        <v>Law</v>
      </c>
      <c r="B10" s="5" t="str">
        <f>Table333456789101217[[#This Row],[IP]]</f>
        <v>77.88.99.21/77.88.99.88/77.88.99.94/110.56.211.7</v>
      </c>
      <c r="C10" s="6" t="str">
        <f>Table333456789101217[[#This Row],[Carrier Code]]</f>
        <v>LA</v>
      </c>
      <c r="D10" s="53">
        <v>0</v>
      </c>
      <c r="E10" s="53">
        <v>0</v>
      </c>
      <c r="F10" s="18">
        <f>Table3334567891012112122232425[[#This Row],[Company Panel]]+Table33345678910121121222324[[#This Row],[MTD Company]]</f>
        <v>0</v>
      </c>
      <c r="G10" s="18">
        <f>Table3334567891012112122232425[[#This Row],[Our panel]]+Table33345678910121121222324[[#This Row],[MTD Panel]]</f>
        <v>0</v>
      </c>
      <c r="H10" s="13">
        <f>Table3334567891012112122232425[[#This Row],[Company Panel]]-Table3334567891012112122232425[[#This Row],[Our panel]]</f>
        <v>0</v>
      </c>
      <c r="I10" s="13">
        <f>Table3334567891012112122232425[[#This Row],[MTD Company]]-Table3334567891012112122232425[[#This Row],[MTD Panel]]</f>
        <v>0</v>
      </c>
    </row>
    <row r="11" spans="1:12">
      <c r="A11" s="11" t="str">
        <f>Table333456789101217[[#This Row],[Carrier]]</f>
        <v>Pulse</v>
      </c>
      <c r="B11" s="5" t="str">
        <f>Table333456789101217[[#This Row],[IP]]</f>
        <v>198.51.100.130/31.725.16.608/66.59.61.503/167.34.122.90</v>
      </c>
      <c r="C11" s="6" t="str">
        <f>Table333456789101217[[#This Row],[Carrier Code]]</f>
        <v>PU</v>
      </c>
      <c r="D11" s="53">
        <v>0</v>
      </c>
      <c r="E11" s="53">
        <v>0</v>
      </c>
      <c r="F11" s="18">
        <f>Table3334567891012112122232425[[#This Row],[Company Panel]]+Table33345678910121121222324[[#This Row],[MTD Company]]</f>
        <v>0</v>
      </c>
      <c r="G11" s="18">
        <f>Table3334567891012112122232425[[#This Row],[Our panel]]+Table33345678910121121222324[[#This Row],[MTD Panel]]</f>
        <v>0</v>
      </c>
      <c r="H11" s="13">
        <f>Table3334567891012112122232425[[#This Row],[Company Panel]]-Table3334567891012112122232425[[#This Row],[Our panel]]</f>
        <v>0</v>
      </c>
      <c r="I11" s="13">
        <f>Table3334567891012112122232425[[#This Row],[MTD Company]]-Table3334567891012112122232425[[#This Row],[MTD Panel]]</f>
        <v>0</v>
      </c>
    </row>
    <row r="12" spans="1:12">
      <c r="A12" s="11" t="str">
        <f>Table333456789101217[[#This Row],[Carrier]]</f>
        <v>Phantom</v>
      </c>
      <c r="B12" s="5" t="str">
        <f>Table333456789101217[[#This Row],[IP]]</f>
        <v>141.15.210.67/141.15.42.82/179.62.211.4</v>
      </c>
      <c r="C12" s="6" t="str">
        <f>Table333456789101217[[#This Row],[Carrier Code]]</f>
        <v>PH</v>
      </c>
      <c r="D12" s="53">
        <v>8.6166666666666671</v>
      </c>
      <c r="E12" s="53">
        <v>8.6166666666666671</v>
      </c>
      <c r="F12" s="18">
        <f>Table3334567891012112122232425[[#This Row],[Company Panel]]+Table33345678910121121222324[[#This Row],[MTD Company]]</f>
        <v>3340.8166666666662</v>
      </c>
      <c r="G12" s="18">
        <f>Table3334567891012112122232425[[#This Row],[Our panel]]+Table33345678910121121222324[[#This Row],[MTD Panel]]</f>
        <v>3340.8166666666662</v>
      </c>
      <c r="H12" s="13">
        <f>Table3334567891012112122232425[[#This Row],[Company Panel]]-Table3334567891012112122232425[[#This Row],[Our panel]]</f>
        <v>0</v>
      </c>
      <c r="I12" s="13">
        <f>Table3334567891012112122232425[[#This Row],[MTD Company]]-Table3334567891012112122232425[[#This Row],[MTD Panel]]</f>
        <v>0</v>
      </c>
    </row>
    <row r="13" spans="1:12">
      <c r="A13" s="11" t="str">
        <f>Table333456789101217[[#This Row],[Carrier]]</f>
        <v>Dragon</v>
      </c>
      <c r="B13" s="5" t="str">
        <f>Table333456789101217[[#This Row],[IP]]</f>
        <v>12.34.56.78/12.34.56.128/200.180.245.18</v>
      </c>
      <c r="C13" s="6" t="str">
        <f>Table333456789101217[[#This Row],[Carrier Code]]</f>
        <v>DG</v>
      </c>
      <c r="D13" s="53">
        <v>0</v>
      </c>
      <c r="E13" s="53">
        <v>0</v>
      </c>
      <c r="F13" s="18">
        <f>Table3334567891012112122232425[[#This Row],[Company Panel]]+Table33345678910121121222324[[#This Row],[MTD Company]]</f>
        <v>0</v>
      </c>
      <c r="G13" s="18">
        <f>Table3334567891012112122232425[[#This Row],[Our panel]]+Table33345678910121121222324[[#This Row],[MTD Panel]]</f>
        <v>0</v>
      </c>
      <c r="H13" s="13">
        <f>Table3334567891012112122232425[[#This Row],[Company Panel]]-Table3334567891012112122232425[[#This Row],[Our panel]]</f>
        <v>0</v>
      </c>
      <c r="I13" s="13">
        <f>Table3334567891012112122232425[[#This Row],[MTD Company]]-Table3334567891012112122232425[[#This Row],[MTD Panel]]</f>
        <v>0</v>
      </c>
    </row>
    <row r="14" spans="1:12">
      <c r="A14" s="11" t="str">
        <f>Table333456789101217[[#This Row],[Carrier]]</f>
        <v>Tempest</v>
      </c>
      <c r="B14" s="5" t="str">
        <f>Table333456789101217[[#This Row],[IP]]</f>
        <v>59.144.223.88/55.39.99.60</v>
      </c>
      <c r="C14" s="6" t="str">
        <f>Table333456789101217[[#This Row],[Carrier Code]]</f>
        <v>TE</v>
      </c>
      <c r="D14" s="53">
        <v>0</v>
      </c>
      <c r="E14" s="53">
        <v>0</v>
      </c>
      <c r="F14" s="18">
        <f>Table3334567891012112122232425[[#This Row],[Company Panel]]+Table33345678910121121222324[[#This Row],[MTD Company]]</f>
        <v>0</v>
      </c>
      <c r="G14" s="18">
        <f>Table3334567891012112122232425[[#This Row],[Our panel]]+Table33345678910121121222324[[#This Row],[MTD Panel]]</f>
        <v>0</v>
      </c>
      <c r="H14" s="13">
        <f>Table3334567891012112122232425[[#This Row],[Company Panel]]-Table3334567891012112122232425[[#This Row],[Our panel]]</f>
        <v>0</v>
      </c>
      <c r="I14" s="13">
        <f>Table3334567891012112122232425[[#This Row],[MTD Company]]-Table3334567891012112122232425[[#This Row],[MTD Panel]]</f>
        <v>0</v>
      </c>
    </row>
    <row r="15" spans="1:12">
      <c r="A15" s="11" t="str">
        <f>Table333456789101217[[#This Row],[Carrier]]</f>
        <v>Shadow</v>
      </c>
      <c r="B15" s="5" t="str">
        <f>Table333456789101217[[#This Row],[IP]]</f>
        <v>175.45.112.100/25.851.31.153/39.80.220.100</v>
      </c>
      <c r="C15" s="6" t="str">
        <f>Table333456789101217[[#This Row],[Carrier Code]]</f>
        <v>SH</v>
      </c>
      <c r="D15" s="53">
        <v>0</v>
      </c>
      <c r="E15" s="53">
        <v>0</v>
      </c>
      <c r="F15" s="18">
        <f>Table3334567891012112122232425[[#This Row],[Company Panel]]+Table33345678910121121222324[[#This Row],[MTD Company]]</f>
        <v>0.1</v>
      </c>
      <c r="G15" s="18">
        <f>Table3334567891012112122232425[[#This Row],[Our panel]]+Table33345678910121121222324[[#This Row],[MTD Panel]]</f>
        <v>0.1</v>
      </c>
      <c r="H15" s="13">
        <f>Table3334567891012112122232425[[#This Row],[Company Panel]]-Table3334567891012112122232425[[#This Row],[Our panel]]</f>
        <v>0</v>
      </c>
      <c r="I15" s="13">
        <f>Table3334567891012112122232425[[#This Row],[MTD Company]]-Table3334567891012112122232425[[#This Row],[MTD Panel]]</f>
        <v>0</v>
      </c>
    </row>
    <row r="16" spans="1:12">
      <c r="A16" s="11" t="str">
        <f>Table333456789101217[[#This Row],[Carrier]]</f>
        <v>Cyclone</v>
      </c>
      <c r="B16" s="5" t="str">
        <f>Table333456789101217[[#This Row],[IP]]</f>
        <v>150.13.75.190/16.160.89.512/72.11.97.34</v>
      </c>
      <c r="C16" s="6" t="str">
        <f>Table333456789101217[[#This Row],[Carrier Code]]</f>
        <v>CY</v>
      </c>
      <c r="D16" s="53">
        <v>0</v>
      </c>
      <c r="E16" s="53">
        <v>0</v>
      </c>
      <c r="F16" s="18">
        <f>Table3334567891012112122232425[[#This Row],[Company Panel]]+Table33345678910121121222324[[#This Row],[MTD Company]]</f>
        <v>0</v>
      </c>
      <c r="G16" s="18">
        <f>Table3334567891012112122232425[[#This Row],[Our panel]]+Table33345678910121121222324[[#This Row],[MTD Panel]]</f>
        <v>0</v>
      </c>
      <c r="H16" s="13">
        <f>Table3334567891012112122232425[[#This Row],[Company Panel]]-Table3334567891012112122232425[[#This Row],[Our panel]]</f>
        <v>0</v>
      </c>
      <c r="I16" s="13">
        <f>Table3334567891012112122232425[[#This Row],[MTD Company]]-Table3334567891012112122232425[[#This Row],[MTD Panel]]</f>
        <v>0</v>
      </c>
    </row>
    <row r="17" spans="1:9">
      <c r="A17" s="11" t="str">
        <f>Table333456789101217[[#This Row],[Carrier]]</f>
        <v>Reaver</v>
      </c>
      <c r="B17" s="5" t="str">
        <f>Table333456789101217[[#This Row],[IP]]</f>
        <v>203.0.113.44/188.17.56.210</v>
      </c>
      <c r="C17" s="6" t="str">
        <f>Table333456789101217[[#This Row],[Carrier Code]]</f>
        <v>RE</v>
      </c>
      <c r="D17" s="53">
        <v>0</v>
      </c>
      <c r="E17" s="53">
        <v>0</v>
      </c>
      <c r="F17" s="18">
        <f>Table3334567891012112122232425[[#This Row],[Company Panel]]+Table33345678910121121222324[[#This Row],[MTD Company]]</f>
        <v>0</v>
      </c>
      <c r="G17" s="18">
        <f>Table3334567891012112122232425[[#This Row],[Our panel]]+Table33345678910121121222324[[#This Row],[MTD Panel]]</f>
        <v>0</v>
      </c>
      <c r="H17" s="13">
        <f>Table3334567891012112122232425[[#This Row],[Company Panel]]-Table3334567891012112122232425[[#This Row],[Our panel]]</f>
        <v>0</v>
      </c>
      <c r="I17" s="13">
        <f>Table3334567891012112122232425[[#This Row],[MTD Company]]-Table3334567891012112122232425[[#This Row],[MTD Panel]]</f>
        <v>0</v>
      </c>
    </row>
    <row r="18" spans="1:9">
      <c r="A18" s="11" t="str">
        <f>Table333456789101217[[#This Row],[Carrier]]</f>
        <v>Forge</v>
      </c>
      <c r="B18" s="5" t="str">
        <f>Table333456789101217[[#This Row],[IP]]</f>
        <v>112.54.89.168/112.54.89.138</v>
      </c>
      <c r="C18" s="6" t="str">
        <f>Table333456789101217[[#This Row],[Carrier Code]]</f>
        <v>FO</v>
      </c>
      <c r="D18" s="53">
        <v>25.816666666666666</v>
      </c>
      <c r="E18" s="53">
        <v>25.816666666666666</v>
      </c>
      <c r="F18" s="18">
        <f>Table3334567891012112122232425[[#This Row],[Company Panel]]+Table33345678910121121222324[[#This Row],[MTD Company]]</f>
        <v>478.91666666666663</v>
      </c>
      <c r="G18" s="18">
        <f>Table3334567891012112122232425[[#This Row],[Our panel]]+Table33345678910121121222324[[#This Row],[MTD Panel]]</f>
        <v>478.91666666666663</v>
      </c>
      <c r="H18" s="13">
        <f>Table3334567891012112122232425[[#This Row],[Company Panel]]-Table3334567891012112122232425[[#This Row],[Our panel]]</f>
        <v>0</v>
      </c>
      <c r="I18" s="13">
        <f>Table3334567891012112122232425[[#This Row],[MTD Company]]-Table3334567891012112122232425[[#This Row],[MTD Panel]]</f>
        <v>0</v>
      </c>
    </row>
    <row r="19" spans="1:9">
      <c r="A19" s="11" t="str">
        <f>Table333456789101217[[#This Row],[Carrier]]</f>
        <v>Ember</v>
      </c>
      <c r="B19" s="5" t="str">
        <f>Table333456789101217[[#This Row],[IP]]</f>
        <v>78.34.90.24/328.56.122.44/142.150.75.22</v>
      </c>
      <c r="C19" s="6" t="str">
        <f>Table333456789101217[[#This Row],[Carrier Code]]</f>
        <v>EM</v>
      </c>
      <c r="D19" s="53">
        <v>0</v>
      </c>
      <c r="E19" s="53">
        <v>0</v>
      </c>
      <c r="F19" s="18">
        <f>Table3334567891012112122232425[[#This Row],[Company Panel]]+Table33345678910121121222324[[#This Row],[MTD Company]]</f>
        <v>0</v>
      </c>
      <c r="G19" s="18">
        <f>Table3334567891012112122232425[[#This Row],[Our panel]]+Table33345678910121121222324[[#This Row],[MTD Panel]]</f>
        <v>0</v>
      </c>
      <c r="H19" s="13">
        <f>Table3334567891012112122232425[[#This Row],[Company Panel]]-Table3334567891012112122232425[[#This Row],[Our panel]]</f>
        <v>0</v>
      </c>
      <c r="I19" s="13">
        <f>Table3334567891012112122232425[[#This Row],[MTD Company]]-Table3334567891012112122232425[[#This Row],[MTD Panel]]</f>
        <v>0</v>
      </c>
    </row>
    <row r="20" spans="1:9">
      <c r="A20" s="11" t="str">
        <f>Table333456789101217[[#This Row],[Carrier]]</f>
        <v>Specter</v>
      </c>
      <c r="B20" s="5" t="str">
        <f>Table333456789101217[[#This Row],[IP]]</f>
        <v>205.60.34.150</v>
      </c>
      <c r="C20" s="6" t="str">
        <f>Table333456789101217[[#This Row],[Carrier Code]]</f>
        <v>SP</v>
      </c>
      <c r="D20" s="53">
        <v>0</v>
      </c>
      <c r="E20" s="53">
        <v>0</v>
      </c>
      <c r="F20" s="18">
        <f>Table3334567891012112122232425[[#This Row],[Company Panel]]+Table33345678910121121222324[[#This Row],[MTD Company]]</f>
        <v>11.950000000000003</v>
      </c>
      <c r="G20" s="18">
        <f>Table3334567891012112122232425[[#This Row],[Our panel]]+Table33345678910121121222324[[#This Row],[MTD Panel]]</f>
        <v>11.950000000000003</v>
      </c>
      <c r="H20" s="13">
        <f>Table3334567891012112122232425[[#This Row],[Company Panel]]-Table3334567891012112122232425[[#This Row],[Our panel]]</f>
        <v>0</v>
      </c>
      <c r="I20" s="13">
        <f>Table3334567891012112122232425[[#This Row],[MTD Company]]-Table3334567891012112122232425[[#This Row],[MTD Panel]]</f>
        <v>0</v>
      </c>
    </row>
    <row r="21" spans="1:9">
      <c r="A21" s="11" t="str">
        <f>Table333456789101217[[#This Row],[Carrier]]</f>
        <v>Throne</v>
      </c>
      <c r="B21" s="5" t="str">
        <f>Table333456789101217[[#This Row],[IP]]</f>
        <v>54.32.11.90/27.758.27.201/125.150.58.20</v>
      </c>
      <c r="C21" s="6" t="str">
        <f>Table333456789101217[[#This Row],[Carrier Code]]</f>
        <v>TH</v>
      </c>
      <c r="D21" s="53">
        <v>0</v>
      </c>
      <c r="E21" s="53">
        <v>0</v>
      </c>
      <c r="F21" s="18">
        <f>Table3334567891012112122232425[[#This Row],[Company Panel]]+Table33345678910121121222324[[#This Row],[MTD Company]]</f>
        <v>0</v>
      </c>
      <c r="G21" s="18">
        <f>Table3334567891012112122232425[[#This Row],[Our panel]]+Table33345678910121121222324[[#This Row],[MTD Panel]]</f>
        <v>0</v>
      </c>
      <c r="H21" s="13">
        <f>Table3334567891012112122232425[[#This Row],[Company Panel]]-Table3334567891012112122232425[[#This Row],[Our panel]]</f>
        <v>0</v>
      </c>
      <c r="I21" s="13">
        <f>Table3334567891012112122232425[[#This Row],[MTD Company]]-Table3334567891012112122232425[[#This Row],[MTD Panel]]</f>
        <v>0</v>
      </c>
    </row>
    <row r="22" spans="1:9">
      <c r="A22" s="11" t="str">
        <f>Table333456789101217[[#This Row],[Carrier]]</f>
        <v>Arcane</v>
      </c>
      <c r="B22" s="5" t="str">
        <f>Table333456789101217[[#This Row],[IP]]</f>
        <v>212.100.25.78/212.100.25.87</v>
      </c>
      <c r="C22" s="6" t="str">
        <f>Table333456789101217[[#This Row],[Carrier Code]]</f>
        <v>AR</v>
      </c>
      <c r="D22" s="53">
        <v>0</v>
      </c>
      <c r="E22" s="53">
        <v>0</v>
      </c>
      <c r="F22" s="18">
        <f>Table3334567891012112122232425[[#This Row],[Company Panel]]+Table33345678910121121222324[[#This Row],[MTD Company]]</f>
        <v>0.58333333333333337</v>
      </c>
      <c r="G22" s="18">
        <f>Table3334567891012112122232425[[#This Row],[Our panel]]+Table33345678910121121222324[[#This Row],[MTD Panel]]</f>
        <v>0.58333333333333337</v>
      </c>
      <c r="H22" s="13">
        <f>Table3334567891012112122232425[[#This Row],[Company Panel]]-Table3334567891012112122232425[[#This Row],[Our panel]]</f>
        <v>0</v>
      </c>
      <c r="I22" s="13">
        <f>Table3334567891012112122232425[[#This Row],[MTD Company]]-Table3334567891012112122232425[[#This Row],[MTD Panel]]</f>
        <v>0</v>
      </c>
    </row>
    <row r="23" spans="1:9">
      <c r="A23" s="11" t="str">
        <f>Table333456789101217[[#This Row],[Carrier]]</f>
        <v>Glitch</v>
      </c>
      <c r="B23" s="5" t="str">
        <f>Table333456789101217[[#This Row],[IP]]</f>
        <v>198.204.100.12/198.204.100.34/198.204.100.51</v>
      </c>
      <c r="C23" s="6" t="str">
        <f>Table333456789101217[[#This Row],[Carrier Code]]</f>
        <v>GL</v>
      </c>
      <c r="D23" s="53">
        <v>0</v>
      </c>
      <c r="E23" s="53">
        <v>0</v>
      </c>
      <c r="F23" s="18">
        <f>Table3334567891012112122232425[[#This Row],[Company Panel]]+Table33345678910121121222324[[#This Row],[MTD Company]]</f>
        <v>0</v>
      </c>
      <c r="G23" s="18">
        <f>Table3334567891012112122232425[[#This Row],[Our panel]]+Table33345678910121121222324[[#This Row],[MTD Panel]]</f>
        <v>0</v>
      </c>
      <c r="H23" s="13">
        <f>Table3334567891012112122232425[[#This Row],[Company Panel]]-Table3334567891012112122232425[[#This Row],[Our panel]]</f>
        <v>0</v>
      </c>
      <c r="I23" s="13">
        <f>Table3334567891012112122232425[[#This Row],[MTD Company]]-Table3334567891012112122232425[[#This Row],[MTD Panel]]</f>
        <v>0</v>
      </c>
    </row>
    <row r="24" spans="1:9">
      <c r="A24" s="11" t="str">
        <f>Table333456789101217[[#This Row],[Carrier]]</f>
        <v>Nitro</v>
      </c>
      <c r="B24" s="5" t="str">
        <f>Table333456789101217[[#This Row],[IP]]</f>
        <v>15.150.200.33/119.82.200.100</v>
      </c>
      <c r="C24" s="6" t="str">
        <f>Table333456789101217[[#This Row],[Carrier Code]]</f>
        <v>NI</v>
      </c>
      <c r="D24" s="53">
        <v>0</v>
      </c>
      <c r="E24" s="53">
        <v>0</v>
      </c>
      <c r="F24" s="18">
        <f>Table3334567891012112122232425[[#This Row],[Company Panel]]+Table33345678910121121222324[[#This Row],[MTD Company]]</f>
        <v>0</v>
      </c>
      <c r="G24" s="18">
        <f>Table3334567891012112122232425[[#This Row],[Our panel]]+Table33345678910121121222324[[#This Row],[MTD Panel]]</f>
        <v>0</v>
      </c>
      <c r="H24" s="13">
        <f>Table3334567891012112122232425[[#This Row],[Company Panel]]-Table3334567891012112122232425[[#This Row],[Our panel]]</f>
        <v>0</v>
      </c>
      <c r="I24" s="13">
        <f>Table3334567891012112122232425[[#This Row],[MTD Company]]-Table3334567891012112122232425[[#This Row],[MTD Panel]]</f>
        <v>0</v>
      </c>
    </row>
    <row r="25" spans="1:9">
      <c r="A25" s="11" t="str">
        <f>Table333456789101217[[#This Row],[Carrier]]</f>
        <v>Drip</v>
      </c>
      <c r="B25" s="5" t="str">
        <f>Table333456789101217[[#This Row],[IP]]</f>
        <v>84.13.76.190/90.945.80.11/198.160.234.5</v>
      </c>
      <c r="C25" s="6" t="str">
        <f>Table333456789101217[[#This Row],[Carrier Code]]</f>
        <v>DR</v>
      </c>
      <c r="D25" s="53">
        <v>0</v>
      </c>
      <c r="E25" s="53">
        <v>0</v>
      </c>
      <c r="F25" s="18">
        <f>Table3334567891012112122232425[[#This Row],[Company Panel]]+Table33345678910121121222324[[#This Row],[MTD Company]]</f>
        <v>0</v>
      </c>
      <c r="G25" s="18">
        <f>Table3334567891012112122232425[[#This Row],[Our panel]]+Table33345678910121121222324[[#This Row],[MTD Panel]]</f>
        <v>0</v>
      </c>
      <c r="H25" s="13">
        <f>Table3334567891012112122232425[[#This Row],[Company Panel]]-Table3334567891012112122232425[[#This Row],[Our panel]]</f>
        <v>0</v>
      </c>
      <c r="I25" s="13">
        <f>Table3334567891012112122232425[[#This Row],[MTD Company]]-Table3334567891012112122232425[[#This Row],[MTD Panel]]</f>
        <v>0</v>
      </c>
    </row>
    <row r="26" spans="1:9">
      <c r="A26" s="11" t="str">
        <f>Table333456789101217[[#This Row],[Carrier]]</f>
        <v>Glide</v>
      </c>
      <c r="B26" s="5" t="str">
        <f>Table333456789101217[[#This Row],[IP]]</f>
        <v>120.45.12.25/85.739.221.80/85.739.221.93</v>
      </c>
      <c r="C26" s="6" t="str">
        <f>Table333456789101217[[#This Row],[Carrier Code]]</f>
        <v>GI</v>
      </c>
      <c r="D26" s="53">
        <v>0</v>
      </c>
      <c r="E26" s="53">
        <v>0</v>
      </c>
      <c r="F26" s="18">
        <f>Table3334567891012112122232425[[#This Row],[Company Panel]]+Table33345678910121121222324[[#This Row],[MTD Company]]</f>
        <v>0</v>
      </c>
      <c r="G26" s="18">
        <f>Table3334567891012112122232425[[#This Row],[Our panel]]+Table33345678910121121222324[[#This Row],[MTD Panel]]</f>
        <v>0</v>
      </c>
      <c r="H26" s="13">
        <f>Table3334567891012112122232425[[#This Row],[Company Panel]]-Table3334567891012112122232425[[#This Row],[Our panel]]</f>
        <v>0</v>
      </c>
      <c r="I26" s="13">
        <f>Table3334567891012112122232425[[#This Row],[MTD Company]]-Table3334567891012112122232425[[#This Row],[MTD Panel]]</f>
        <v>0</v>
      </c>
    </row>
    <row r="27" spans="1:9">
      <c r="A27" s="11" t="str">
        <f>Table333456789101217[[#This Row],[Carrier]]</f>
        <v>Orbit</v>
      </c>
      <c r="B27" s="5" t="str">
        <f>Table333456789101217[[#This Row],[IP]]</f>
        <v>176.98.54.112/60.110.154.91/60.110.155.162</v>
      </c>
      <c r="C27" s="6" t="str">
        <f>Table333456789101217[[#This Row],[Carrier Code]]</f>
        <v>OR</v>
      </c>
      <c r="D27" s="53">
        <v>0</v>
      </c>
      <c r="E27" s="53">
        <v>0</v>
      </c>
      <c r="F27" s="18">
        <f>Table3334567891012112122232425[[#This Row],[Company Panel]]+Table33345678910121121222324[[#This Row],[MTD Company]]</f>
        <v>0</v>
      </c>
      <c r="G27" s="18">
        <f>Table3334567891012112122232425[[#This Row],[Our panel]]+Table33345678910121121222324[[#This Row],[MTD Panel]]</f>
        <v>0</v>
      </c>
      <c r="H27" s="13">
        <f>Table3334567891012112122232425[[#This Row],[Company Panel]]-Table3334567891012112122232425[[#This Row],[Our panel]]</f>
        <v>0</v>
      </c>
      <c r="I27" s="13">
        <f>Table3334567891012112122232425[[#This Row],[MTD Company]]-Table3334567891012112122232425[[#This Row],[MTD Panel]]</f>
        <v>0</v>
      </c>
    </row>
    <row r="28" spans="1:9">
      <c r="A28" s="11" t="str">
        <f>Table333456789101217[[#This Row],[Carrier]]</f>
        <v>Thunder</v>
      </c>
      <c r="B28" s="5" t="str">
        <f>Table333456789101217[[#This Row],[IP]]</f>
        <v>67.102.200.9/81.905.48.847/143.235.100.34</v>
      </c>
      <c r="C28" s="6" t="str">
        <f>Table333456789101217[[#This Row],[Carrier Code]]</f>
        <v>TU</v>
      </c>
      <c r="D28" s="53">
        <v>4.6500000000000004</v>
      </c>
      <c r="E28" s="53">
        <v>4.6500000000000004</v>
      </c>
      <c r="F28" s="18">
        <f>Table3334567891012112122232425[[#This Row],[Company Panel]]+Table33345678910121121222324[[#This Row],[MTD Company]]</f>
        <v>496.91666666666652</v>
      </c>
      <c r="G28" s="18">
        <f>Table3334567891012112122232425[[#This Row],[Our panel]]+Table33345678910121121222324[[#This Row],[MTD Panel]]</f>
        <v>496.91666666666652</v>
      </c>
      <c r="H28" s="13">
        <f>Table3334567891012112122232425[[#This Row],[Company Panel]]-Table3334567891012112122232425[[#This Row],[Our panel]]</f>
        <v>0</v>
      </c>
      <c r="I28" s="13">
        <f>Table3334567891012112122232425[[#This Row],[MTD Company]]-Table3334567891012112122232425[[#This Row],[MTD Panel]]</f>
        <v>0</v>
      </c>
    </row>
    <row r="29" spans="1:9">
      <c r="A29" s="11" t="str">
        <f>Table333456789101217[[#This Row],[Carrier]]</f>
        <v>Glimmer</v>
      </c>
      <c r="B29" s="5" t="str">
        <f>Table333456789101217[[#This Row],[IP]]</f>
        <v>99.22.211.100/71.54.85.344/71.54.85.218</v>
      </c>
      <c r="C29" s="6" t="str">
        <f>Table333456789101217[[#This Row],[Carrier Code]]</f>
        <v>GM</v>
      </c>
      <c r="D29" s="53">
        <v>0</v>
      </c>
      <c r="E29" s="53">
        <v>0</v>
      </c>
      <c r="F29" s="18">
        <f>Table3334567891012112122232425[[#This Row],[Company Panel]]+Table33345678910121121222324[[#This Row],[MTD Company]]</f>
        <v>0</v>
      </c>
      <c r="G29" s="18">
        <f>Table3334567891012112122232425[[#This Row],[Our panel]]+Table33345678910121121222324[[#This Row],[MTD Panel]]</f>
        <v>0</v>
      </c>
      <c r="H29" s="13">
        <f>Table3334567891012112122232425[[#This Row],[Company Panel]]-Table3334567891012112122232425[[#This Row],[Our panel]]</f>
        <v>0</v>
      </c>
      <c r="I29" s="13">
        <f>Table3334567891012112122232425[[#This Row],[MTD Company]]-Table3334567891012112122232425[[#This Row],[MTD Panel]]</f>
        <v>0</v>
      </c>
    </row>
    <row r="30" spans="1:9">
      <c r="A30" s="11" t="str">
        <f>Table333456789101217[[#This Row],[Carrier]]</f>
        <v>Fragment</v>
      </c>
      <c r="B30" s="5" t="str">
        <f>Table333456789101217[[#This Row],[IP]]</f>
        <v>203.0.113.56/195.56.101.10</v>
      </c>
      <c r="C30" s="6" t="str">
        <f>Table333456789101217[[#This Row],[Carrier Code]]</f>
        <v>FR</v>
      </c>
      <c r="D30" s="53">
        <v>0</v>
      </c>
      <c r="E30" s="53">
        <v>0</v>
      </c>
      <c r="F30" s="18">
        <f>Table3334567891012112122232425[[#This Row],[Company Panel]]+Table33345678910121121222324[[#This Row],[MTD Company]]</f>
        <v>0</v>
      </c>
      <c r="G30" s="18">
        <f>Table3334567891012112122232425[[#This Row],[Our panel]]+Table33345678910121121222324[[#This Row],[MTD Panel]]</f>
        <v>0</v>
      </c>
      <c r="H30" s="13">
        <f>Table3334567891012112122232425[[#This Row],[Company Panel]]-Table3334567891012112122232425[[#This Row],[Our panel]]</f>
        <v>0</v>
      </c>
      <c r="I30" s="13">
        <f>Table3334567891012112122232425[[#This Row],[MTD Company]]-Table3334567891012112122232425[[#This Row],[MTD Panel]]</f>
        <v>0</v>
      </c>
    </row>
    <row r="31" spans="1:9">
      <c r="A31" s="11" t="str">
        <f>Table333456789101217[[#This Row],[Carrier]]</f>
        <v>Dusk</v>
      </c>
      <c r="B31" s="5" t="str">
        <f>Table333456789101217[[#This Row],[IP]]</f>
        <v>33.44.55.66/33.44.55.84/33.44.55.122/214.68.90.122</v>
      </c>
      <c r="C31" s="6" t="str">
        <f>Table333456789101217[[#This Row],[Carrier Code]]</f>
        <v>DK</v>
      </c>
      <c r="D31" s="53">
        <v>0</v>
      </c>
      <c r="E31" s="53">
        <v>0</v>
      </c>
      <c r="F31" s="18">
        <f>Table3334567891012112122232425[[#This Row],[Company Panel]]+Table33345678910121121222324[[#This Row],[MTD Company]]</f>
        <v>0</v>
      </c>
      <c r="G31" s="18">
        <f>Table3334567891012112122232425[[#This Row],[Our panel]]+Table33345678910121121222324[[#This Row],[MTD Panel]]</f>
        <v>0</v>
      </c>
      <c r="H31" s="13">
        <f>Table3334567891012112122232425[[#This Row],[Company Panel]]-Table3334567891012112122232425[[#This Row],[Our panel]]</f>
        <v>0</v>
      </c>
      <c r="I31" s="13">
        <f>Table3334567891012112122232425[[#This Row],[MTD Company]]-Table3334567891012112122232425[[#This Row],[MTD Panel]]</f>
        <v>0</v>
      </c>
    </row>
    <row r="32" spans="1:9">
      <c r="A32" s="11" t="str">
        <f>Table333456789101217[[#This Row],[Carrier]]</f>
        <v>Breeze</v>
      </c>
      <c r="B32" s="5" t="str">
        <f>Table333456789101217[[#This Row],[IP]]</f>
        <v>199.123.87.45/199.123.34.52/77.189.22.56</v>
      </c>
      <c r="C32" s="6" t="str">
        <f>Table333456789101217[[#This Row],[Carrier Code]]</f>
        <v>BR</v>
      </c>
      <c r="D32" s="53">
        <v>0</v>
      </c>
      <c r="E32" s="53">
        <v>0</v>
      </c>
      <c r="F32" s="18">
        <f>Table3334567891012112122232425[[#This Row],[Company Panel]]+Table33345678910121121222324[[#This Row],[MTD Company]]</f>
        <v>0</v>
      </c>
      <c r="G32" s="18">
        <f>Table3334567891012112122232425[[#This Row],[Our panel]]+Table33345678910121121222324[[#This Row],[MTD Panel]]</f>
        <v>0</v>
      </c>
      <c r="H32" s="13">
        <f>Table3334567891012112122232425[[#This Row],[Company Panel]]-Table3334567891012112122232425[[#This Row],[Our panel]]</f>
        <v>0</v>
      </c>
      <c r="I32" s="13">
        <f>Table3334567891012112122232425[[#This Row],[MTD Company]]-Table3334567891012112122232425[[#This Row],[MTD Panel]]</f>
        <v>0</v>
      </c>
    </row>
    <row r="33" spans="1:9">
      <c r="A33" s="11" t="str">
        <f>Table333456789101217[[#This Row],[Carrier]]</f>
        <v>Clutch</v>
      </c>
      <c r="B33" s="5" t="str">
        <f>Table333456789101217[[#This Row],[IP]]</f>
        <v>55.66.77.88/84.126.79.28/152.233.45.11</v>
      </c>
      <c r="C33" s="6" t="str">
        <f>Table333456789101217[[#This Row],[Carrier Code]]</f>
        <v>CL</v>
      </c>
      <c r="D33" s="53">
        <v>0</v>
      </c>
      <c r="E33" s="53">
        <v>0</v>
      </c>
      <c r="F33" s="18">
        <f>Table3334567891012112122232425[[#This Row],[Company Panel]]+Table33345678910121121222324[[#This Row],[MTD Company]]</f>
        <v>0</v>
      </c>
      <c r="G33" s="18">
        <f>Table3334567891012112122232425[[#This Row],[Our panel]]+Table33345678910121121222324[[#This Row],[MTD Panel]]</f>
        <v>0</v>
      </c>
      <c r="H33" s="13">
        <f>Table3334567891012112122232425[[#This Row],[Company Panel]]-Table3334567891012112122232425[[#This Row],[Our panel]]</f>
        <v>0</v>
      </c>
      <c r="I33" s="13">
        <f>Table3334567891012112122232425[[#This Row],[MTD Company]]-Table3334567891012112122232425[[#This Row],[MTD Panel]]</f>
        <v>0</v>
      </c>
    </row>
    <row r="34" spans="1:9">
      <c r="A34" s="11" t="str">
        <f>Table333456789101217[[#This Row],[Carrier]]</f>
        <v>Haze</v>
      </c>
      <c r="B34" s="5" t="str">
        <f>Table333456789101217[[#This Row],[IP]]</f>
        <v>230.111.44.56</v>
      </c>
      <c r="C34" s="6" t="str">
        <f>Table333456789101217[[#This Row],[Carrier Code]]</f>
        <v>HZ</v>
      </c>
      <c r="D34" s="53">
        <v>113.71666666666667</v>
      </c>
      <c r="E34" s="53">
        <v>113.71666666666667</v>
      </c>
      <c r="F34" s="18">
        <f>Table3334567891012112122232425[[#This Row],[Company Panel]]+Table33345678910121121222324[[#This Row],[MTD Company]]</f>
        <v>2015.0500000000002</v>
      </c>
      <c r="G34" s="18">
        <f>Table3334567891012112122232425[[#This Row],[Our panel]]+Table33345678910121121222324[[#This Row],[MTD Panel]]</f>
        <v>2015.0500000000002</v>
      </c>
      <c r="H34" s="63">
        <f>Table3334567891012112122232425[[#This Row],[Company Panel]]-Table3334567891012112122232425[[#This Row],[Our panel]]</f>
        <v>0</v>
      </c>
      <c r="I34" s="63">
        <f>Table3334567891012112122232425[[#This Row],[MTD Company]]-Table3334567891012112122232425[[#This Row],[MTD Panel]]</f>
        <v>0</v>
      </c>
    </row>
    <row r="35" spans="1:9">
      <c r="A35" s="11" t="str">
        <f>Table333456789101217[[#This Row],[Carrier]]</f>
        <v>Vault</v>
      </c>
      <c r="B35" s="5" t="str">
        <f>Table333456789101217[[#This Row],[IP]]</f>
        <v>213.189.94.5/213.189.94.7/111.180.64.222</v>
      </c>
      <c r="C35" s="6" t="str">
        <f>Table333456789101217[[#This Row],[Carrier Code]]</f>
        <v>VA</v>
      </c>
      <c r="D35" s="53">
        <v>0</v>
      </c>
      <c r="E35" s="53">
        <v>0</v>
      </c>
      <c r="F35" s="18">
        <f>Table3334567891012112122232425[[#This Row],[Company Panel]]+Table33345678910121121222324[[#This Row],[MTD Company]]</f>
        <v>0</v>
      </c>
      <c r="G35" s="18">
        <f>Table3334567891012112122232425[[#This Row],[Our panel]]+Table33345678910121121222324[[#This Row],[MTD Panel]]</f>
        <v>0</v>
      </c>
      <c r="H35" s="63">
        <f>Table3334567891012112122232425[[#This Row],[Company Panel]]-Table3334567891012112122232425[[#This Row],[Our panel]]</f>
        <v>0</v>
      </c>
      <c r="I35" s="63">
        <f>Table3334567891012112122232425[[#This Row],[MTD Company]]-Table3334567891012112122232425[[#This Row],[MTD Panel]]</f>
        <v>0</v>
      </c>
    </row>
    <row r="36" spans="1:9">
      <c r="A36" s="11" t="str">
        <f>Table333456789101217[[#This Row],[Carrier]]</f>
        <v>Scatter</v>
      </c>
      <c r="B36" s="5" t="str">
        <f>Table333456789101217[[#This Row],[IP]]</f>
        <v>14.123.45.67/168.251.90.15</v>
      </c>
      <c r="C36" s="6" t="str">
        <f>Table333456789101217[[#This Row],[Carrier Code]]</f>
        <v>SC</v>
      </c>
      <c r="D36" s="53">
        <v>93.466666666666669</v>
      </c>
      <c r="E36" s="53">
        <v>93.466666666666669</v>
      </c>
      <c r="F36" s="18">
        <f>Table3334567891012112122232425[[#This Row],[Company Panel]]+Table33345678910121121222324[[#This Row],[MTD Company]]</f>
        <v>1003.9666666666665</v>
      </c>
      <c r="G36" s="18">
        <f>Table3334567891012112122232425[[#This Row],[Our panel]]+Table33345678910121121222324[[#This Row],[MTD Panel]]</f>
        <v>1003.9666666666665</v>
      </c>
      <c r="H36" s="63">
        <f>Table3334567891012112122232425[[#This Row],[Company Panel]]-Table3334567891012112122232425[[#This Row],[Our panel]]</f>
        <v>0</v>
      </c>
      <c r="I36" s="63">
        <f>Table3334567891012112122232425[[#This Row],[MTD Company]]-Table3334567891012112122232425[[#This Row],[MTD Panel]]</f>
        <v>0</v>
      </c>
    </row>
    <row r="37" spans="1:9">
      <c r="A37" s="11" t="str">
        <f>Table333456789101217[[#This Row],[Carrier]]</f>
        <v>Hammer</v>
      </c>
      <c r="B37" s="5" t="str">
        <f>Table333456789101217[[#This Row],[IP]]</f>
        <v>200.111.78.9/200.111.236.62/200.111.823.89/137.79.48.56</v>
      </c>
      <c r="C37" s="6" t="str">
        <f>Table333456789101217[[#This Row],[Carrier Code]]</f>
        <v>HA</v>
      </c>
      <c r="D37" s="53">
        <v>0</v>
      </c>
      <c r="E37" s="53">
        <v>0</v>
      </c>
      <c r="F37" s="18">
        <f>Table3334567891012112122232425[[#This Row],[Company Panel]]+Table33345678910121121222324[[#This Row],[MTD Company]]</f>
        <v>0</v>
      </c>
      <c r="G37" s="18">
        <f>Table3334567891012112122232425[[#This Row],[Our panel]]+Table33345678910121121222324[[#This Row],[MTD Panel]]</f>
        <v>0</v>
      </c>
      <c r="H37" s="72">
        <f>Table3334567891012112122232425[[#This Row],[Company Panel]]-Table3334567891012112122232425[[#This Row],[Our panel]]</f>
        <v>0</v>
      </c>
      <c r="I37" s="72">
        <f>Table3334567891012112122232425[[#This Row],[MTD Company]]-Table3334567891012112122232425[[#This Row],[MTD Panel]]</f>
        <v>0</v>
      </c>
    </row>
    <row r="38" spans="1:9">
      <c r="A38" s="11" t="str">
        <f>Table333456789101217[[#This Row],[Carrier]]</f>
        <v>Smudge</v>
      </c>
      <c r="B38" s="5" t="str">
        <f>Table333456789101217[[#This Row],[IP]]</f>
        <v>88.99.233.56/54.71.99.234</v>
      </c>
      <c r="C38" s="6" t="str">
        <f>Table333456789101217[[#This Row],[Carrier Code]]</f>
        <v>SM</v>
      </c>
      <c r="D38" s="53">
        <v>2.2333333333333334</v>
      </c>
      <c r="E38" s="53">
        <v>2.2333333333333334</v>
      </c>
      <c r="F38" s="18">
        <f>Table3334567891012112122232425[[#This Row],[Company Panel]]+Table33345678910121121222324[[#This Row],[MTD Company]]</f>
        <v>292.88333333333333</v>
      </c>
      <c r="G38" s="18">
        <f>Table3334567891012112122232425[[#This Row],[Our panel]]+Table33345678910121121222324[[#This Row],[MTD Panel]]</f>
        <v>292.88333333333333</v>
      </c>
      <c r="H38" s="72">
        <f>Table3334567891012112122232425[[#This Row],[Company Panel]]-Table3334567891012112122232425[[#This Row],[Our panel]]</f>
        <v>0</v>
      </c>
      <c r="I38" s="72">
        <f>Table3334567891012112122232425[[#This Row],[MTD Company]]-Table3334567891012112122232425[[#This Row],[MTD Panel]]</f>
        <v>0</v>
      </c>
    </row>
    <row r="39" spans="1:9">
      <c r="A39" s="11" t="str">
        <f>Table333456789101217[[#This Row],[Carrier]]</f>
        <v>Quirk</v>
      </c>
      <c r="B39" s="5" t="str">
        <f>Table333456789101217[[#This Row],[IP]]</f>
        <v>62.45.100.31/62.45.100.15/62.45.100.65/211.95.102.6</v>
      </c>
      <c r="C39" s="6" t="str">
        <f>Table333456789101217[[#This Row],[Carrier Code]]</f>
        <v>QU</v>
      </c>
      <c r="D39" s="53">
        <v>1147.0999999999999</v>
      </c>
      <c r="E39" s="53">
        <v>1147.0999999999999</v>
      </c>
      <c r="F39" s="18">
        <f>Table3334567891012112122232425[[#This Row],[Company Panel]]+Table33345678910121121222324[[#This Row],[MTD Company]]</f>
        <v>32208.299999999992</v>
      </c>
      <c r="G39" s="18">
        <f>Table3334567891012112122232425[[#This Row],[Our panel]]+Table33345678910121121222324[[#This Row],[MTD Panel]]</f>
        <v>32208.299999999992</v>
      </c>
      <c r="H39" s="72">
        <f>Table3334567891012112122232425[[#This Row],[Company Panel]]-Table3334567891012112122232425[[#This Row],[Our panel]]</f>
        <v>0</v>
      </c>
      <c r="I39" s="72">
        <f>Table3334567891012112122232425[[#This Row],[MTD Company]]-Table3334567891012112122232425[[#This Row],[MTD Panel]]</f>
        <v>0</v>
      </c>
    </row>
    <row r="40" spans="1:9">
      <c r="A40" s="11" t="str">
        <f>Table333456789101217[[#This Row],[Carrier]]</f>
        <v>Vortex</v>
      </c>
      <c r="B40" s="5" t="str">
        <f>Table333456789101217[[#This Row],[IP]]</f>
        <v>179.250.91.8/29.540.67.457/94.25.34.78/183.144.27.18</v>
      </c>
      <c r="C40" s="6" t="str">
        <f>Table333456789101217[[#This Row],[Carrier Code]]</f>
        <v>VT</v>
      </c>
      <c r="D40" s="53">
        <v>0</v>
      </c>
      <c r="E40" s="53">
        <v>0</v>
      </c>
      <c r="F40" s="18">
        <f>Table3334567891012112122232425[[#This Row],[Company Panel]]+Table33345678910121121222324[[#This Row],[MTD Company]]</f>
        <v>0</v>
      </c>
      <c r="G40" s="18">
        <f>Table3334567891012112122232425[[#This Row],[Our panel]]+Table33345678910121121222324[[#This Row],[MTD Panel]]</f>
        <v>0</v>
      </c>
      <c r="H40" s="72">
        <f>Table3334567891012112122232425[[#This Row],[Company Panel]]-Table3334567891012112122232425[[#This Row],[Our panel]]</f>
        <v>0</v>
      </c>
      <c r="I40" s="72">
        <f>Table3334567891012112122232425[[#This Row],[MTD Company]]-Table3334567891012112122232425[[#This Row],[MTD Panel]]</f>
        <v>0</v>
      </c>
    </row>
    <row r="41" spans="1:9">
      <c r="A41" s="11" t="str">
        <f>Table333456789101217[[#This Row],[Carrier]]</f>
        <v>Void</v>
      </c>
      <c r="B41" s="5" t="str">
        <f>Table333456789101217[[#This Row],[IP]]</f>
        <v>156.34.123.11/156.34.123.25/156.34.123.62/92.44.233.110</v>
      </c>
      <c r="C41" s="6" t="str">
        <f>Table333456789101217[[#This Row],[Carrier Code]]</f>
        <v>VO</v>
      </c>
      <c r="D41" s="53">
        <v>33.85</v>
      </c>
      <c r="E41" s="53">
        <v>33.85</v>
      </c>
      <c r="F41" s="18">
        <f>Table3334567891012112122232425[[#This Row],[Company Panel]]+Table33345678910121121222324[[#This Row],[MTD Company]]</f>
        <v>766.7833333333333</v>
      </c>
      <c r="G41" s="18">
        <f>Table3334567891012112122232425[[#This Row],[Our panel]]+Table33345678910121121222324[[#This Row],[MTD Panel]]</f>
        <v>766.7833333333333</v>
      </c>
      <c r="H41" s="72">
        <f>Table3334567891012112122232425[[#This Row],[Company Panel]]-Table3334567891012112122232425[[#This Row],[Our panel]]</f>
        <v>0</v>
      </c>
      <c r="I41" s="72">
        <f>Table3334567891012112122232425[[#This Row],[MTD Company]]-Table3334567891012112122232425[[#This Row],[MTD Panel]]</f>
        <v>0</v>
      </c>
    </row>
    <row r="42" spans="1:9">
      <c r="A42" s="11" t="str">
        <f>Table333456789101217[[#This Row],[Carrier]]</f>
        <v>Midnight</v>
      </c>
      <c r="B42" s="5" t="str">
        <f>Table333456789101217[[#This Row],[IP]]</f>
        <v>134.77.22.4/23.97.150.8</v>
      </c>
      <c r="C42" s="6" t="str">
        <f>Table333456789101217[[#This Row],[Carrier Code]]</f>
        <v>MI</v>
      </c>
      <c r="D42" s="53">
        <v>112.28333333333333</v>
      </c>
      <c r="E42" s="53">
        <v>112.28333333333333</v>
      </c>
      <c r="F42" s="18">
        <f>Table3334567891012112122232425[[#This Row],[Company Panel]]+Table33345678910121121222324[[#This Row],[MTD Company]]</f>
        <v>6375.7333333333345</v>
      </c>
      <c r="G42" s="18">
        <f>Table3334567891012112122232425[[#This Row],[Our panel]]+Table33345678910121121222324[[#This Row],[MTD Panel]]</f>
        <v>6375.7333333333345</v>
      </c>
      <c r="H42" s="72">
        <f>Table3334567891012112122232425[[#This Row],[Company Panel]]-Table3334567891012112122232425[[#This Row],[Our panel]]</f>
        <v>0</v>
      </c>
      <c r="I42" s="72">
        <f>Table3334567891012112122232425[[#This Row],[MTD Company]]-Table3334567891012112122232425[[#This Row],[MTD Panel]]</f>
        <v>0</v>
      </c>
    </row>
    <row r="43" spans="1:9">
      <c r="A43" s="11" t="str">
        <f>Table333456789101217[[#This Row],[Carrier]]</f>
        <v>Autumn</v>
      </c>
      <c r="B43" s="5" t="str">
        <f>Table333456789101217[[#This Row],[IP]]</f>
        <v>202.54.210.88/12.331.94.73/64.19.28.175</v>
      </c>
      <c r="C43" s="6" t="str">
        <f>Table333456789101217[[#This Row],[Carrier Code]]</f>
        <v>AU</v>
      </c>
      <c r="D43" s="53">
        <v>0</v>
      </c>
      <c r="E43" s="53">
        <v>0</v>
      </c>
      <c r="F43" s="18">
        <f>Table3334567891012112122232425[[#This Row],[Company Panel]]+Table33345678910121121222324[[#This Row],[MTD Company]]</f>
        <v>258.31666666666666</v>
      </c>
      <c r="G43" s="18">
        <f>Table3334567891012112122232425[[#This Row],[Our panel]]+Table33345678910121121222324[[#This Row],[MTD Panel]]</f>
        <v>258.31666666666666</v>
      </c>
      <c r="H43" s="72">
        <f>Table3334567891012112122232425[[#This Row],[Company Panel]]-Table3334567891012112122232425[[#This Row],[Our panel]]</f>
        <v>0</v>
      </c>
      <c r="I43" s="72">
        <f>Table3334567891012112122232425[[#This Row],[MTD Company]]-Table3334567891012112122232425[[#This Row],[MTD Panel]]</f>
        <v>0</v>
      </c>
    </row>
    <row r="44" spans="1:9">
      <c r="A44" s="11" t="str">
        <f>Table333456789101217[[#This Row],[Carrier]]</f>
        <v>Mystic</v>
      </c>
      <c r="B44" s="5" t="str">
        <f>Table333456789101217[[#This Row],[IP]]</f>
        <v>51.233.21.76/82.115.35.60/82.115.35.85</v>
      </c>
      <c r="C44" s="6" t="str">
        <f>Table333456789101217[[#This Row],[Carrier Code]]</f>
        <v>MY</v>
      </c>
      <c r="D44" s="53">
        <v>0</v>
      </c>
      <c r="E44" s="53">
        <v>0</v>
      </c>
      <c r="F44" s="18">
        <f>Table3334567891012112122232425[[#This Row],[Company Panel]]+Table33345678910121121222324[[#This Row],[MTD Company]]</f>
        <v>0</v>
      </c>
      <c r="G44" s="18">
        <f>Table3334567891012112122232425[[#This Row],[Our panel]]+Table33345678910121121222324[[#This Row],[MTD Panel]]</f>
        <v>0</v>
      </c>
      <c r="H44" s="72">
        <f>Table3334567891012112122232425[[#This Row],[Company Panel]]-Table3334567891012112122232425[[#This Row],[Our panel]]</f>
        <v>0</v>
      </c>
      <c r="I44" s="72">
        <f>Table3334567891012112122232425[[#This Row],[MTD Company]]-Table3334567891012112122232425[[#This Row],[MTD Panel]]</f>
        <v>0</v>
      </c>
    </row>
    <row r="45" spans="1:9">
      <c r="A45" s="11" t="str">
        <f>Table333456789101217[[#This Row],[Carrier]]</f>
        <v>Clover</v>
      </c>
      <c r="B45" s="5" t="str">
        <f>Table333456789101217[[#This Row],[IP]]</f>
        <v>210.150.12.45/84.50.212.66/135.113.88.9</v>
      </c>
      <c r="C45" s="6" t="str">
        <f>Table333456789101217[[#This Row],[Carrier Code]]</f>
        <v>CO</v>
      </c>
      <c r="D45" s="53">
        <v>87.5</v>
      </c>
      <c r="E45" s="53">
        <v>87.5</v>
      </c>
      <c r="F45" s="18">
        <f>Table3334567891012112122232425[[#This Row],[Company Panel]]+Table33345678910121121222324[[#This Row],[MTD Company]]</f>
        <v>34404.866666666676</v>
      </c>
      <c r="G45" s="18">
        <f>Table3334567891012112122232425[[#This Row],[Our panel]]+Table33345678910121121222324[[#This Row],[MTD Panel]]</f>
        <v>34404.866666666676</v>
      </c>
      <c r="H45" s="13">
        <f>Table3334567891012112122232425[[#This Row],[Company Panel]]-Table3334567891012112122232425[[#This Row],[Our panel]]</f>
        <v>0</v>
      </c>
      <c r="I45" s="13">
        <f>Table3334567891012112122232425[[#This Row],[MTD Company]]-Table3334567891012112122232425[[#This Row],[MTD Panel]]</f>
        <v>0</v>
      </c>
    </row>
    <row r="46" spans="1:9">
      <c r="A46" s="11" t="str">
        <f>Table333456789101217[[#This Row],[Carrier]]</f>
        <v>Hunter</v>
      </c>
      <c r="B46" s="5" t="str">
        <f>Table333456789101217[[#This Row],[IP]]</f>
        <v>170.199.20.87/13.693.39.280/78.30.123.47</v>
      </c>
      <c r="C46" s="6" t="str">
        <f>Table333456789101217[[#This Row],[Carrier Code]]</f>
        <v>HU</v>
      </c>
      <c r="D46" s="53">
        <v>1046.8166666666666</v>
      </c>
      <c r="E46" s="53">
        <v>1046.8166666666666</v>
      </c>
      <c r="F46" s="18">
        <f>Table3334567891012112122232425[[#This Row],[Company Panel]]+Table33345678910121121222324[[#This Row],[MTD Company]]</f>
        <v>15830.566666666666</v>
      </c>
      <c r="G46" s="18">
        <f>Table3334567891012112122232425[[#This Row],[Our panel]]+Table33345678910121121222324[[#This Row],[MTD Panel]]</f>
        <v>15830.566666666666</v>
      </c>
      <c r="H46" s="13">
        <f>Table3334567891012112122232425[[#This Row],[Company Panel]]-Table3334567891012112122232425[[#This Row],[Our panel]]</f>
        <v>0</v>
      </c>
      <c r="I46" s="13">
        <f>Table3334567891012112122232425[[#This Row],[MTD Company]]-Table3334567891012112122232425[[#This Row],[MTD Panel]]</f>
        <v>0</v>
      </c>
    </row>
    <row r="47" spans="1:9">
      <c r="A47" s="11" t="str">
        <f>Table333456789101217[[#This Row],[Carrier]]</f>
        <v>Invaded</v>
      </c>
      <c r="B47" s="5" t="str">
        <f>Table333456789101217[[#This Row],[IP]]</f>
        <v>182.67.99.120/80.518.230.410/26.847.95.107/188.12.67.92</v>
      </c>
      <c r="C47" s="6" t="str">
        <f>Table333456789101217[[#This Row],[Carrier Code]]</f>
        <v>ID</v>
      </c>
      <c r="D47" s="7">
        <v>0</v>
      </c>
      <c r="E47" s="7">
        <v>0</v>
      </c>
      <c r="F47" s="18">
        <f>Table3334567891012112122232425[[#This Row],[Company Panel]]+Table33345678910121121222324[[#This Row],[MTD Company]]</f>
        <v>0</v>
      </c>
      <c r="G47" s="18">
        <f>Table3334567891012112122232425[[#This Row],[Our panel]]+Table33345678910121121222324[[#This Row],[MTD Panel]]</f>
        <v>0</v>
      </c>
      <c r="H47" s="13">
        <f>Table3334567891012112122232425[[#This Row],[Company Panel]]-Table3334567891012112122232425[[#This Row],[Our panel]]</f>
        <v>0</v>
      </c>
      <c r="I47" s="13">
        <f>Table3334567891012112122232425[[#This Row],[MTD Company]]-Table3334567891012112122232425[[#This Row],[MTD Panel]]</f>
        <v>0</v>
      </c>
    </row>
    <row r="48" spans="1:9">
      <c r="A48" s="11" t="str">
        <f>Table333456789101217[[#This Row],[Carrier]]</f>
        <v>Delusion</v>
      </c>
      <c r="B48" s="5" t="str">
        <f>Table333456789101217[[#This Row],[IP]]</f>
        <v>198.51.100.72/69.887.74.738/39.153.110.645</v>
      </c>
      <c r="C48" s="6" t="str">
        <f>Table333456789101217[[#This Row],[Carrier Code]]</f>
        <v>DU</v>
      </c>
      <c r="D48" s="7">
        <v>0</v>
      </c>
      <c r="E48" s="7">
        <v>0</v>
      </c>
      <c r="F48" s="18">
        <f>Table3334567891012112122232425[[#This Row],[Company Panel]]+Table33345678910121121222324[[#This Row],[MTD Company]]</f>
        <v>0</v>
      </c>
      <c r="G48" s="18">
        <f>Table3334567891012112122232425[[#This Row],[Our panel]]+Table33345678910121121222324[[#This Row],[MTD Panel]]</f>
        <v>0</v>
      </c>
      <c r="H48" s="13">
        <f>Table3334567891012112122232425[[#This Row],[Company Panel]]-Table3334567891012112122232425[[#This Row],[Our panel]]</f>
        <v>0</v>
      </c>
      <c r="I48" s="13">
        <f>Table3334567891012112122232425[[#This Row],[MTD Company]]-Table3334567891012112122232425[[#This Row],[MTD Panel]]</f>
        <v>0</v>
      </c>
    </row>
    <row r="49" spans="1:9" ht="15.5">
      <c r="A49" s="11" t="str">
        <f>Table333456789101217[[#This Row],[Carrier]]</f>
        <v>Total</v>
      </c>
      <c r="B49" s="14"/>
      <c r="C49" s="15"/>
      <c r="D49" s="16">
        <f>SUM(D3:D48)</f>
        <v>6464.2333333333336</v>
      </c>
      <c r="E49" s="16">
        <f t="shared" ref="E49:I49" si="0">SUM(E3:E48)</f>
        <v>6464.2333333333336</v>
      </c>
      <c r="F49" s="16">
        <f t="shared" si="0"/>
        <v>175761.08333333331</v>
      </c>
      <c r="G49" s="16">
        <f t="shared" si="0"/>
        <v>175761.08333333331</v>
      </c>
      <c r="H49" s="16">
        <f t="shared" si="0"/>
        <v>0</v>
      </c>
      <c r="I49" s="16">
        <f t="shared" si="0"/>
        <v>0</v>
      </c>
    </row>
  </sheetData>
  <conditionalFormatting sqref="H2:I48">
    <cfRule type="cellIs" dxfId="243" priority="12" operator="lessThan">
      <formula>0</formula>
    </cfRule>
  </conditionalFormatting>
  <conditionalFormatting sqref="I30:I48">
    <cfRule type="cellIs" dxfId="242" priority="11" operator="lessThan">
      <formula>0</formula>
    </cfRule>
  </conditionalFormatting>
  <conditionalFormatting sqref="H3:I48">
    <cfRule type="cellIs" dxfId="241" priority="10" operator="lessThan">
      <formula>0</formula>
    </cfRule>
  </conditionalFormatting>
  <conditionalFormatting sqref="I30:I48">
    <cfRule type="cellIs" dxfId="240" priority="9" operator="lessThan">
      <formula>0</formula>
    </cfRule>
  </conditionalFormatting>
  <conditionalFormatting sqref="I3:I48">
    <cfRule type="cellIs" dxfId="239" priority="1" operator="lessThan">
      <formula>0</formula>
    </cfRule>
    <cfRule type="cellIs" dxfId="238" priority="2" operator="lessThan">
      <formula>0</formula>
    </cfRule>
  </conditionalFormatting>
  <hyperlinks>
    <hyperlink ref="E1" location="H!A1" display="Home"/>
    <hyperlink ref="D1" location="'17'!D1" display="←"/>
    <hyperlink ref="F1" location="'19'!F1" display="→"/>
  </hyperlink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"/>
  <sheetViews>
    <sheetView workbookViewId="0">
      <selection activeCell="D3" sqref="D3"/>
    </sheetView>
  </sheetViews>
  <sheetFormatPr defaultRowHeight="14.5"/>
  <cols>
    <col min="1" max="1" width="26.7265625" bestFit="1" customWidth="1"/>
    <col min="2" max="2" width="37" bestFit="1" customWidth="1"/>
    <col min="3" max="3" width="10.453125" customWidth="1"/>
    <col min="4" max="9" width="12.7265625" customWidth="1"/>
  </cols>
  <sheetData>
    <row r="1" spans="1:12" ht="18.5">
      <c r="A1" s="23" t="str">
        <f>H!D4</f>
        <v>19th April 2025</v>
      </c>
      <c r="B1" s="24"/>
      <c r="C1" s="24"/>
      <c r="D1" s="22" t="s">
        <v>16</v>
      </c>
      <c r="E1" s="22" t="s">
        <v>9</v>
      </c>
      <c r="F1" s="22" t="s">
        <v>17</v>
      </c>
    </row>
    <row r="2" spans="1:12" ht="31">
      <c r="A2" s="1" t="s">
        <v>0</v>
      </c>
      <c r="B2" s="2" t="s">
        <v>1</v>
      </c>
      <c r="C2" s="2" t="s">
        <v>2</v>
      </c>
      <c r="D2" s="2" t="s">
        <v>3</v>
      </c>
      <c r="E2" s="2" t="s">
        <v>11</v>
      </c>
      <c r="F2" s="2" t="s">
        <v>4</v>
      </c>
      <c r="G2" s="4" t="s">
        <v>6</v>
      </c>
      <c r="H2" s="4" t="s">
        <v>7</v>
      </c>
      <c r="I2" s="3" t="s">
        <v>8</v>
      </c>
    </row>
    <row r="3" spans="1:12">
      <c r="A3" s="11" t="str">
        <f>Table333456789101217[[#This Row],[Carrier]]</f>
        <v>Blaze</v>
      </c>
      <c r="B3" s="5" t="str">
        <f>Table333456789101217[[#This Row],[IP]]</f>
        <v>8.12.34.56/48.163.17.845/60.502.86.203/191.45.28.14</v>
      </c>
      <c r="C3" s="6" t="str">
        <f>Table333456789101217[[#This Row],[Carrier Code]]</f>
        <v>BZ</v>
      </c>
      <c r="D3" s="53">
        <v>0</v>
      </c>
      <c r="E3" s="53">
        <v>0</v>
      </c>
      <c r="F3" s="18">
        <f>Table333456789101211212223242526[[#This Row],[Company Panel]]+Table3334567891012112122232425[[#This Row],[MTD Company]]</f>
        <v>0</v>
      </c>
      <c r="G3" s="18">
        <f>Table333456789101211212223242526[[#This Row],[Our panel]]+Table3334567891012112122232425[[#This Row],[MTD Panel]]</f>
        <v>0</v>
      </c>
      <c r="H3" s="13">
        <f>Table333456789101211212223242526[[#This Row],[Company Panel]]-Table333456789101211212223242526[[#This Row],[Our panel]]</f>
        <v>0</v>
      </c>
      <c r="I3" s="13">
        <f>Table333456789101211212223242526[[#This Row],[MTD Company]]-Table333456789101211212223242526[[#This Row],[MTD Panel]]</f>
        <v>0</v>
      </c>
    </row>
    <row r="4" spans="1:12">
      <c r="A4" s="11" t="str">
        <f>Table333456789101217[[#This Row],[Carrier]]</f>
        <v>Titan</v>
      </c>
      <c r="B4" s="5" t="str">
        <f>Table333456789101217[[#This Row],[IP]]</f>
        <v>123.45.67.89/123.45.67.93/203.24.101.65</v>
      </c>
      <c r="C4" s="6" t="str">
        <f>Table333456789101217[[#This Row],[Carrier Code]]</f>
        <v>TI</v>
      </c>
      <c r="D4" s="53">
        <v>0.8</v>
      </c>
      <c r="E4" s="53">
        <v>0.8</v>
      </c>
      <c r="F4" s="18">
        <f>Table333456789101211212223242526[[#This Row],[Company Panel]]+Table3334567891012112122232425[[#This Row],[MTD Company]]</f>
        <v>324.81666666666666</v>
      </c>
      <c r="G4" s="18">
        <f>Table333456789101211212223242526[[#This Row],[Our panel]]+Table3334567891012112122232425[[#This Row],[MTD Panel]]</f>
        <v>324.81666666666666</v>
      </c>
      <c r="H4" s="13">
        <f>Table333456789101211212223242526[[#This Row],[Company Panel]]-Table333456789101211212223242526[[#This Row],[Our panel]]</f>
        <v>0</v>
      </c>
      <c r="I4" s="13">
        <f>Table333456789101211212223242526[[#This Row],[MTD Company]]-Table333456789101211212223242526[[#This Row],[MTD Panel]]</f>
        <v>0</v>
      </c>
      <c r="L4" s="9"/>
    </row>
    <row r="5" spans="1:12">
      <c r="A5" s="11" t="str">
        <f>Table333456789101217[[#This Row],[Carrier]]</f>
        <v>Hollow</v>
      </c>
      <c r="B5" s="5" t="str">
        <f>Table333456789101217[[#This Row],[IP]]</f>
        <v>204.56.78.100/204.56.57.169/52.94.101.12</v>
      </c>
      <c r="C5" s="6" t="str">
        <f>Table333456789101217[[#This Row],[Carrier Code]]</f>
        <v>HO</v>
      </c>
      <c r="D5" s="53">
        <v>0</v>
      </c>
      <c r="E5" s="53">
        <v>0</v>
      </c>
      <c r="F5" s="18">
        <f>Table333456789101211212223242526[[#This Row],[Company Panel]]+Table3334567891012112122232425[[#This Row],[MTD Company]]</f>
        <v>0</v>
      </c>
      <c r="G5" s="18">
        <f>Table333456789101211212223242526[[#This Row],[Our panel]]+Table3334567891012112122232425[[#This Row],[MTD Panel]]</f>
        <v>0</v>
      </c>
      <c r="H5" s="13">
        <f>Table333456789101211212223242526[[#This Row],[Company Panel]]-Table333456789101211212223242526[[#This Row],[Our panel]]</f>
        <v>0</v>
      </c>
      <c r="I5" s="13">
        <f>Table333456789101211212223242526[[#This Row],[MTD Company]]-Table333456789101211212223242526[[#This Row],[MTD Panel]]</f>
        <v>0</v>
      </c>
    </row>
    <row r="6" spans="1:12">
      <c r="A6" s="11" t="str">
        <f>Table333456789101217[[#This Row],[Carrier]]</f>
        <v>Prism</v>
      </c>
      <c r="B6" s="5" t="str">
        <f>Table333456789101217[[#This Row],[IP]]</f>
        <v>35.118.22.45/137.63.112.25</v>
      </c>
      <c r="C6" s="6" t="str">
        <f>Table333456789101217[[#This Row],[Carrier Code]]</f>
        <v>PS</v>
      </c>
      <c r="D6" s="53">
        <v>395.33333333333331</v>
      </c>
      <c r="E6" s="53">
        <v>395.33333333333331</v>
      </c>
      <c r="F6" s="18">
        <f>Table333456789101211212223242526[[#This Row],[Company Panel]]+Table3334567891012112122232425[[#This Row],[MTD Company]]</f>
        <v>66353.333333333314</v>
      </c>
      <c r="G6" s="18">
        <f>Table333456789101211212223242526[[#This Row],[Our panel]]+Table3334567891012112122232425[[#This Row],[MTD Panel]]</f>
        <v>66353.333333333314</v>
      </c>
      <c r="H6" s="13">
        <f>Table333456789101211212223242526[[#This Row],[Company Panel]]-Table333456789101211212223242526[[#This Row],[Our panel]]</f>
        <v>0</v>
      </c>
      <c r="I6" s="13">
        <f>Table333456789101211212223242526[[#This Row],[MTD Company]]-Table333456789101211212223242526[[#This Row],[MTD Panel]]</f>
        <v>0</v>
      </c>
    </row>
    <row r="7" spans="1:12">
      <c r="A7" s="11" t="str">
        <f>Table333456789101217[[#This Row],[Carrier]]</f>
        <v>Echo</v>
      </c>
      <c r="B7" s="5" t="str">
        <f>Table333456789101217[[#This Row],[IP]]</f>
        <v>66.89.101.10/66.89.101.19/66.89.101.23/66.89.101.45/66.89.101.81/85.21.34.99</v>
      </c>
      <c r="C7" s="6" t="str">
        <f>Table333456789101217[[#This Row],[Carrier Code]]</f>
        <v>EC</v>
      </c>
      <c r="D7" s="53">
        <v>2.4333333333333331</v>
      </c>
      <c r="E7" s="53">
        <v>2.4333333333333331</v>
      </c>
      <c r="F7" s="18">
        <f>Table333456789101211212223242526[[#This Row],[Company Panel]]+Table3334567891012112122232425[[#This Row],[MTD Company]]</f>
        <v>59.050000000000004</v>
      </c>
      <c r="G7" s="18">
        <f>Table333456789101211212223242526[[#This Row],[Our panel]]+Table3334567891012112122232425[[#This Row],[MTD Panel]]</f>
        <v>59.050000000000004</v>
      </c>
      <c r="H7" s="13">
        <f>Table333456789101211212223242526[[#This Row],[Company Panel]]-Table333456789101211212223242526[[#This Row],[Our panel]]</f>
        <v>0</v>
      </c>
      <c r="I7" s="13">
        <f>Table333456789101211212223242526[[#This Row],[MTD Company]]-Table333456789101211212223242526[[#This Row],[MTD Panel]]</f>
        <v>0</v>
      </c>
    </row>
    <row r="8" spans="1:12">
      <c r="A8" s="11" t="str">
        <f>Table333456789101217[[#This Row],[Carrier]]</f>
        <v>Strike</v>
      </c>
      <c r="B8" s="5" t="str">
        <f>Table333456789101217[[#This Row],[IP]]</f>
        <v>100.200.150.3/100.200.165.38/41.102.90.78</v>
      </c>
      <c r="C8" s="6" t="str">
        <f>Table333456789101217[[#This Row],[Carrier Code]]</f>
        <v>ST</v>
      </c>
      <c r="D8" s="53">
        <v>52.733333333333334</v>
      </c>
      <c r="E8" s="53">
        <v>52.733333333333334</v>
      </c>
      <c r="F8" s="18">
        <f>Table333456789101211212223242526[[#This Row],[Company Panel]]+Table3334567891012112122232425[[#This Row],[MTD Company]]</f>
        <v>2029.9166666666663</v>
      </c>
      <c r="G8" s="18">
        <f>Table333456789101211212223242526[[#This Row],[Our panel]]+Table3334567891012112122232425[[#This Row],[MTD Panel]]</f>
        <v>2029.9166666666663</v>
      </c>
      <c r="H8" s="13">
        <f>Table333456789101211212223242526[[#This Row],[Company Panel]]-Table333456789101211212223242526[[#This Row],[Our panel]]</f>
        <v>0</v>
      </c>
      <c r="I8" s="13">
        <f>Table333456789101211212223242526[[#This Row],[MTD Company]]-Table333456789101211212223242526[[#This Row],[MTD Panel]]</f>
        <v>0</v>
      </c>
      <c r="L8" s="9"/>
    </row>
    <row r="9" spans="1:12">
      <c r="A9" s="11" t="str">
        <f>Table333456789101217[[#This Row],[Carrier]]</f>
        <v>Blunt</v>
      </c>
      <c r="B9" s="5" t="str">
        <f>Table333456789101217[[#This Row],[IP]]</f>
        <v>52.28.191.25/52.28.191.38/52.28.191.24/61.110.23.45</v>
      </c>
      <c r="C9" s="6" t="str">
        <f>Table333456789101217[[#This Row],[Carrier Code]]</f>
        <v>BL</v>
      </c>
      <c r="D9" s="53">
        <v>77.433333333333337</v>
      </c>
      <c r="E9" s="53">
        <v>77.433333333333337</v>
      </c>
      <c r="F9" s="18">
        <f>Table333456789101211212223242526[[#This Row],[Company Panel]]+Table3334567891012112122232425[[#This Row],[MTD Company]]</f>
        <v>10036.950000000001</v>
      </c>
      <c r="G9" s="18">
        <f>Table333456789101211212223242526[[#This Row],[Our panel]]+Table3334567891012112122232425[[#This Row],[MTD Panel]]</f>
        <v>10036.950000000001</v>
      </c>
      <c r="H9" s="13">
        <f>Table333456789101211212223242526[[#This Row],[Company Panel]]-Table333456789101211212223242526[[#This Row],[Our panel]]</f>
        <v>0</v>
      </c>
      <c r="I9" s="13">
        <f>Table333456789101211212223242526[[#This Row],[MTD Company]]-Table333456789101211212223242526[[#This Row],[MTD Panel]]</f>
        <v>0</v>
      </c>
    </row>
    <row r="10" spans="1:12">
      <c r="A10" s="11" t="str">
        <f>Table333456789101217[[#This Row],[Carrier]]</f>
        <v>Law</v>
      </c>
      <c r="B10" s="5" t="str">
        <f>Table333456789101217[[#This Row],[IP]]</f>
        <v>77.88.99.21/77.88.99.88/77.88.99.94/110.56.211.7</v>
      </c>
      <c r="C10" s="6" t="str">
        <f>Table333456789101217[[#This Row],[Carrier Code]]</f>
        <v>LA</v>
      </c>
      <c r="D10" s="53">
        <v>0</v>
      </c>
      <c r="E10" s="53">
        <v>0</v>
      </c>
      <c r="F10" s="18">
        <f>Table333456789101211212223242526[[#This Row],[Company Panel]]+Table3334567891012112122232425[[#This Row],[MTD Company]]</f>
        <v>0</v>
      </c>
      <c r="G10" s="18">
        <f>Table333456789101211212223242526[[#This Row],[Our panel]]+Table3334567891012112122232425[[#This Row],[MTD Panel]]</f>
        <v>0</v>
      </c>
      <c r="H10" s="13">
        <f>Table333456789101211212223242526[[#This Row],[Company Panel]]-Table333456789101211212223242526[[#This Row],[Our panel]]</f>
        <v>0</v>
      </c>
      <c r="I10" s="13">
        <f>Table333456789101211212223242526[[#This Row],[MTD Company]]-Table333456789101211212223242526[[#This Row],[MTD Panel]]</f>
        <v>0</v>
      </c>
    </row>
    <row r="11" spans="1:12">
      <c r="A11" s="11" t="str">
        <f>Table333456789101217[[#This Row],[Carrier]]</f>
        <v>Pulse</v>
      </c>
      <c r="B11" s="5" t="str">
        <f>Table333456789101217[[#This Row],[IP]]</f>
        <v>198.51.100.130/31.725.16.608/66.59.61.503/167.34.122.90</v>
      </c>
      <c r="C11" s="6" t="str">
        <f>Table333456789101217[[#This Row],[Carrier Code]]</f>
        <v>PU</v>
      </c>
      <c r="D11" s="53">
        <v>0</v>
      </c>
      <c r="E11" s="53">
        <v>0</v>
      </c>
      <c r="F11" s="18">
        <f>Table333456789101211212223242526[[#This Row],[Company Panel]]+Table3334567891012112122232425[[#This Row],[MTD Company]]</f>
        <v>0</v>
      </c>
      <c r="G11" s="18">
        <f>Table333456789101211212223242526[[#This Row],[Our panel]]+Table3334567891012112122232425[[#This Row],[MTD Panel]]</f>
        <v>0</v>
      </c>
      <c r="H11" s="13">
        <f>Table333456789101211212223242526[[#This Row],[Company Panel]]-Table333456789101211212223242526[[#This Row],[Our panel]]</f>
        <v>0</v>
      </c>
      <c r="I11" s="13">
        <f>Table333456789101211212223242526[[#This Row],[MTD Company]]-Table333456789101211212223242526[[#This Row],[MTD Panel]]</f>
        <v>0</v>
      </c>
    </row>
    <row r="12" spans="1:12">
      <c r="A12" s="11" t="str">
        <f>Table333456789101217[[#This Row],[Carrier]]</f>
        <v>Phantom</v>
      </c>
      <c r="B12" s="5" t="str">
        <f>Table333456789101217[[#This Row],[IP]]</f>
        <v>141.15.210.67/141.15.42.82/179.62.211.4</v>
      </c>
      <c r="C12" s="6" t="str">
        <f>Table333456789101217[[#This Row],[Carrier Code]]</f>
        <v>PH</v>
      </c>
      <c r="D12" s="53">
        <v>1.2166666666666666</v>
      </c>
      <c r="E12" s="53">
        <v>1.2166666666666666</v>
      </c>
      <c r="F12" s="18">
        <f>Table333456789101211212223242526[[#This Row],[Company Panel]]+Table3334567891012112122232425[[#This Row],[MTD Company]]</f>
        <v>3342.0333333333328</v>
      </c>
      <c r="G12" s="18">
        <f>Table333456789101211212223242526[[#This Row],[Our panel]]+Table3334567891012112122232425[[#This Row],[MTD Panel]]</f>
        <v>3342.0333333333328</v>
      </c>
      <c r="H12" s="13">
        <f>Table333456789101211212223242526[[#This Row],[Company Panel]]-Table333456789101211212223242526[[#This Row],[Our panel]]</f>
        <v>0</v>
      </c>
      <c r="I12" s="13">
        <f>Table333456789101211212223242526[[#This Row],[MTD Company]]-Table333456789101211212223242526[[#This Row],[MTD Panel]]</f>
        <v>0</v>
      </c>
    </row>
    <row r="13" spans="1:12">
      <c r="A13" s="11" t="str">
        <f>Table333456789101217[[#This Row],[Carrier]]</f>
        <v>Dragon</v>
      </c>
      <c r="B13" s="5" t="str">
        <f>Table333456789101217[[#This Row],[IP]]</f>
        <v>12.34.56.78/12.34.56.128/200.180.245.18</v>
      </c>
      <c r="C13" s="6" t="str">
        <f>Table333456789101217[[#This Row],[Carrier Code]]</f>
        <v>DG</v>
      </c>
      <c r="D13" s="53">
        <v>0</v>
      </c>
      <c r="E13" s="53">
        <v>0</v>
      </c>
      <c r="F13" s="18">
        <f>Table333456789101211212223242526[[#This Row],[Company Panel]]+Table3334567891012112122232425[[#This Row],[MTD Company]]</f>
        <v>0</v>
      </c>
      <c r="G13" s="18">
        <f>Table333456789101211212223242526[[#This Row],[Our panel]]+Table3334567891012112122232425[[#This Row],[MTD Panel]]</f>
        <v>0</v>
      </c>
      <c r="H13" s="13">
        <f>Table333456789101211212223242526[[#This Row],[Company Panel]]-Table333456789101211212223242526[[#This Row],[Our panel]]</f>
        <v>0</v>
      </c>
      <c r="I13" s="13">
        <f>Table333456789101211212223242526[[#This Row],[MTD Company]]-Table333456789101211212223242526[[#This Row],[MTD Panel]]</f>
        <v>0</v>
      </c>
    </row>
    <row r="14" spans="1:12">
      <c r="A14" s="11" t="str">
        <f>Table333456789101217[[#This Row],[Carrier]]</f>
        <v>Tempest</v>
      </c>
      <c r="B14" s="5" t="str">
        <f>Table333456789101217[[#This Row],[IP]]</f>
        <v>59.144.223.88/55.39.99.60</v>
      </c>
      <c r="C14" s="6" t="str">
        <f>Table333456789101217[[#This Row],[Carrier Code]]</f>
        <v>TE</v>
      </c>
      <c r="D14" s="53">
        <v>0</v>
      </c>
      <c r="E14" s="53">
        <v>0</v>
      </c>
      <c r="F14" s="18">
        <f>Table333456789101211212223242526[[#This Row],[Company Panel]]+Table3334567891012112122232425[[#This Row],[MTD Company]]</f>
        <v>0</v>
      </c>
      <c r="G14" s="18">
        <f>Table333456789101211212223242526[[#This Row],[Our panel]]+Table3334567891012112122232425[[#This Row],[MTD Panel]]</f>
        <v>0</v>
      </c>
      <c r="H14" s="13">
        <f>Table333456789101211212223242526[[#This Row],[Company Panel]]-Table333456789101211212223242526[[#This Row],[Our panel]]</f>
        <v>0</v>
      </c>
      <c r="I14" s="13">
        <f>Table333456789101211212223242526[[#This Row],[MTD Company]]-Table333456789101211212223242526[[#This Row],[MTD Panel]]</f>
        <v>0</v>
      </c>
    </row>
    <row r="15" spans="1:12">
      <c r="A15" s="11" t="str">
        <f>Table333456789101217[[#This Row],[Carrier]]</f>
        <v>Shadow</v>
      </c>
      <c r="B15" s="5" t="str">
        <f>Table333456789101217[[#This Row],[IP]]</f>
        <v>175.45.112.100/25.851.31.153/39.80.220.100</v>
      </c>
      <c r="C15" s="6" t="str">
        <f>Table333456789101217[[#This Row],[Carrier Code]]</f>
        <v>SH</v>
      </c>
      <c r="D15" s="53">
        <v>0</v>
      </c>
      <c r="E15" s="53">
        <v>0</v>
      </c>
      <c r="F15" s="18">
        <f>Table333456789101211212223242526[[#This Row],[Company Panel]]+Table3334567891012112122232425[[#This Row],[MTD Company]]</f>
        <v>0.1</v>
      </c>
      <c r="G15" s="18">
        <f>Table333456789101211212223242526[[#This Row],[Our panel]]+Table3334567891012112122232425[[#This Row],[MTD Panel]]</f>
        <v>0.1</v>
      </c>
      <c r="H15" s="13">
        <f>Table333456789101211212223242526[[#This Row],[Company Panel]]-Table333456789101211212223242526[[#This Row],[Our panel]]</f>
        <v>0</v>
      </c>
      <c r="I15" s="13">
        <f>Table333456789101211212223242526[[#This Row],[MTD Company]]-Table333456789101211212223242526[[#This Row],[MTD Panel]]</f>
        <v>0</v>
      </c>
    </row>
    <row r="16" spans="1:12">
      <c r="A16" s="11" t="str">
        <f>Table333456789101217[[#This Row],[Carrier]]</f>
        <v>Cyclone</v>
      </c>
      <c r="B16" s="5" t="str">
        <f>Table333456789101217[[#This Row],[IP]]</f>
        <v>150.13.75.190/16.160.89.512/72.11.97.34</v>
      </c>
      <c r="C16" s="6" t="str">
        <f>Table333456789101217[[#This Row],[Carrier Code]]</f>
        <v>CY</v>
      </c>
      <c r="D16" s="53">
        <v>0</v>
      </c>
      <c r="E16" s="53">
        <v>0</v>
      </c>
      <c r="F16" s="18">
        <f>Table333456789101211212223242526[[#This Row],[Company Panel]]+Table3334567891012112122232425[[#This Row],[MTD Company]]</f>
        <v>0</v>
      </c>
      <c r="G16" s="18">
        <f>Table333456789101211212223242526[[#This Row],[Our panel]]+Table3334567891012112122232425[[#This Row],[MTD Panel]]</f>
        <v>0</v>
      </c>
      <c r="H16" s="13">
        <f>Table333456789101211212223242526[[#This Row],[Company Panel]]-Table333456789101211212223242526[[#This Row],[Our panel]]</f>
        <v>0</v>
      </c>
      <c r="I16" s="13">
        <f>Table333456789101211212223242526[[#This Row],[MTD Company]]-Table333456789101211212223242526[[#This Row],[MTD Panel]]</f>
        <v>0</v>
      </c>
    </row>
    <row r="17" spans="1:9">
      <c r="A17" s="11" t="str">
        <f>Table333456789101217[[#This Row],[Carrier]]</f>
        <v>Reaver</v>
      </c>
      <c r="B17" s="5" t="str">
        <f>Table333456789101217[[#This Row],[IP]]</f>
        <v>203.0.113.44/188.17.56.210</v>
      </c>
      <c r="C17" s="6" t="str">
        <f>Table333456789101217[[#This Row],[Carrier Code]]</f>
        <v>RE</v>
      </c>
      <c r="D17" s="53">
        <v>0</v>
      </c>
      <c r="E17" s="53">
        <v>0</v>
      </c>
      <c r="F17" s="18">
        <f>Table333456789101211212223242526[[#This Row],[Company Panel]]+Table3334567891012112122232425[[#This Row],[MTD Company]]</f>
        <v>0</v>
      </c>
      <c r="G17" s="18">
        <f>Table333456789101211212223242526[[#This Row],[Our panel]]+Table3334567891012112122232425[[#This Row],[MTD Panel]]</f>
        <v>0</v>
      </c>
      <c r="H17" s="13">
        <f>Table333456789101211212223242526[[#This Row],[Company Panel]]-Table333456789101211212223242526[[#This Row],[Our panel]]</f>
        <v>0</v>
      </c>
      <c r="I17" s="13">
        <f>Table333456789101211212223242526[[#This Row],[MTD Company]]-Table333456789101211212223242526[[#This Row],[MTD Panel]]</f>
        <v>0</v>
      </c>
    </row>
    <row r="18" spans="1:9">
      <c r="A18" s="11" t="str">
        <f>Table333456789101217[[#This Row],[Carrier]]</f>
        <v>Forge</v>
      </c>
      <c r="B18" s="5" t="str">
        <f>Table333456789101217[[#This Row],[IP]]</f>
        <v>112.54.89.168/112.54.89.138</v>
      </c>
      <c r="C18" s="6" t="str">
        <f>Table333456789101217[[#This Row],[Carrier Code]]</f>
        <v>FO</v>
      </c>
      <c r="D18" s="53">
        <v>7.1166666666666663</v>
      </c>
      <c r="E18" s="53">
        <v>7.1166666666666663</v>
      </c>
      <c r="F18" s="18">
        <f>Table333456789101211212223242526[[#This Row],[Company Panel]]+Table3334567891012112122232425[[#This Row],[MTD Company]]</f>
        <v>486.0333333333333</v>
      </c>
      <c r="G18" s="18">
        <f>Table333456789101211212223242526[[#This Row],[Our panel]]+Table3334567891012112122232425[[#This Row],[MTD Panel]]</f>
        <v>486.0333333333333</v>
      </c>
      <c r="H18" s="13">
        <f>Table333456789101211212223242526[[#This Row],[Company Panel]]-Table333456789101211212223242526[[#This Row],[Our panel]]</f>
        <v>0</v>
      </c>
      <c r="I18" s="13">
        <f>Table333456789101211212223242526[[#This Row],[MTD Company]]-Table333456789101211212223242526[[#This Row],[MTD Panel]]</f>
        <v>0</v>
      </c>
    </row>
    <row r="19" spans="1:9">
      <c r="A19" s="11" t="str">
        <f>Table333456789101217[[#This Row],[Carrier]]</f>
        <v>Ember</v>
      </c>
      <c r="B19" s="5" t="str">
        <f>Table333456789101217[[#This Row],[IP]]</f>
        <v>78.34.90.24/328.56.122.44/142.150.75.22</v>
      </c>
      <c r="C19" s="6" t="str">
        <f>Table333456789101217[[#This Row],[Carrier Code]]</f>
        <v>EM</v>
      </c>
      <c r="D19" s="53">
        <v>0</v>
      </c>
      <c r="E19" s="53">
        <v>0</v>
      </c>
      <c r="F19" s="18">
        <f>Table333456789101211212223242526[[#This Row],[Company Panel]]+Table3334567891012112122232425[[#This Row],[MTD Company]]</f>
        <v>0</v>
      </c>
      <c r="G19" s="18">
        <f>Table333456789101211212223242526[[#This Row],[Our panel]]+Table3334567891012112122232425[[#This Row],[MTD Panel]]</f>
        <v>0</v>
      </c>
      <c r="H19" s="13">
        <f>Table333456789101211212223242526[[#This Row],[Company Panel]]-Table333456789101211212223242526[[#This Row],[Our panel]]</f>
        <v>0</v>
      </c>
      <c r="I19" s="13">
        <f>Table333456789101211212223242526[[#This Row],[MTD Company]]-Table333456789101211212223242526[[#This Row],[MTD Panel]]</f>
        <v>0</v>
      </c>
    </row>
    <row r="20" spans="1:9">
      <c r="A20" s="11" t="str">
        <f>Table333456789101217[[#This Row],[Carrier]]</f>
        <v>Specter</v>
      </c>
      <c r="B20" s="5" t="str">
        <f>Table333456789101217[[#This Row],[IP]]</f>
        <v>205.60.34.150</v>
      </c>
      <c r="C20" s="6" t="str">
        <f>Table333456789101217[[#This Row],[Carrier Code]]</f>
        <v>SP</v>
      </c>
      <c r="D20" s="53">
        <v>0</v>
      </c>
      <c r="E20" s="53">
        <v>0</v>
      </c>
      <c r="F20" s="18">
        <f>Table333456789101211212223242526[[#This Row],[Company Panel]]+Table3334567891012112122232425[[#This Row],[MTD Company]]</f>
        <v>11.950000000000003</v>
      </c>
      <c r="G20" s="18">
        <f>Table333456789101211212223242526[[#This Row],[Our panel]]+Table3334567891012112122232425[[#This Row],[MTD Panel]]</f>
        <v>11.950000000000003</v>
      </c>
      <c r="H20" s="13">
        <f>Table333456789101211212223242526[[#This Row],[Company Panel]]-Table333456789101211212223242526[[#This Row],[Our panel]]</f>
        <v>0</v>
      </c>
      <c r="I20" s="13">
        <f>Table333456789101211212223242526[[#This Row],[MTD Company]]-Table333456789101211212223242526[[#This Row],[MTD Panel]]</f>
        <v>0</v>
      </c>
    </row>
    <row r="21" spans="1:9">
      <c r="A21" s="11" t="str">
        <f>Table333456789101217[[#This Row],[Carrier]]</f>
        <v>Throne</v>
      </c>
      <c r="B21" s="5" t="str">
        <f>Table333456789101217[[#This Row],[IP]]</f>
        <v>54.32.11.90/27.758.27.201/125.150.58.20</v>
      </c>
      <c r="C21" s="6" t="str">
        <f>Table333456789101217[[#This Row],[Carrier Code]]</f>
        <v>TH</v>
      </c>
      <c r="D21" s="53">
        <v>0</v>
      </c>
      <c r="E21" s="53">
        <v>0</v>
      </c>
      <c r="F21" s="18">
        <f>Table333456789101211212223242526[[#This Row],[Company Panel]]+Table3334567891012112122232425[[#This Row],[MTD Company]]</f>
        <v>0</v>
      </c>
      <c r="G21" s="18">
        <f>Table333456789101211212223242526[[#This Row],[Our panel]]+Table3334567891012112122232425[[#This Row],[MTD Panel]]</f>
        <v>0</v>
      </c>
      <c r="H21" s="13">
        <f>Table333456789101211212223242526[[#This Row],[Company Panel]]-Table333456789101211212223242526[[#This Row],[Our panel]]</f>
        <v>0</v>
      </c>
      <c r="I21" s="13">
        <f>Table333456789101211212223242526[[#This Row],[MTD Company]]-Table333456789101211212223242526[[#This Row],[MTD Panel]]</f>
        <v>0</v>
      </c>
    </row>
    <row r="22" spans="1:9">
      <c r="A22" s="11" t="str">
        <f>Table333456789101217[[#This Row],[Carrier]]</f>
        <v>Arcane</v>
      </c>
      <c r="B22" s="5" t="str">
        <f>Table333456789101217[[#This Row],[IP]]</f>
        <v>212.100.25.78/212.100.25.87</v>
      </c>
      <c r="C22" s="6" t="str">
        <f>Table333456789101217[[#This Row],[Carrier Code]]</f>
        <v>AR</v>
      </c>
      <c r="D22" s="53">
        <v>64.88333333333334</v>
      </c>
      <c r="E22" s="53">
        <v>64.88333333333334</v>
      </c>
      <c r="F22" s="18">
        <f>Table333456789101211212223242526[[#This Row],[Company Panel]]+Table3334567891012112122232425[[#This Row],[MTD Company]]</f>
        <v>65.466666666666669</v>
      </c>
      <c r="G22" s="18">
        <f>Table333456789101211212223242526[[#This Row],[Our panel]]+Table3334567891012112122232425[[#This Row],[MTD Panel]]</f>
        <v>65.466666666666669</v>
      </c>
      <c r="H22" s="13">
        <f>Table333456789101211212223242526[[#This Row],[Company Panel]]-Table333456789101211212223242526[[#This Row],[Our panel]]</f>
        <v>0</v>
      </c>
      <c r="I22" s="13">
        <f>Table333456789101211212223242526[[#This Row],[MTD Company]]-Table333456789101211212223242526[[#This Row],[MTD Panel]]</f>
        <v>0</v>
      </c>
    </row>
    <row r="23" spans="1:9">
      <c r="A23" s="11" t="str">
        <f>Table333456789101217[[#This Row],[Carrier]]</f>
        <v>Glitch</v>
      </c>
      <c r="B23" s="5" t="str">
        <f>Table333456789101217[[#This Row],[IP]]</f>
        <v>198.204.100.12/198.204.100.34/198.204.100.51</v>
      </c>
      <c r="C23" s="6" t="str">
        <f>Table333456789101217[[#This Row],[Carrier Code]]</f>
        <v>GL</v>
      </c>
      <c r="D23" s="53">
        <v>0</v>
      </c>
      <c r="E23" s="53">
        <v>0</v>
      </c>
      <c r="F23" s="18">
        <f>Table333456789101211212223242526[[#This Row],[Company Panel]]+Table3334567891012112122232425[[#This Row],[MTD Company]]</f>
        <v>0</v>
      </c>
      <c r="G23" s="18">
        <f>Table333456789101211212223242526[[#This Row],[Our panel]]+Table3334567891012112122232425[[#This Row],[MTD Panel]]</f>
        <v>0</v>
      </c>
      <c r="H23" s="13">
        <f>Table333456789101211212223242526[[#This Row],[Company Panel]]-Table333456789101211212223242526[[#This Row],[Our panel]]</f>
        <v>0</v>
      </c>
      <c r="I23" s="13">
        <f>Table333456789101211212223242526[[#This Row],[MTD Company]]-Table333456789101211212223242526[[#This Row],[MTD Panel]]</f>
        <v>0</v>
      </c>
    </row>
    <row r="24" spans="1:9">
      <c r="A24" s="11" t="str">
        <f>Table333456789101217[[#This Row],[Carrier]]</f>
        <v>Nitro</v>
      </c>
      <c r="B24" s="5" t="str">
        <f>Table333456789101217[[#This Row],[IP]]</f>
        <v>15.150.200.33/119.82.200.100</v>
      </c>
      <c r="C24" s="6" t="str">
        <f>Table333456789101217[[#This Row],[Carrier Code]]</f>
        <v>NI</v>
      </c>
      <c r="D24" s="53">
        <v>0</v>
      </c>
      <c r="E24" s="53">
        <v>0</v>
      </c>
      <c r="F24" s="18">
        <f>Table333456789101211212223242526[[#This Row],[Company Panel]]+Table3334567891012112122232425[[#This Row],[MTD Company]]</f>
        <v>0</v>
      </c>
      <c r="G24" s="18">
        <f>Table333456789101211212223242526[[#This Row],[Our panel]]+Table3334567891012112122232425[[#This Row],[MTD Panel]]</f>
        <v>0</v>
      </c>
      <c r="H24" s="13">
        <f>Table333456789101211212223242526[[#This Row],[Company Panel]]-Table333456789101211212223242526[[#This Row],[Our panel]]</f>
        <v>0</v>
      </c>
      <c r="I24" s="13">
        <f>Table333456789101211212223242526[[#This Row],[MTD Company]]-Table333456789101211212223242526[[#This Row],[MTD Panel]]</f>
        <v>0</v>
      </c>
    </row>
    <row r="25" spans="1:9">
      <c r="A25" s="11" t="str">
        <f>Table333456789101217[[#This Row],[Carrier]]</f>
        <v>Drip</v>
      </c>
      <c r="B25" s="5" t="str">
        <f>Table333456789101217[[#This Row],[IP]]</f>
        <v>84.13.76.190/90.945.80.11/198.160.234.5</v>
      </c>
      <c r="C25" s="6" t="str">
        <f>Table333456789101217[[#This Row],[Carrier Code]]</f>
        <v>DR</v>
      </c>
      <c r="D25" s="53">
        <v>0</v>
      </c>
      <c r="E25" s="53">
        <v>0</v>
      </c>
      <c r="F25" s="18">
        <f>Table333456789101211212223242526[[#This Row],[Company Panel]]+Table3334567891012112122232425[[#This Row],[MTD Company]]</f>
        <v>0</v>
      </c>
      <c r="G25" s="18">
        <f>Table333456789101211212223242526[[#This Row],[Our panel]]+Table3334567891012112122232425[[#This Row],[MTD Panel]]</f>
        <v>0</v>
      </c>
      <c r="H25" s="13">
        <f>Table333456789101211212223242526[[#This Row],[Company Panel]]-Table333456789101211212223242526[[#This Row],[Our panel]]</f>
        <v>0</v>
      </c>
      <c r="I25" s="13">
        <f>Table333456789101211212223242526[[#This Row],[MTD Company]]-Table333456789101211212223242526[[#This Row],[MTD Panel]]</f>
        <v>0</v>
      </c>
    </row>
    <row r="26" spans="1:9">
      <c r="A26" s="11" t="str">
        <f>Table333456789101217[[#This Row],[Carrier]]</f>
        <v>Glide</v>
      </c>
      <c r="B26" s="5" t="str">
        <f>Table333456789101217[[#This Row],[IP]]</f>
        <v>120.45.12.25/85.739.221.80/85.739.221.93</v>
      </c>
      <c r="C26" s="6" t="str">
        <f>Table333456789101217[[#This Row],[Carrier Code]]</f>
        <v>GI</v>
      </c>
      <c r="D26" s="53">
        <v>0</v>
      </c>
      <c r="E26" s="53">
        <v>0</v>
      </c>
      <c r="F26" s="18">
        <f>Table333456789101211212223242526[[#This Row],[Company Panel]]+Table3334567891012112122232425[[#This Row],[MTD Company]]</f>
        <v>0</v>
      </c>
      <c r="G26" s="18">
        <f>Table333456789101211212223242526[[#This Row],[Our panel]]+Table3334567891012112122232425[[#This Row],[MTD Panel]]</f>
        <v>0</v>
      </c>
      <c r="H26" s="13">
        <f>Table333456789101211212223242526[[#This Row],[Company Panel]]-Table333456789101211212223242526[[#This Row],[Our panel]]</f>
        <v>0</v>
      </c>
      <c r="I26" s="13">
        <f>Table333456789101211212223242526[[#This Row],[MTD Company]]-Table333456789101211212223242526[[#This Row],[MTD Panel]]</f>
        <v>0</v>
      </c>
    </row>
    <row r="27" spans="1:9">
      <c r="A27" s="11" t="str">
        <f>Table333456789101217[[#This Row],[Carrier]]</f>
        <v>Orbit</v>
      </c>
      <c r="B27" s="5" t="str">
        <f>Table333456789101217[[#This Row],[IP]]</f>
        <v>176.98.54.112/60.110.154.91/60.110.155.162</v>
      </c>
      <c r="C27" s="6" t="str">
        <f>Table333456789101217[[#This Row],[Carrier Code]]</f>
        <v>OR</v>
      </c>
      <c r="D27" s="53">
        <v>0</v>
      </c>
      <c r="E27" s="53">
        <v>0</v>
      </c>
      <c r="F27" s="18">
        <f>Table333456789101211212223242526[[#This Row],[Company Panel]]+Table3334567891012112122232425[[#This Row],[MTD Company]]</f>
        <v>0</v>
      </c>
      <c r="G27" s="18">
        <f>Table333456789101211212223242526[[#This Row],[Our panel]]+Table3334567891012112122232425[[#This Row],[MTD Panel]]</f>
        <v>0</v>
      </c>
      <c r="H27" s="13">
        <f>Table333456789101211212223242526[[#This Row],[Company Panel]]-Table333456789101211212223242526[[#This Row],[Our panel]]</f>
        <v>0</v>
      </c>
      <c r="I27" s="13">
        <f>Table333456789101211212223242526[[#This Row],[MTD Company]]-Table333456789101211212223242526[[#This Row],[MTD Panel]]</f>
        <v>0</v>
      </c>
    </row>
    <row r="28" spans="1:9">
      <c r="A28" s="11" t="str">
        <f>Table333456789101217[[#This Row],[Carrier]]</f>
        <v>Thunder</v>
      </c>
      <c r="B28" s="5" t="str">
        <f>Table333456789101217[[#This Row],[IP]]</f>
        <v>67.102.200.9/81.905.48.847/143.235.100.34</v>
      </c>
      <c r="C28" s="6" t="str">
        <f>Table333456789101217[[#This Row],[Carrier Code]]</f>
        <v>TU</v>
      </c>
      <c r="D28" s="53">
        <v>14.416666666666666</v>
      </c>
      <c r="E28" s="53">
        <v>14.416666666666666</v>
      </c>
      <c r="F28" s="18">
        <f>Table333456789101211212223242526[[#This Row],[Company Panel]]+Table3334567891012112122232425[[#This Row],[MTD Company]]</f>
        <v>511.3333333333332</v>
      </c>
      <c r="G28" s="18">
        <f>Table333456789101211212223242526[[#This Row],[Our panel]]+Table3334567891012112122232425[[#This Row],[MTD Panel]]</f>
        <v>511.3333333333332</v>
      </c>
      <c r="H28" s="13">
        <f>Table333456789101211212223242526[[#This Row],[Company Panel]]-Table333456789101211212223242526[[#This Row],[Our panel]]</f>
        <v>0</v>
      </c>
      <c r="I28" s="13">
        <f>Table333456789101211212223242526[[#This Row],[MTD Company]]-Table333456789101211212223242526[[#This Row],[MTD Panel]]</f>
        <v>0</v>
      </c>
    </row>
    <row r="29" spans="1:9">
      <c r="A29" s="11" t="str">
        <f>Table333456789101217[[#This Row],[Carrier]]</f>
        <v>Glimmer</v>
      </c>
      <c r="B29" s="5" t="str">
        <f>Table333456789101217[[#This Row],[IP]]</f>
        <v>99.22.211.100/71.54.85.344/71.54.85.218</v>
      </c>
      <c r="C29" s="6" t="str">
        <f>Table333456789101217[[#This Row],[Carrier Code]]</f>
        <v>GM</v>
      </c>
      <c r="D29" s="53">
        <v>0</v>
      </c>
      <c r="E29" s="53">
        <v>0</v>
      </c>
      <c r="F29" s="18">
        <f>Table333456789101211212223242526[[#This Row],[Company Panel]]+Table3334567891012112122232425[[#This Row],[MTD Company]]</f>
        <v>0</v>
      </c>
      <c r="G29" s="18">
        <f>Table333456789101211212223242526[[#This Row],[Our panel]]+Table3334567891012112122232425[[#This Row],[MTD Panel]]</f>
        <v>0</v>
      </c>
      <c r="H29" s="13">
        <f>Table333456789101211212223242526[[#This Row],[Company Panel]]-Table333456789101211212223242526[[#This Row],[Our panel]]</f>
        <v>0</v>
      </c>
      <c r="I29" s="13">
        <f>Table333456789101211212223242526[[#This Row],[MTD Company]]-Table333456789101211212223242526[[#This Row],[MTD Panel]]</f>
        <v>0</v>
      </c>
    </row>
    <row r="30" spans="1:9">
      <c r="A30" s="11" t="str">
        <f>Table333456789101217[[#This Row],[Carrier]]</f>
        <v>Fragment</v>
      </c>
      <c r="B30" s="5" t="str">
        <f>Table333456789101217[[#This Row],[IP]]</f>
        <v>203.0.113.56/195.56.101.10</v>
      </c>
      <c r="C30" s="6" t="str">
        <f>Table333456789101217[[#This Row],[Carrier Code]]</f>
        <v>FR</v>
      </c>
      <c r="D30" s="53">
        <v>0</v>
      </c>
      <c r="E30" s="53">
        <v>0</v>
      </c>
      <c r="F30" s="18">
        <f>Table333456789101211212223242526[[#This Row],[Company Panel]]+Table3334567891012112122232425[[#This Row],[MTD Company]]</f>
        <v>0</v>
      </c>
      <c r="G30" s="18">
        <f>Table333456789101211212223242526[[#This Row],[Our panel]]+Table3334567891012112122232425[[#This Row],[MTD Panel]]</f>
        <v>0</v>
      </c>
      <c r="H30" s="13">
        <f>Table333456789101211212223242526[[#This Row],[Company Panel]]-Table333456789101211212223242526[[#This Row],[Our panel]]</f>
        <v>0</v>
      </c>
      <c r="I30" s="13">
        <f>Table333456789101211212223242526[[#This Row],[MTD Company]]-Table333456789101211212223242526[[#This Row],[MTD Panel]]</f>
        <v>0</v>
      </c>
    </row>
    <row r="31" spans="1:9">
      <c r="A31" s="11" t="str">
        <f>Table333456789101217[[#This Row],[Carrier]]</f>
        <v>Dusk</v>
      </c>
      <c r="B31" s="5" t="str">
        <f>Table333456789101217[[#This Row],[IP]]</f>
        <v>33.44.55.66/33.44.55.84/33.44.55.122/214.68.90.122</v>
      </c>
      <c r="C31" s="6" t="str">
        <f>Table333456789101217[[#This Row],[Carrier Code]]</f>
        <v>DK</v>
      </c>
      <c r="D31" s="53">
        <v>0</v>
      </c>
      <c r="E31" s="53">
        <v>0</v>
      </c>
      <c r="F31" s="18">
        <f>Table333456789101211212223242526[[#This Row],[Company Panel]]+Table3334567891012112122232425[[#This Row],[MTD Company]]</f>
        <v>0</v>
      </c>
      <c r="G31" s="18">
        <f>Table333456789101211212223242526[[#This Row],[Our panel]]+Table3334567891012112122232425[[#This Row],[MTD Panel]]</f>
        <v>0</v>
      </c>
      <c r="H31" s="13">
        <f>Table333456789101211212223242526[[#This Row],[Company Panel]]-Table333456789101211212223242526[[#This Row],[Our panel]]</f>
        <v>0</v>
      </c>
      <c r="I31" s="13">
        <f>Table333456789101211212223242526[[#This Row],[MTD Company]]-Table333456789101211212223242526[[#This Row],[MTD Panel]]</f>
        <v>0</v>
      </c>
    </row>
    <row r="32" spans="1:9">
      <c r="A32" s="11" t="str">
        <f>Table333456789101217[[#This Row],[Carrier]]</f>
        <v>Breeze</v>
      </c>
      <c r="B32" s="5" t="str">
        <f>Table333456789101217[[#This Row],[IP]]</f>
        <v>199.123.87.45/199.123.34.52/77.189.22.56</v>
      </c>
      <c r="C32" s="6" t="str">
        <f>Table333456789101217[[#This Row],[Carrier Code]]</f>
        <v>BR</v>
      </c>
      <c r="D32" s="53">
        <v>0</v>
      </c>
      <c r="E32" s="53">
        <v>0</v>
      </c>
      <c r="F32" s="18">
        <f>Table333456789101211212223242526[[#This Row],[Company Panel]]+Table3334567891012112122232425[[#This Row],[MTD Company]]</f>
        <v>0</v>
      </c>
      <c r="G32" s="18">
        <f>Table333456789101211212223242526[[#This Row],[Our panel]]+Table3334567891012112122232425[[#This Row],[MTD Panel]]</f>
        <v>0</v>
      </c>
      <c r="H32" s="13">
        <f>Table333456789101211212223242526[[#This Row],[Company Panel]]-Table333456789101211212223242526[[#This Row],[Our panel]]</f>
        <v>0</v>
      </c>
      <c r="I32" s="13">
        <f>Table333456789101211212223242526[[#This Row],[MTD Company]]-Table333456789101211212223242526[[#This Row],[MTD Panel]]</f>
        <v>0</v>
      </c>
    </row>
    <row r="33" spans="1:9">
      <c r="A33" s="11" t="str">
        <f>Table333456789101217[[#This Row],[Carrier]]</f>
        <v>Clutch</v>
      </c>
      <c r="B33" s="5" t="str">
        <f>Table333456789101217[[#This Row],[IP]]</f>
        <v>55.66.77.88/84.126.79.28/152.233.45.11</v>
      </c>
      <c r="C33" s="6" t="str">
        <f>Table333456789101217[[#This Row],[Carrier Code]]</f>
        <v>CL</v>
      </c>
      <c r="D33" s="53">
        <v>0</v>
      </c>
      <c r="E33" s="53">
        <v>0</v>
      </c>
      <c r="F33" s="18">
        <f>Table333456789101211212223242526[[#This Row],[Company Panel]]+Table3334567891012112122232425[[#This Row],[MTD Company]]</f>
        <v>0</v>
      </c>
      <c r="G33" s="18">
        <f>Table333456789101211212223242526[[#This Row],[Our panel]]+Table3334567891012112122232425[[#This Row],[MTD Panel]]</f>
        <v>0</v>
      </c>
      <c r="H33" s="13">
        <f>Table333456789101211212223242526[[#This Row],[Company Panel]]-Table333456789101211212223242526[[#This Row],[Our panel]]</f>
        <v>0</v>
      </c>
      <c r="I33" s="13">
        <f>Table333456789101211212223242526[[#This Row],[MTD Company]]-Table333456789101211212223242526[[#This Row],[MTD Panel]]</f>
        <v>0</v>
      </c>
    </row>
    <row r="34" spans="1:9">
      <c r="A34" s="11" t="str">
        <f>Table333456789101217[[#This Row],[Carrier]]</f>
        <v>Haze</v>
      </c>
      <c r="B34" s="5" t="str">
        <f>Table333456789101217[[#This Row],[IP]]</f>
        <v>230.111.44.56</v>
      </c>
      <c r="C34" s="6" t="str">
        <f>Table333456789101217[[#This Row],[Carrier Code]]</f>
        <v>HZ</v>
      </c>
      <c r="D34" s="53">
        <v>237.2</v>
      </c>
      <c r="E34" s="53">
        <v>237.2</v>
      </c>
      <c r="F34" s="18">
        <f>Table333456789101211212223242526[[#This Row],[Company Panel]]+Table3334567891012112122232425[[#This Row],[MTD Company]]</f>
        <v>2252.25</v>
      </c>
      <c r="G34" s="18">
        <f>Table333456789101211212223242526[[#This Row],[Our panel]]+Table3334567891012112122232425[[#This Row],[MTD Panel]]</f>
        <v>2252.25</v>
      </c>
      <c r="H34" s="63">
        <f>Table333456789101211212223242526[[#This Row],[Company Panel]]-Table333456789101211212223242526[[#This Row],[Our panel]]</f>
        <v>0</v>
      </c>
      <c r="I34" s="63">
        <f>Table333456789101211212223242526[[#This Row],[MTD Company]]-Table333456789101211212223242526[[#This Row],[MTD Panel]]</f>
        <v>0</v>
      </c>
    </row>
    <row r="35" spans="1:9">
      <c r="A35" s="11" t="str">
        <f>Table333456789101217[[#This Row],[Carrier]]</f>
        <v>Vault</v>
      </c>
      <c r="B35" s="5" t="str">
        <f>Table333456789101217[[#This Row],[IP]]</f>
        <v>213.189.94.5/213.189.94.7/111.180.64.222</v>
      </c>
      <c r="C35" s="6" t="str">
        <f>Table333456789101217[[#This Row],[Carrier Code]]</f>
        <v>VA</v>
      </c>
      <c r="D35" s="53">
        <v>0</v>
      </c>
      <c r="E35" s="53">
        <v>0</v>
      </c>
      <c r="F35" s="18">
        <f>Table333456789101211212223242526[[#This Row],[Company Panel]]+Table3334567891012112122232425[[#This Row],[MTD Company]]</f>
        <v>0</v>
      </c>
      <c r="G35" s="18">
        <f>Table333456789101211212223242526[[#This Row],[Our panel]]+Table3334567891012112122232425[[#This Row],[MTD Panel]]</f>
        <v>0</v>
      </c>
      <c r="H35" s="63">
        <f>Table333456789101211212223242526[[#This Row],[Company Panel]]-Table333456789101211212223242526[[#This Row],[Our panel]]</f>
        <v>0</v>
      </c>
      <c r="I35" s="63">
        <f>Table333456789101211212223242526[[#This Row],[MTD Company]]-Table333456789101211212223242526[[#This Row],[MTD Panel]]</f>
        <v>0</v>
      </c>
    </row>
    <row r="36" spans="1:9">
      <c r="A36" s="11" t="str">
        <f>Table333456789101217[[#This Row],[Carrier]]</f>
        <v>Scatter</v>
      </c>
      <c r="B36" s="5" t="str">
        <f>Table333456789101217[[#This Row],[IP]]</f>
        <v>14.123.45.67/168.251.90.15</v>
      </c>
      <c r="C36" s="6" t="str">
        <f>Table333456789101217[[#This Row],[Carrier Code]]</f>
        <v>SC</v>
      </c>
      <c r="D36" s="53">
        <v>32.233333333333334</v>
      </c>
      <c r="E36" s="53">
        <v>32.233333333333334</v>
      </c>
      <c r="F36" s="18">
        <f>Table333456789101211212223242526[[#This Row],[Company Panel]]+Table3334567891012112122232425[[#This Row],[MTD Company]]</f>
        <v>1036.1999999999998</v>
      </c>
      <c r="G36" s="18">
        <f>Table333456789101211212223242526[[#This Row],[Our panel]]+Table3334567891012112122232425[[#This Row],[MTD Panel]]</f>
        <v>1036.1999999999998</v>
      </c>
      <c r="H36" s="63">
        <f>Table333456789101211212223242526[[#This Row],[Company Panel]]-Table333456789101211212223242526[[#This Row],[Our panel]]</f>
        <v>0</v>
      </c>
      <c r="I36" s="63">
        <f>Table333456789101211212223242526[[#This Row],[MTD Company]]-Table333456789101211212223242526[[#This Row],[MTD Panel]]</f>
        <v>0</v>
      </c>
    </row>
    <row r="37" spans="1:9">
      <c r="A37" s="11" t="str">
        <f>Table333456789101217[[#This Row],[Carrier]]</f>
        <v>Hammer</v>
      </c>
      <c r="B37" s="5" t="str">
        <f>Table333456789101217[[#This Row],[IP]]</f>
        <v>200.111.78.9/200.111.236.62/200.111.823.89/137.79.48.56</v>
      </c>
      <c r="C37" s="6" t="str">
        <f>Table333456789101217[[#This Row],[Carrier Code]]</f>
        <v>HA</v>
      </c>
      <c r="D37" s="53">
        <v>0</v>
      </c>
      <c r="E37" s="53">
        <v>0</v>
      </c>
      <c r="F37" s="18">
        <f>Table333456789101211212223242526[[#This Row],[Company Panel]]+Table3334567891012112122232425[[#This Row],[MTD Company]]</f>
        <v>0</v>
      </c>
      <c r="G37" s="18">
        <f>Table333456789101211212223242526[[#This Row],[Our panel]]+Table3334567891012112122232425[[#This Row],[MTD Panel]]</f>
        <v>0</v>
      </c>
      <c r="H37" s="72">
        <f>Table333456789101211212223242526[[#This Row],[Company Panel]]-Table333456789101211212223242526[[#This Row],[Our panel]]</f>
        <v>0</v>
      </c>
      <c r="I37" s="72">
        <f>Table333456789101211212223242526[[#This Row],[MTD Company]]-Table333456789101211212223242526[[#This Row],[MTD Panel]]</f>
        <v>0</v>
      </c>
    </row>
    <row r="38" spans="1:9">
      <c r="A38" s="11" t="str">
        <f>Table333456789101217[[#This Row],[Carrier]]</f>
        <v>Smudge</v>
      </c>
      <c r="B38" s="5" t="str">
        <f>Table333456789101217[[#This Row],[IP]]</f>
        <v>88.99.233.56/54.71.99.234</v>
      </c>
      <c r="C38" s="6" t="str">
        <f>Table333456789101217[[#This Row],[Carrier Code]]</f>
        <v>SM</v>
      </c>
      <c r="D38" s="53">
        <v>29.633333333333333</v>
      </c>
      <c r="E38" s="53">
        <v>29.633333333333333</v>
      </c>
      <c r="F38" s="18">
        <f>Table333456789101211212223242526[[#This Row],[Company Panel]]+Table3334567891012112122232425[[#This Row],[MTD Company]]</f>
        <v>322.51666666666665</v>
      </c>
      <c r="G38" s="18">
        <f>Table333456789101211212223242526[[#This Row],[Our panel]]+Table3334567891012112122232425[[#This Row],[MTD Panel]]</f>
        <v>322.51666666666665</v>
      </c>
      <c r="H38" s="72">
        <f>Table333456789101211212223242526[[#This Row],[Company Panel]]-Table333456789101211212223242526[[#This Row],[Our panel]]</f>
        <v>0</v>
      </c>
      <c r="I38" s="72">
        <f>Table333456789101211212223242526[[#This Row],[MTD Company]]-Table333456789101211212223242526[[#This Row],[MTD Panel]]</f>
        <v>0</v>
      </c>
    </row>
    <row r="39" spans="1:9">
      <c r="A39" s="11" t="str">
        <f>Table333456789101217[[#This Row],[Carrier]]</f>
        <v>Quirk</v>
      </c>
      <c r="B39" s="5" t="str">
        <f>Table333456789101217[[#This Row],[IP]]</f>
        <v>62.45.100.31/62.45.100.15/62.45.100.65/211.95.102.6</v>
      </c>
      <c r="C39" s="6" t="str">
        <f>Table333456789101217[[#This Row],[Carrier Code]]</f>
        <v>QU</v>
      </c>
      <c r="D39" s="53">
        <v>1046.2166666666667</v>
      </c>
      <c r="E39" s="53">
        <v>1046.2166666666667</v>
      </c>
      <c r="F39" s="18">
        <f>Table333456789101211212223242526[[#This Row],[Company Panel]]+Table3334567891012112122232425[[#This Row],[MTD Company]]</f>
        <v>33254.516666666656</v>
      </c>
      <c r="G39" s="18">
        <f>Table333456789101211212223242526[[#This Row],[Our panel]]+Table3334567891012112122232425[[#This Row],[MTD Panel]]</f>
        <v>33254.516666666656</v>
      </c>
      <c r="H39" s="72">
        <f>Table333456789101211212223242526[[#This Row],[Company Panel]]-Table333456789101211212223242526[[#This Row],[Our panel]]</f>
        <v>0</v>
      </c>
      <c r="I39" s="72">
        <f>Table333456789101211212223242526[[#This Row],[MTD Company]]-Table333456789101211212223242526[[#This Row],[MTD Panel]]</f>
        <v>0</v>
      </c>
    </row>
    <row r="40" spans="1:9">
      <c r="A40" s="11" t="str">
        <f>Table333456789101217[[#This Row],[Carrier]]</f>
        <v>Vortex</v>
      </c>
      <c r="B40" s="5" t="str">
        <f>Table333456789101217[[#This Row],[IP]]</f>
        <v>179.250.91.8/29.540.67.457/94.25.34.78/183.144.27.18</v>
      </c>
      <c r="C40" s="6" t="str">
        <f>Table333456789101217[[#This Row],[Carrier Code]]</f>
        <v>VT</v>
      </c>
      <c r="D40" s="53">
        <v>0</v>
      </c>
      <c r="E40" s="53">
        <v>0</v>
      </c>
      <c r="F40" s="18">
        <f>Table333456789101211212223242526[[#This Row],[Company Panel]]+Table3334567891012112122232425[[#This Row],[MTD Company]]</f>
        <v>0</v>
      </c>
      <c r="G40" s="18">
        <f>Table333456789101211212223242526[[#This Row],[Our panel]]+Table3334567891012112122232425[[#This Row],[MTD Panel]]</f>
        <v>0</v>
      </c>
      <c r="H40" s="72">
        <f>Table333456789101211212223242526[[#This Row],[Company Panel]]-Table333456789101211212223242526[[#This Row],[Our panel]]</f>
        <v>0</v>
      </c>
      <c r="I40" s="72">
        <f>Table333456789101211212223242526[[#This Row],[MTD Company]]-Table333456789101211212223242526[[#This Row],[MTD Panel]]</f>
        <v>0</v>
      </c>
    </row>
    <row r="41" spans="1:9">
      <c r="A41" s="11" t="str">
        <f>Table333456789101217[[#This Row],[Carrier]]</f>
        <v>Void</v>
      </c>
      <c r="B41" s="5" t="str">
        <f>Table333456789101217[[#This Row],[IP]]</f>
        <v>156.34.123.11/156.34.123.25/156.34.123.62/92.44.233.110</v>
      </c>
      <c r="C41" s="6" t="str">
        <f>Table333456789101217[[#This Row],[Carrier Code]]</f>
        <v>VO</v>
      </c>
      <c r="D41" s="53">
        <v>32.15</v>
      </c>
      <c r="E41" s="53">
        <v>32.15</v>
      </c>
      <c r="F41" s="18">
        <f>Table333456789101211212223242526[[#This Row],[Company Panel]]+Table3334567891012112122232425[[#This Row],[MTD Company]]</f>
        <v>798.93333333333328</v>
      </c>
      <c r="G41" s="18">
        <f>Table333456789101211212223242526[[#This Row],[Our panel]]+Table3334567891012112122232425[[#This Row],[MTD Panel]]</f>
        <v>798.93333333333328</v>
      </c>
      <c r="H41" s="72">
        <f>Table333456789101211212223242526[[#This Row],[Company Panel]]-Table333456789101211212223242526[[#This Row],[Our panel]]</f>
        <v>0</v>
      </c>
      <c r="I41" s="72">
        <f>Table333456789101211212223242526[[#This Row],[MTD Company]]-Table333456789101211212223242526[[#This Row],[MTD Panel]]</f>
        <v>0</v>
      </c>
    </row>
    <row r="42" spans="1:9">
      <c r="A42" s="11" t="str">
        <f>Table333456789101217[[#This Row],[Carrier]]</f>
        <v>Midnight</v>
      </c>
      <c r="B42" s="5" t="str">
        <f>Table333456789101217[[#This Row],[IP]]</f>
        <v>134.77.22.4/23.97.150.8</v>
      </c>
      <c r="C42" s="6" t="str">
        <f>Table333456789101217[[#This Row],[Carrier Code]]</f>
        <v>MI</v>
      </c>
      <c r="D42" s="53">
        <v>83.933333333333337</v>
      </c>
      <c r="E42" s="53">
        <v>83.933333333333337</v>
      </c>
      <c r="F42" s="18">
        <f>Table333456789101211212223242526[[#This Row],[Company Panel]]+Table3334567891012112122232425[[#This Row],[MTD Company]]</f>
        <v>6459.6666666666679</v>
      </c>
      <c r="G42" s="18">
        <f>Table333456789101211212223242526[[#This Row],[Our panel]]+Table3334567891012112122232425[[#This Row],[MTD Panel]]</f>
        <v>6459.6666666666679</v>
      </c>
      <c r="H42" s="72">
        <f>Table333456789101211212223242526[[#This Row],[Company Panel]]-Table333456789101211212223242526[[#This Row],[Our panel]]</f>
        <v>0</v>
      </c>
      <c r="I42" s="72">
        <f>Table333456789101211212223242526[[#This Row],[MTD Company]]-Table333456789101211212223242526[[#This Row],[MTD Panel]]</f>
        <v>0</v>
      </c>
    </row>
    <row r="43" spans="1:9">
      <c r="A43" s="11" t="str">
        <f>Table333456789101217[[#This Row],[Carrier]]</f>
        <v>Autumn</v>
      </c>
      <c r="B43" s="5" t="str">
        <f>Table333456789101217[[#This Row],[IP]]</f>
        <v>202.54.210.88/12.331.94.73/64.19.28.175</v>
      </c>
      <c r="C43" s="6" t="str">
        <f>Table333456789101217[[#This Row],[Carrier Code]]</f>
        <v>AU</v>
      </c>
      <c r="D43" s="53">
        <v>0</v>
      </c>
      <c r="E43" s="53">
        <v>0</v>
      </c>
      <c r="F43" s="18">
        <f>Table333456789101211212223242526[[#This Row],[Company Panel]]+Table3334567891012112122232425[[#This Row],[MTD Company]]</f>
        <v>258.31666666666666</v>
      </c>
      <c r="G43" s="18">
        <f>Table333456789101211212223242526[[#This Row],[Our panel]]+Table3334567891012112122232425[[#This Row],[MTD Panel]]</f>
        <v>258.31666666666666</v>
      </c>
      <c r="H43" s="72">
        <f>Table333456789101211212223242526[[#This Row],[Company Panel]]-Table333456789101211212223242526[[#This Row],[Our panel]]</f>
        <v>0</v>
      </c>
      <c r="I43" s="72">
        <f>Table333456789101211212223242526[[#This Row],[MTD Company]]-Table333456789101211212223242526[[#This Row],[MTD Panel]]</f>
        <v>0</v>
      </c>
    </row>
    <row r="44" spans="1:9">
      <c r="A44" s="11" t="str">
        <f>Table333456789101217[[#This Row],[Carrier]]</f>
        <v>Mystic</v>
      </c>
      <c r="B44" s="5" t="str">
        <f>Table333456789101217[[#This Row],[IP]]</f>
        <v>51.233.21.76/82.115.35.60/82.115.35.85</v>
      </c>
      <c r="C44" s="6" t="str">
        <f>Table333456789101217[[#This Row],[Carrier Code]]</f>
        <v>MY</v>
      </c>
      <c r="D44" s="53">
        <v>0</v>
      </c>
      <c r="E44" s="53">
        <v>0</v>
      </c>
      <c r="F44" s="18">
        <f>Table333456789101211212223242526[[#This Row],[Company Panel]]+Table3334567891012112122232425[[#This Row],[MTD Company]]</f>
        <v>0</v>
      </c>
      <c r="G44" s="18">
        <f>Table333456789101211212223242526[[#This Row],[Our panel]]+Table3334567891012112122232425[[#This Row],[MTD Panel]]</f>
        <v>0</v>
      </c>
      <c r="H44" s="72">
        <f>Table333456789101211212223242526[[#This Row],[Company Panel]]-Table333456789101211212223242526[[#This Row],[Our panel]]</f>
        <v>0</v>
      </c>
      <c r="I44" s="72">
        <f>Table333456789101211212223242526[[#This Row],[MTD Company]]-Table333456789101211212223242526[[#This Row],[MTD Panel]]</f>
        <v>0</v>
      </c>
    </row>
    <row r="45" spans="1:9">
      <c r="A45" s="11" t="str">
        <f>Table333456789101217[[#This Row],[Carrier]]</f>
        <v>Clover</v>
      </c>
      <c r="B45" s="5" t="str">
        <f>Table333456789101217[[#This Row],[IP]]</f>
        <v>210.150.12.45/84.50.212.66/135.113.88.9</v>
      </c>
      <c r="C45" s="6" t="str">
        <f>Table333456789101217[[#This Row],[Carrier Code]]</f>
        <v>CO</v>
      </c>
      <c r="D45" s="53">
        <v>74.11666666666666</v>
      </c>
      <c r="E45" s="53">
        <v>74.11666666666666</v>
      </c>
      <c r="F45" s="18">
        <f>Table333456789101211212223242526[[#This Row],[Company Panel]]+Table3334567891012112122232425[[#This Row],[MTD Company]]</f>
        <v>34478.983333333344</v>
      </c>
      <c r="G45" s="18">
        <f>Table333456789101211212223242526[[#This Row],[Our panel]]+Table3334567891012112122232425[[#This Row],[MTD Panel]]</f>
        <v>34478.983333333344</v>
      </c>
      <c r="H45" s="13">
        <f>Table333456789101211212223242526[[#This Row],[Company Panel]]-Table333456789101211212223242526[[#This Row],[Our panel]]</f>
        <v>0</v>
      </c>
      <c r="I45" s="13">
        <f>Table333456789101211212223242526[[#This Row],[MTD Company]]-Table333456789101211212223242526[[#This Row],[MTD Panel]]</f>
        <v>0</v>
      </c>
    </row>
    <row r="46" spans="1:9">
      <c r="A46" s="11" t="str">
        <f>Table333456789101217[[#This Row],[Carrier]]</f>
        <v>Hunter</v>
      </c>
      <c r="B46" s="5" t="str">
        <f>Table333456789101217[[#This Row],[IP]]</f>
        <v>170.199.20.87/13.693.39.280/78.30.123.47</v>
      </c>
      <c r="C46" s="6" t="str">
        <f>Table333456789101217[[#This Row],[Carrier Code]]</f>
        <v>HU</v>
      </c>
      <c r="D46" s="53">
        <v>139.11666666666667</v>
      </c>
      <c r="E46" s="53">
        <v>139.11666666666667</v>
      </c>
      <c r="F46" s="18">
        <f>Table333456789101211212223242526[[#This Row],[Company Panel]]+Table3334567891012112122232425[[#This Row],[MTD Company]]</f>
        <v>15969.683333333332</v>
      </c>
      <c r="G46" s="18">
        <f>Table333456789101211212223242526[[#This Row],[Our panel]]+Table3334567891012112122232425[[#This Row],[MTD Panel]]</f>
        <v>15969.683333333332</v>
      </c>
      <c r="H46" s="13">
        <f>Table333456789101211212223242526[[#This Row],[Company Panel]]-Table333456789101211212223242526[[#This Row],[Our panel]]</f>
        <v>0</v>
      </c>
      <c r="I46" s="13">
        <f>Table333456789101211212223242526[[#This Row],[MTD Company]]-Table333456789101211212223242526[[#This Row],[MTD Panel]]</f>
        <v>0</v>
      </c>
    </row>
    <row r="47" spans="1:9">
      <c r="A47" s="11" t="str">
        <f>Table333456789101217[[#This Row],[Carrier]]</f>
        <v>Invaded</v>
      </c>
      <c r="B47" s="5" t="str">
        <f>Table333456789101217[[#This Row],[IP]]</f>
        <v>182.67.99.120/80.518.230.410/26.847.95.107/188.12.67.92</v>
      </c>
      <c r="C47" s="6" t="str">
        <f>Table333456789101217[[#This Row],[Carrier Code]]</f>
        <v>ID</v>
      </c>
      <c r="D47" s="7">
        <v>0</v>
      </c>
      <c r="E47" s="7">
        <v>0</v>
      </c>
      <c r="F47" s="18">
        <f>Table333456789101211212223242526[[#This Row],[Company Panel]]+Table3334567891012112122232425[[#This Row],[MTD Company]]</f>
        <v>0</v>
      </c>
      <c r="G47" s="18">
        <f>Table333456789101211212223242526[[#This Row],[Our panel]]+Table3334567891012112122232425[[#This Row],[MTD Panel]]</f>
        <v>0</v>
      </c>
      <c r="H47" s="13">
        <f>Table333456789101211212223242526[[#This Row],[Company Panel]]-Table333456789101211212223242526[[#This Row],[Our panel]]</f>
        <v>0</v>
      </c>
      <c r="I47" s="13">
        <f>Table333456789101211212223242526[[#This Row],[MTD Company]]-Table333456789101211212223242526[[#This Row],[MTD Panel]]</f>
        <v>0</v>
      </c>
    </row>
    <row r="48" spans="1:9">
      <c r="A48" s="11" t="str">
        <f>Table333456789101217[[#This Row],[Carrier]]</f>
        <v>Delusion</v>
      </c>
      <c r="B48" s="5" t="str">
        <f>Table333456789101217[[#This Row],[IP]]</f>
        <v>198.51.100.72/69.887.74.738/39.153.110.645</v>
      </c>
      <c r="C48" s="6" t="str">
        <f>Table333456789101217[[#This Row],[Carrier Code]]</f>
        <v>DU</v>
      </c>
      <c r="D48" s="7">
        <v>0</v>
      </c>
      <c r="E48" s="7">
        <v>0</v>
      </c>
      <c r="F48" s="18">
        <f>Table333456789101211212223242526[[#This Row],[Company Panel]]+Table3334567891012112122232425[[#This Row],[MTD Company]]</f>
        <v>0</v>
      </c>
      <c r="G48" s="18">
        <f>Table333456789101211212223242526[[#This Row],[Our panel]]+Table3334567891012112122232425[[#This Row],[MTD Panel]]</f>
        <v>0</v>
      </c>
      <c r="H48" s="13">
        <f>Table333456789101211212223242526[[#This Row],[Company Panel]]-Table333456789101211212223242526[[#This Row],[Our panel]]</f>
        <v>0</v>
      </c>
      <c r="I48" s="13">
        <f>Table333456789101211212223242526[[#This Row],[MTD Company]]-Table333456789101211212223242526[[#This Row],[MTD Panel]]</f>
        <v>0</v>
      </c>
    </row>
    <row r="49" spans="1:9" ht="15.5">
      <c r="A49" s="70" t="s">
        <v>29</v>
      </c>
      <c r="B49" s="60" t="s">
        <v>32</v>
      </c>
      <c r="C49" s="71" t="s">
        <v>32</v>
      </c>
      <c r="D49" s="16">
        <f>SUM(D3:D48)</f>
        <v>2290.9666666666672</v>
      </c>
      <c r="E49" s="16">
        <f t="shared" ref="E49:I49" si="0">SUM(E3:E48)</f>
        <v>2290.9666666666672</v>
      </c>
      <c r="F49" s="16">
        <f t="shared" si="0"/>
        <v>178052.04999999996</v>
      </c>
      <c r="G49" s="16">
        <f t="shared" si="0"/>
        <v>178052.04999999996</v>
      </c>
      <c r="H49" s="16">
        <f t="shared" si="0"/>
        <v>0</v>
      </c>
      <c r="I49" s="16">
        <f t="shared" si="0"/>
        <v>0</v>
      </c>
    </row>
  </sheetData>
  <conditionalFormatting sqref="H2:I48">
    <cfRule type="cellIs" dxfId="224" priority="12" operator="lessThan">
      <formula>0</formula>
    </cfRule>
  </conditionalFormatting>
  <conditionalFormatting sqref="I30:I48">
    <cfRule type="cellIs" dxfId="223" priority="11" operator="lessThan">
      <formula>0</formula>
    </cfRule>
  </conditionalFormatting>
  <conditionalFormatting sqref="H3:I48">
    <cfRule type="cellIs" dxfId="222" priority="10" operator="lessThan">
      <formula>0</formula>
    </cfRule>
  </conditionalFormatting>
  <conditionalFormatting sqref="I30:I48">
    <cfRule type="cellIs" dxfId="221" priority="9" operator="lessThan">
      <formula>0</formula>
    </cfRule>
  </conditionalFormatting>
  <conditionalFormatting sqref="I3:I48">
    <cfRule type="cellIs" dxfId="220" priority="1" operator="lessThan">
      <formula>0</formula>
    </cfRule>
    <cfRule type="cellIs" dxfId="219" priority="2" operator="lessThan">
      <formula>0</formula>
    </cfRule>
  </conditionalFormatting>
  <hyperlinks>
    <hyperlink ref="E1" location="H!A1" display="Home"/>
    <hyperlink ref="D1" location="'18'!D1" display="←"/>
    <hyperlink ref="F1" location="'20'!F1" display="→"/>
  </hyperlinks>
  <pageMargins left="0.7" right="0.7" top="0.75" bottom="0.75" header="0.3" footer="0.3"/>
  <pageSetup orientation="portrait" verticalDpi="0" r:id="rId1"/>
  <drawing r:id="rId2"/>
  <tableParts count="1">
    <tablePart r:id="rId3"/>
  </tablePart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"/>
  <sheetViews>
    <sheetView workbookViewId="0">
      <selection activeCell="D3" sqref="D3"/>
    </sheetView>
  </sheetViews>
  <sheetFormatPr defaultRowHeight="14.5"/>
  <cols>
    <col min="1" max="1" width="26.7265625" bestFit="1" customWidth="1"/>
    <col min="2" max="2" width="37" bestFit="1" customWidth="1"/>
    <col min="3" max="3" width="10.453125" customWidth="1"/>
    <col min="4" max="9" width="12.7265625" customWidth="1"/>
  </cols>
  <sheetData>
    <row r="1" spans="1:12" ht="18.5">
      <c r="A1" s="23" t="str">
        <f>H!D5</f>
        <v>20th April 2025</v>
      </c>
      <c r="B1" s="24"/>
      <c r="C1" s="24"/>
      <c r="D1" s="22" t="s">
        <v>16</v>
      </c>
      <c r="E1" s="22" t="s">
        <v>9</v>
      </c>
      <c r="F1" s="22" t="s">
        <v>17</v>
      </c>
    </row>
    <row r="2" spans="1:12" ht="31">
      <c r="A2" s="1" t="s">
        <v>0</v>
      </c>
      <c r="B2" s="2" t="s">
        <v>1</v>
      </c>
      <c r="C2" s="2" t="s">
        <v>2</v>
      </c>
      <c r="D2" s="2" t="s">
        <v>3</v>
      </c>
      <c r="E2" s="2" t="s">
        <v>11</v>
      </c>
      <c r="F2" s="2" t="s">
        <v>4</v>
      </c>
      <c r="G2" s="4" t="s">
        <v>6</v>
      </c>
      <c r="H2" s="4" t="s">
        <v>7</v>
      </c>
      <c r="I2" s="3" t="s">
        <v>8</v>
      </c>
    </row>
    <row r="3" spans="1:12">
      <c r="A3" s="11" t="str">
        <f>Table333456789101217[[#This Row],[Carrier]]</f>
        <v>Blaze</v>
      </c>
      <c r="B3" s="5" t="str">
        <f>Table333456789101217[[#This Row],[IP]]</f>
        <v>8.12.34.56/48.163.17.845/60.502.86.203/191.45.28.14</v>
      </c>
      <c r="C3" s="6" t="str">
        <f>Table333456789101217[[#This Row],[Carrier Code]]</f>
        <v>BZ</v>
      </c>
      <c r="D3" s="53">
        <v>0</v>
      </c>
      <c r="E3" s="53">
        <v>0</v>
      </c>
      <c r="F3" s="18">
        <f>Table333456789101211212223242527[[#This Row],[Company Panel]]+Table333456789101211212223242526[[#This Row],[MTD Company]]</f>
        <v>0</v>
      </c>
      <c r="G3" s="18">
        <f>Table333456789101211212223242527[[#This Row],[Our panel]]+Table333456789101211212223242526[[#This Row],[MTD Panel]]</f>
        <v>0</v>
      </c>
      <c r="H3" s="13">
        <f>Table333456789101211212223242527[[#This Row],[Company Panel]]-Table333456789101211212223242527[[#This Row],[Our panel]]</f>
        <v>0</v>
      </c>
      <c r="I3" s="13">
        <f>Table333456789101211212223242527[[#This Row],[MTD Company]]-Table333456789101211212223242527[[#This Row],[MTD Panel]]</f>
        <v>0</v>
      </c>
    </row>
    <row r="4" spans="1:12">
      <c r="A4" s="11" t="str">
        <f>Table333456789101217[[#This Row],[Carrier]]</f>
        <v>Titan</v>
      </c>
      <c r="B4" s="5" t="str">
        <f>Table333456789101217[[#This Row],[IP]]</f>
        <v>123.45.67.89/123.45.67.93/203.24.101.65</v>
      </c>
      <c r="C4" s="6" t="str">
        <f>Table333456789101217[[#This Row],[Carrier Code]]</f>
        <v>TI</v>
      </c>
      <c r="D4" s="53">
        <v>0.35</v>
      </c>
      <c r="E4" s="53">
        <v>0.35</v>
      </c>
      <c r="F4" s="18">
        <f>Table333456789101211212223242527[[#This Row],[Company Panel]]+Table333456789101211212223242526[[#This Row],[MTD Company]]</f>
        <v>325.16666666666669</v>
      </c>
      <c r="G4" s="18">
        <f>Table333456789101211212223242527[[#This Row],[Our panel]]+Table333456789101211212223242526[[#This Row],[MTD Panel]]</f>
        <v>325.16666666666669</v>
      </c>
      <c r="H4" s="13">
        <f>Table333456789101211212223242527[[#This Row],[Company Panel]]-Table333456789101211212223242527[[#This Row],[Our panel]]</f>
        <v>0</v>
      </c>
      <c r="I4" s="13">
        <f>Table333456789101211212223242527[[#This Row],[MTD Company]]-Table333456789101211212223242527[[#This Row],[MTD Panel]]</f>
        <v>0</v>
      </c>
      <c r="L4" s="9"/>
    </row>
    <row r="5" spans="1:12">
      <c r="A5" s="11" t="str">
        <f>Table333456789101217[[#This Row],[Carrier]]</f>
        <v>Hollow</v>
      </c>
      <c r="B5" s="5" t="str">
        <f>Table333456789101217[[#This Row],[IP]]</f>
        <v>204.56.78.100/204.56.57.169/52.94.101.12</v>
      </c>
      <c r="C5" s="6" t="str">
        <f>Table333456789101217[[#This Row],[Carrier Code]]</f>
        <v>HO</v>
      </c>
      <c r="D5" s="53">
        <v>0</v>
      </c>
      <c r="E5" s="53">
        <v>0</v>
      </c>
      <c r="F5" s="18">
        <f>Table333456789101211212223242527[[#This Row],[Company Panel]]+Table333456789101211212223242526[[#This Row],[MTD Company]]</f>
        <v>0</v>
      </c>
      <c r="G5" s="18">
        <f>Table333456789101211212223242527[[#This Row],[Our panel]]+Table333456789101211212223242526[[#This Row],[MTD Panel]]</f>
        <v>0</v>
      </c>
      <c r="H5" s="13">
        <f>Table333456789101211212223242527[[#This Row],[Company Panel]]-Table333456789101211212223242527[[#This Row],[Our panel]]</f>
        <v>0</v>
      </c>
      <c r="I5" s="13">
        <f>Table333456789101211212223242527[[#This Row],[MTD Company]]-Table333456789101211212223242527[[#This Row],[MTD Panel]]</f>
        <v>0</v>
      </c>
    </row>
    <row r="6" spans="1:12">
      <c r="A6" s="11" t="str">
        <f>Table333456789101217[[#This Row],[Carrier]]</f>
        <v>Prism</v>
      </c>
      <c r="B6" s="5" t="str">
        <f>Table333456789101217[[#This Row],[IP]]</f>
        <v>35.118.22.45/137.63.112.25</v>
      </c>
      <c r="C6" s="6" t="str">
        <f>Table333456789101217[[#This Row],[Carrier Code]]</f>
        <v>PS</v>
      </c>
      <c r="D6" s="53">
        <v>330.13333333333333</v>
      </c>
      <c r="E6" s="53">
        <v>330.13333333333333</v>
      </c>
      <c r="F6" s="18">
        <f>Table333456789101211212223242527[[#This Row],[Company Panel]]+Table333456789101211212223242526[[#This Row],[MTD Company]]</f>
        <v>66683.466666666645</v>
      </c>
      <c r="G6" s="18">
        <f>Table333456789101211212223242527[[#This Row],[Our panel]]+Table333456789101211212223242526[[#This Row],[MTD Panel]]</f>
        <v>66683.466666666645</v>
      </c>
      <c r="H6" s="13">
        <f>Table333456789101211212223242527[[#This Row],[Company Panel]]-Table333456789101211212223242527[[#This Row],[Our panel]]</f>
        <v>0</v>
      </c>
      <c r="I6" s="13">
        <f>Table333456789101211212223242527[[#This Row],[MTD Company]]-Table333456789101211212223242527[[#This Row],[MTD Panel]]</f>
        <v>0</v>
      </c>
    </row>
    <row r="7" spans="1:12">
      <c r="A7" s="11" t="str">
        <f>Table333456789101217[[#This Row],[Carrier]]</f>
        <v>Echo</v>
      </c>
      <c r="B7" s="5" t="str">
        <f>Table333456789101217[[#This Row],[IP]]</f>
        <v>66.89.101.10/66.89.101.19/66.89.101.23/66.89.101.45/66.89.101.81/85.21.34.99</v>
      </c>
      <c r="C7" s="6" t="str">
        <f>Table333456789101217[[#This Row],[Carrier Code]]</f>
        <v>EC</v>
      </c>
      <c r="D7" s="53">
        <v>1.4833333333333334</v>
      </c>
      <c r="E7" s="53">
        <v>1.4833333333333334</v>
      </c>
      <c r="F7" s="18">
        <f>Table333456789101211212223242527[[#This Row],[Company Panel]]+Table333456789101211212223242526[[#This Row],[MTD Company]]</f>
        <v>60.533333333333339</v>
      </c>
      <c r="G7" s="18">
        <f>Table333456789101211212223242527[[#This Row],[Our panel]]+Table333456789101211212223242526[[#This Row],[MTD Panel]]</f>
        <v>60.533333333333339</v>
      </c>
      <c r="H7" s="13">
        <f>Table333456789101211212223242527[[#This Row],[Company Panel]]-Table333456789101211212223242527[[#This Row],[Our panel]]</f>
        <v>0</v>
      </c>
      <c r="I7" s="13">
        <f>Table333456789101211212223242527[[#This Row],[MTD Company]]-Table333456789101211212223242527[[#This Row],[MTD Panel]]</f>
        <v>0</v>
      </c>
    </row>
    <row r="8" spans="1:12">
      <c r="A8" s="11" t="str">
        <f>Table333456789101217[[#This Row],[Carrier]]</f>
        <v>Strike</v>
      </c>
      <c r="B8" s="5" t="str">
        <f>Table333456789101217[[#This Row],[IP]]</f>
        <v>100.200.150.3/100.200.165.38/41.102.90.78</v>
      </c>
      <c r="C8" s="6" t="str">
        <f>Table333456789101217[[#This Row],[Carrier Code]]</f>
        <v>ST</v>
      </c>
      <c r="D8" s="53">
        <v>53.85</v>
      </c>
      <c r="E8" s="53">
        <v>53.85</v>
      </c>
      <c r="F8" s="18">
        <f>Table333456789101211212223242527[[#This Row],[Company Panel]]+Table333456789101211212223242526[[#This Row],[MTD Company]]</f>
        <v>2083.7666666666664</v>
      </c>
      <c r="G8" s="18">
        <f>Table333456789101211212223242527[[#This Row],[Our panel]]+Table333456789101211212223242526[[#This Row],[MTD Panel]]</f>
        <v>2083.7666666666664</v>
      </c>
      <c r="H8" s="13">
        <f>Table333456789101211212223242527[[#This Row],[Company Panel]]-Table333456789101211212223242527[[#This Row],[Our panel]]</f>
        <v>0</v>
      </c>
      <c r="I8" s="13">
        <f>Table333456789101211212223242527[[#This Row],[MTD Company]]-Table333456789101211212223242527[[#This Row],[MTD Panel]]</f>
        <v>0</v>
      </c>
      <c r="L8" s="9"/>
    </row>
    <row r="9" spans="1:12">
      <c r="A9" s="11" t="str">
        <f>Table333456789101217[[#This Row],[Carrier]]</f>
        <v>Blunt</v>
      </c>
      <c r="B9" s="5" t="str">
        <f>Table333456789101217[[#This Row],[IP]]</f>
        <v>52.28.191.25/52.28.191.38/52.28.191.24/61.110.23.45</v>
      </c>
      <c r="C9" s="6" t="str">
        <f>Table333456789101217[[#This Row],[Carrier Code]]</f>
        <v>BL</v>
      </c>
      <c r="D9" s="53">
        <v>81.599999999999994</v>
      </c>
      <c r="E9" s="53">
        <v>81.599999999999994</v>
      </c>
      <c r="F9" s="18">
        <f>Table333456789101211212223242527[[#This Row],[Company Panel]]+Table333456789101211212223242526[[#This Row],[MTD Company]]</f>
        <v>10118.550000000001</v>
      </c>
      <c r="G9" s="18">
        <f>Table333456789101211212223242527[[#This Row],[Our panel]]+Table333456789101211212223242526[[#This Row],[MTD Panel]]</f>
        <v>10118.550000000001</v>
      </c>
      <c r="H9" s="13">
        <f>Table333456789101211212223242527[[#This Row],[Company Panel]]-Table333456789101211212223242527[[#This Row],[Our panel]]</f>
        <v>0</v>
      </c>
      <c r="I9" s="13">
        <f>Table333456789101211212223242527[[#This Row],[MTD Company]]-Table333456789101211212223242527[[#This Row],[MTD Panel]]</f>
        <v>0</v>
      </c>
    </row>
    <row r="10" spans="1:12">
      <c r="A10" s="11" t="str">
        <f>Table333456789101217[[#This Row],[Carrier]]</f>
        <v>Law</v>
      </c>
      <c r="B10" s="5" t="str">
        <f>Table333456789101217[[#This Row],[IP]]</f>
        <v>77.88.99.21/77.88.99.88/77.88.99.94/110.56.211.7</v>
      </c>
      <c r="C10" s="6" t="str">
        <f>Table333456789101217[[#This Row],[Carrier Code]]</f>
        <v>LA</v>
      </c>
      <c r="D10" s="53">
        <v>0</v>
      </c>
      <c r="E10" s="53">
        <v>0</v>
      </c>
      <c r="F10" s="18">
        <f>Table333456789101211212223242527[[#This Row],[Company Panel]]+Table333456789101211212223242526[[#This Row],[MTD Company]]</f>
        <v>0</v>
      </c>
      <c r="G10" s="18">
        <f>Table333456789101211212223242527[[#This Row],[Our panel]]+Table333456789101211212223242526[[#This Row],[MTD Panel]]</f>
        <v>0</v>
      </c>
      <c r="H10" s="13">
        <f>Table333456789101211212223242527[[#This Row],[Company Panel]]-Table333456789101211212223242527[[#This Row],[Our panel]]</f>
        <v>0</v>
      </c>
      <c r="I10" s="13">
        <f>Table333456789101211212223242527[[#This Row],[MTD Company]]-Table333456789101211212223242527[[#This Row],[MTD Panel]]</f>
        <v>0</v>
      </c>
    </row>
    <row r="11" spans="1:12">
      <c r="A11" s="11" t="str">
        <f>Table333456789101217[[#This Row],[Carrier]]</f>
        <v>Pulse</v>
      </c>
      <c r="B11" s="5" t="str">
        <f>Table333456789101217[[#This Row],[IP]]</f>
        <v>198.51.100.130/31.725.16.608/66.59.61.503/167.34.122.90</v>
      </c>
      <c r="C11" s="6" t="str">
        <f>Table333456789101217[[#This Row],[Carrier Code]]</f>
        <v>PU</v>
      </c>
      <c r="D11" s="53">
        <v>0</v>
      </c>
      <c r="E11" s="53">
        <v>0</v>
      </c>
      <c r="F11" s="18">
        <f>Table333456789101211212223242527[[#This Row],[Company Panel]]+Table333456789101211212223242526[[#This Row],[MTD Company]]</f>
        <v>0</v>
      </c>
      <c r="G11" s="18">
        <f>Table333456789101211212223242527[[#This Row],[Our panel]]+Table333456789101211212223242526[[#This Row],[MTD Panel]]</f>
        <v>0</v>
      </c>
      <c r="H11" s="13">
        <f>Table333456789101211212223242527[[#This Row],[Company Panel]]-Table333456789101211212223242527[[#This Row],[Our panel]]</f>
        <v>0</v>
      </c>
      <c r="I11" s="13">
        <f>Table333456789101211212223242527[[#This Row],[MTD Company]]-Table333456789101211212223242527[[#This Row],[MTD Panel]]</f>
        <v>0</v>
      </c>
    </row>
    <row r="12" spans="1:12">
      <c r="A12" s="11" t="str">
        <f>Table333456789101217[[#This Row],[Carrier]]</f>
        <v>Phantom</v>
      </c>
      <c r="B12" s="5" t="str">
        <f>Table333456789101217[[#This Row],[IP]]</f>
        <v>141.15.210.67/141.15.42.82/179.62.211.4</v>
      </c>
      <c r="C12" s="6" t="str">
        <f>Table333456789101217[[#This Row],[Carrier Code]]</f>
        <v>PH</v>
      </c>
      <c r="D12" s="53">
        <v>11.45</v>
      </c>
      <c r="E12" s="53">
        <v>11.45</v>
      </c>
      <c r="F12" s="18">
        <f>Table333456789101211212223242527[[#This Row],[Company Panel]]+Table333456789101211212223242526[[#This Row],[MTD Company]]</f>
        <v>3353.4833333333327</v>
      </c>
      <c r="G12" s="18">
        <f>Table333456789101211212223242527[[#This Row],[Our panel]]+Table333456789101211212223242526[[#This Row],[MTD Panel]]</f>
        <v>3353.4833333333327</v>
      </c>
      <c r="H12" s="13">
        <f>Table333456789101211212223242527[[#This Row],[Company Panel]]-Table333456789101211212223242527[[#This Row],[Our panel]]</f>
        <v>0</v>
      </c>
      <c r="I12" s="13">
        <f>Table333456789101211212223242527[[#This Row],[MTD Company]]-Table333456789101211212223242527[[#This Row],[MTD Panel]]</f>
        <v>0</v>
      </c>
    </row>
    <row r="13" spans="1:12">
      <c r="A13" s="11" t="str">
        <f>Table333456789101217[[#This Row],[Carrier]]</f>
        <v>Dragon</v>
      </c>
      <c r="B13" s="5" t="str">
        <f>Table333456789101217[[#This Row],[IP]]</f>
        <v>12.34.56.78/12.34.56.128/200.180.245.18</v>
      </c>
      <c r="C13" s="6" t="str">
        <f>Table333456789101217[[#This Row],[Carrier Code]]</f>
        <v>DG</v>
      </c>
      <c r="D13" s="53">
        <v>0</v>
      </c>
      <c r="E13" s="53">
        <v>0</v>
      </c>
      <c r="F13" s="18">
        <f>Table333456789101211212223242527[[#This Row],[Company Panel]]+Table333456789101211212223242526[[#This Row],[MTD Company]]</f>
        <v>0</v>
      </c>
      <c r="G13" s="18">
        <f>Table333456789101211212223242527[[#This Row],[Our panel]]+Table333456789101211212223242526[[#This Row],[MTD Panel]]</f>
        <v>0</v>
      </c>
      <c r="H13" s="13">
        <f>Table333456789101211212223242527[[#This Row],[Company Panel]]-Table333456789101211212223242527[[#This Row],[Our panel]]</f>
        <v>0</v>
      </c>
      <c r="I13" s="13">
        <f>Table333456789101211212223242527[[#This Row],[MTD Company]]-Table333456789101211212223242527[[#This Row],[MTD Panel]]</f>
        <v>0</v>
      </c>
    </row>
    <row r="14" spans="1:12">
      <c r="A14" s="11" t="str">
        <f>Table333456789101217[[#This Row],[Carrier]]</f>
        <v>Tempest</v>
      </c>
      <c r="B14" s="5" t="str">
        <f>Table333456789101217[[#This Row],[IP]]</f>
        <v>59.144.223.88/55.39.99.60</v>
      </c>
      <c r="C14" s="6" t="str">
        <f>Table333456789101217[[#This Row],[Carrier Code]]</f>
        <v>TE</v>
      </c>
      <c r="D14" s="53">
        <v>0</v>
      </c>
      <c r="E14" s="53">
        <v>0</v>
      </c>
      <c r="F14" s="18">
        <f>Table333456789101211212223242527[[#This Row],[Company Panel]]+Table333456789101211212223242526[[#This Row],[MTD Company]]</f>
        <v>0</v>
      </c>
      <c r="G14" s="18">
        <f>Table333456789101211212223242527[[#This Row],[Our panel]]+Table333456789101211212223242526[[#This Row],[MTD Panel]]</f>
        <v>0</v>
      </c>
      <c r="H14" s="13">
        <f>Table333456789101211212223242527[[#This Row],[Company Panel]]-Table333456789101211212223242527[[#This Row],[Our panel]]</f>
        <v>0</v>
      </c>
      <c r="I14" s="13">
        <f>Table333456789101211212223242527[[#This Row],[MTD Company]]-Table333456789101211212223242527[[#This Row],[MTD Panel]]</f>
        <v>0</v>
      </c>
    </row>
    <row r="15" spans="1:12">
      <c r="A15" s="11" t="str">
        <f>Table333456789101217[[#This Row],[Carrier]]</f>
        <v>Shadow</v>
      </c>
      <c r="B15" s="5" t="str">
        <f>Table333456789101217[[#This Row],[IP]]</f>
        <v>175.45.112.100/25.851.31.153/39.80.220.100</v>
      </c>
      <c r="C15" s="6" t="str">
        <f>Table333456789101217[[#This Row],[Carrier Code]]</f>
        <v>SH</v>
      </c>
      <c r="D15" s="53">
        <v>0</v>
      </c>
      <c r="E15" s="53">
        <v>0</v>
      </c>
      <c r="F15" s="18">
        <f>Table333456789101211212223242527[[#This Row],[Company Panel]]+Table333456789101211212223242526[[#This Row],[MTD Company]]</f>
        <v>0.1</v>
      </c>
      <c r="G15" s="18">
        <f>Table333456789101211212223242527[[#This Row],[Our panel]]+Table333456789101211212223242526[[#This Row],[MTD Panel]]</f>
        <v>0.1</v>
      </c>
      <c r="H15" s="13">
        <f>Table333456789101211212223242527[[#This Row],[Company Panel]]-Table333456789101211212223242527[[#This Row],[Our panel]]</f>
        <v>0</v>
      </c>
      <c r="I15" s="13">
        <f>Table333456789101211212223242527[[#This Row],[MTD Company]]-Table333456789101211212223242527[[#This Row],[MTD Panel]]</f>
        <v>0</v>
      </c>
    </row>
    <row r="16" spans="1:12">
      <c r="A16" s="11" t="str">
        <f>Table333456789101217[[#This Row],[Carrier]]</f>
        <v>Cyclone</v>
      </c>
      <c r="B16" s="5" t="str">
        <f>Table333456789101217[[#This Row],[IP]]</f>
        <v>150.13.75.190/16.160.89.512/72.11.97.34</v>
      </c>
      <c r="C16" s="6" t="str">
        <f>Table333456789101217[[#This Row],[Carrier Code]]</f>
        <v>CY</v>
      </c>
      <c r="D16" s="53">
        <v>0</v>
      </c>
      <c r="E16" s="53">
        <v>0</v>
      </c>
      <c r="F16" s="18">
        <f>Table333456789101211212223242527[[#This Row],[Company Panel]]+Table333456789101211212223242526[[#This Row],[MTD Company]]</f>
        <v>0</v>
      </c>
      <c r="G16" s="18">
        <f>Table333456789101211212223242527[[#This Row],[Our panel]]+Table333456789101211212223242526[[#This Row],[MTD Panel]]</f>
        <v>0</v>
      </c>
      <c r="H16" s="13">
        <f>Table333456789101211212223242527[[#This Row],[Company Panel]]-Table333456789101211212223242527[[#This Row],[Our panel]]</f>
        <v>0</v>
      </c>
      <c r="I16" s="13">
        <f>Table333456789101211212223242527[[#This Row],[MTD Company]]-Table333456789101211212223242527[[#This Row],[MTD Panel]]</f>
        <v>0</v>
      </c>
    </row>
    <row r="17" spans="1:9">
      <c r="A17" s="11" t="str">
        <f>Table333456789101217[[#This Row],[Carrier]]</f>
        <v>Reaver</v>
      </c>
      <c r="B17" s="5" t="str">
        <f>Table333456789101217[[#This Row],[IP]]</f>
        <v>203.0.113.44/188.17.56.210</v>
      </c>
      <c r="C17" s="6" t="str">
        <f>Table333456789101217[[#This Row],[Carrier Code]]</f>
        <v>RE</v>
      </c>
      <c r="D17" s="53">
        <v>0</v>
      </c>
      <c r="E17" s="53">
        <v>0</v>
      </c>
      <c r="F17" s="18">
        <f>Table333456789101211212223242527[[#This Row],[Company Panel]]+Table333456789101211212223242526[[#This Row],[MTD Company]]</f>
        <v>0</v>
      </c>
      <c r="G17" s="18">
        <f>Table333456789101211212223242527[[#This Row],[Our panel]]+Table333456789101211212223242526[[#This Row],[MTD Panel]]</f>
        <v>0</v>
      </c>
      <c r="H17" s="13">
        <f>Table333456789101211212223242527[[#This Row],[Company Panel]]-Table333456789101211212223242527[[#This Row],[Our panel]]</f>
        <v>0</v>
      </c>
      <c r="I17" s="13">
        <f>Table333456789101211212223242527[[#This Row],[MTD Company]]-Table333456789101211212223242527[[#This Row],[MTD Panel]]</f>
        <v>0</v>
      </c>
    </row>
    <row r="18" spans="1:9">
      <c r="A18" s="11" t="str">
        <f>Table333456789101217[[#This Row],[Carrier]]</f>
        <v>Forge</v>
      </c>
      <c r="B18" s="5" t="str">
        <f>Table333456789101217[[#This Row],[IP]]</f>
        <v>112.54.89.168/112.54.89.138</v>
      </c>
      <c r="C18" s="6" t="str">
        <f>Table333456789101217[[#This Row],[Carrier Code]]</f>
        <v>FO</v>
      </c>
      <c r="D18" s="53">
        <v>8.5</v>
      </c>
      <c r="E18" s="53">
        <v>8.5</v>
      </c>
      <c r="F18" s="18">
        <f>Table333456789101211212223242527[[#This Row],[Company Panel]]+Table333456789101211212223242526[[#This Row],[MTD Company]]</f>
        <v>494.5333333333333</v>
      </c>
      <c r="G18" s="18">
        <f>Table333456789101211212223242527[[#This Row],[Our panel]]+Table333456789101211212223242526[[#This Row],[MTD Panel]]</f>
        <v>494.5333333333333</v>
      </c>
      <c r="H18" s="13">
        <f>Table333456789101211212223242527[[#This Row],[Company Panel]]-Table333456789101211212223242527[[#This Row],[Our panel]]</f>
        <v>0</v>
      </c>
      <c r="I18" s="13">
        <f>Table333456789101211212223242527[[#This Row],[MTD Company]]-Table333456789101211212223242527[[#This Row],[MTD Panel]]</f>
        <v>0</v>
      </c>
    </row>
    <row r="19" spans="1:9">
      <c r="A19" s="11" t="str">
        <f>Table333456789101217[[#This Row],[Carrier]]</f>
        <v>Ember</v>
      </c>
      <c r="B19" s="5" t="str">
        <f>Table333456789101217[[#This Row],[IP]]</f>
        <v>78.34.90.24/328.56.122.44/142.150.75.22</v>
      </c>
      <c r="C19" s="6" t="str">
        <f>Table333456789101217[[#This Row],[Carrier Code]]</f>
        <v>EM</v>
      </c>
      <c r="D19" s="53">
        <v>0</v>
      </c>
      <c r="E19" s="53">
        <v>0</v>
      </c>
      <c r="F19" s="18">
        <f>Table333456789101211212223242527[[#This Row],[Company Panel]]+Table333456789101211212223242526[[#This Row],[MTD Company]]</f>
        <v>0</v>
      </c>
      <c r="G19" s="18">
        <f>Table333456789101211212223242527[[#This Row],[Our panel]]+Table333456789101211212223242526[[#This Row],[MTD Panel]]</f>
        <v>0</v>
      </c>
      <c r="H19" s="13">
        <f>Table333456789101211212223242527[[#This Row],[Company Panel]]-Table333456789101211212223242527[[#This Row],[Our panel]]</f>
        <v>0</v>
      </c>
      <c r="I19" s="13">
        <f>Table333456789101211212223242527[[#This Row],[MTD Company]]-Table333456789101211212223242527[[#This Row],[MTD Panel]]</f>
        <v>0</v>
      </c>
    </row>
    <row r="20" spans="1:9">
      <c r="A20" s="11" t="str">
        <f>Table333456789101217[[#This Row],[Carrier]]</f>
        <v>Specter</v>
      </c>
      <c r="B20" s="5" t="str">
        <f>Table333456789101217[[#This Row],[IP]]</f>
        <v>205.60.34.150</v>
      </c>
      <c r="C20" s="6" t="str">
        <f>Table333456789101217[[#This Row],[Carrier Code]]</f>
        <v>SP</v>
      </c>
      <c r="D20" s="53">
        <v>0</v>
      </c>
      <c r="E20" s="53">
        <v>0</v>
      </c>
      <c r="F20" s="18">
        <f>Table333456789101211212223242527[[#This Row],[Company Panel]]+Table333456789101211212223242526[[#This Row],[MTD Company]]</f>
        <v>11.950000000000003</v>
      </c>
      <c r="G20" s="18">
        <f>Table333456789101211212223242527[[#This Row],[Our panel]]+Table333456789101211212223242526[[#This Row],[MTD Panel]]</f>
        <v>11.950000000000003</v>
      </c>
      <c r="H20" s="13">
        <f>Table333456789101211212223242527[[#This Row],[Company Panel]]-Table333456789101211212223242527[[#This Row],[Our panel]]</f>
        <v>0</v>
      </c>
      <c r="I20" s="13">
        <f>Table333456789101211212223242527[[#This Row],[MTD Company]]-Table333456789101211212223242527[[#This Row],[MTD Panel]]</f>
        <v>0</v>
      </c>
    </row>
    <row r="21" spans="1:9">
      <c r="A21" s="11" t="str">
        <f>Table333456789101217[[#This Row],[Carrier]]</f>
        <v>Throne</v>
      </c>
      <c r="B21" s="5" t="str">
        <f>Table333456789101217[[#This Row],[IP]]</f>
        <v>54.32.11.90/27.758.27.201/125.150.58.20</v>
      </c>
      <c r="C21" s="6" t="str">
        <f>Table333456789101217[[#This Row],[Carrier Code]]</f>
        <v>TH</v>
      </c>
      <c r="D21" s="53">
        <v>0</v>
      </c>
      <c r="E21" s="53">
        <v>0</v>
      </c>
      <c r="F21" s="18">
        <f>Table333456789101211212223242527[[#This Row],[Company Panel]]+Table333456789101211212223242526[[#This Row],[MTD Company]]</f>
        <v>0</v>
      </c>
      <c r="G21" s="18">
        <f>Table333456789101211212223242527[[#This Row],[Our panel]]+Table333456789101211212223242526[[#This Row],[MTD Panel]]</f>
        <v>0</v>
      </c>
      <c r="H21" s="13">
        <f>Table333456789101211212223242527[[#This Row],[Company Panel]]-Table333456789101211212223242527[[#This Row],[Our panel]]</f>
        <v>0</v>
      </c>
      <c r="I21" s="13">
        <f>Table333456789101211212223242527[[#This Row],[MTD Company]]-Table333456789101211212223242527[[#This Row],[MTD Panel]]</f>
        <v>0</v>
      </c>
    </row>
    <row r="22" spans="1:9">
      <c r="A22" s="11" t="str">
        <f>Table333456789101217[[#This Row],[Carrier]]</f>
        <v>Arcane</v>
      </c>
      <c r="B22" s="5" t="str">
        <f>Table333456789101217[[#This Row],[IP]]</f>
        <v>212.100.25.78/212.100.25.87</v>
      </c>
      <c r="C22" s="6" t="str">
        <f>Table333456789101217[[#This Row],[Carrier Code]]</f>
        <v>AR</v>
      </c>
      <c r="D22" s="53">
        <v>0.71666666666666667</v>
      </c>
      <c r="E22" s="53">
        <v>0.71666666666666667</v>
      </c>
      <c r="F22" s="18">
        <f>Table333456789101211212223242527[[#This Row],[Company Panel]]+Table333456789101211212223242526[[#This Row],[MTD Company]]</f>
        <v>66.183333333333337</v>
      </c>
      <c r="G22" s="18">
        <f>Table333456789101211212223242527[[#This Row],[Our panel]]+Table333456789101211212223242526[[#This Row],[MTD Panel]]</f>
        <v>66.183333333333337</v>
      </c>
      <c r="H22" s="13">
        <f>Table333456789101211212223242527[[#This Row],[Company Panel]]-Table333456789101211212223242527[[#This Row],[Our panel]]</f>
        <v>0</v>
      </c>
      <c r="I22" s="13">
        <f>Table333456789101211212223242527[[#This Row],[MTD Company]]-Table333456789101211212223242527[[#This Row],[MTD Panel]]</f>
        <v>0</v>
      </c>
    </row>
    <row r="23" spans="1:9">
      <c r="A23" s="11" t="str">
        <f>Table333456789101217[[#This Row],[Carrier]]</f>
        <v>Glitch</v>
      </c>
      <c r="B23" s="5" t="str">
        <f>Table333456789101217[[#This Row],[IP]]</f>
        <v>198.204.100.12/198.204.100.34/198.204.100.51</v>
      </c>
      <c r="C23" s="6" t="str">
        <f>Table333456789101217[[#This Row],[Carrier Code]]</f>
        <v>GL</v>
      </c>
      <c r="D23" s="53">
        <v>0</v>
      </c>
      <c r="E23" s="53">
        <v>0</v>
      </c>
      <c r="F23" s="18">
        <f>Table333456789101211212223242527[[#This Row],[Company Panel]]+Table333456789101211212223242526[[#This Row],[MTD Company]]</f>
        <v>0</v>
      </c>
      <c r="G23" s="18">
        <f>Table333456789101211212223242527[[#This Row],[Our panel]]+Table333456789101211212223242526[[#This Row],[MTD Panel]]</f>
        <v>0</v>
      </c>
      <c r="H23" s="13">
        <f>Table333456789101211212223242527[[#This Row],[Company Panel]]-Table333456789101211212223242527[[#This Row],[Our panel]]</f>
        <v>0</v>
      </c>
      <c r="I23" s="13">
        <f>Table333456789101211212223242527[[#This Row],[MTD Company]]-Table333456789101211212223242527[[#This Row],[MTD Panel]]</f>
        <v>0</v>
      </c>
    </row>
    <row r="24" spans="1:9">
      <c r="A24" s="11" t="str">
        <f>Table333456789101217[[#This Row],[Carrier]]</f>
        <v>Nitro</v>
      </c>
      <c r="B24" s="5" t="str">
        <f>Table333456789101217[[#This Row],[IP]]</f>
        <v>15.150.200.33/119.82.200.100</v>
      </c>
      <c r="C24" s="6" t="str">
        <f>Table333456789101217[[#This Row],[Carrier Code]]</f>
        <v>NI</v>
      </c>
      <c r="D24" s="53">
        <v>0</v>
      </c>
      <c r="E24" s="53">
        <v>0</v>
      </c>
      <c r="F24" s="18">
        <f>Table333456789101211212223242527[[#This Row],[Company Panel]]+Table333456789101211212223242526[[#This Row],[MTD Company]]</f>
        <v>0</v>
      </c>
      <c r="G24" s="18">
        <f>Table333456789101211212223242527[[#This Row],[Our panel]]+Table333456789101211212223242526[[#This Row],[MTD Panel]]</f>
        <v>0</v>
      </c>
      <c r="H24" s="13">
        <f>Table333456789101211212223242527[[#This Row],[Company Panel]]-Table333456789101211212223242527[[#This Row],[Our panel]]</f>
        <v>0</v>
      </c>
      <c r="I24" s="13">
        <f>Table333456789101211212223242527[[#This Row],[MTD Company]]-Table333456789101211212223242527[[#This Row],[MTD Panel]]</f>
        <v>0</v>
      </c>
    </row>
    <row r="25" spans="1:9">
      <c r="A25" s="11" t="str">
        <f>Table333456789101217[[#This Row],[Carrier]]</f>
        <v>Drip</v>
      </c>
      <c r="B25" s="5" t="str">
        <f>Table333456789101217[[#This Row],[IP]]</f>
        <v>84.13.76.190/90.945.80.11/198.160.234.5</v>
      </c>
      <c r="C25" s="6" t="str">
        <f>Table333456789101217[[#This Row],[Carrier Code]]</f>
        <v>DR</v>
      </c>
      <c r="D25" s="53">
        <v>0</v>
      </c>
      <c r="E25" s="53">
        <v>0</v>
      </c>
      <c r="F25" s="18">
        <f>Table333456789101211212223242527[[#This Row],[Company Panel]]+Table333456789101211212223242526[[#This Row],[MTD Company]]</f>
        <v>0</v>
      </c>
      <c r="G25" s="18">
        <f>Table333456789101211212223242527[[#This Row],[Our panel]]+Table333456789101211212223242526[[#This Row],[MTD Panel]]</f>
        <v>0</v>
      </c>
      <c r="H25" s="13">
        <f>Table333456789101211212223242527[[#This Row],[Company Panel]]-Table333456789101211212223242527[[#This Row],[Our panel]]</f>
        <v>0</v>
      </c>
      <c r="I25" s="13">
        <f>Table333456789101211212223242527[[#This Row],[MTD Company]]-Table333456789101211212223242527[[#This Row],[MTD Panel]]</f>
        <v>0</v>
      </c>
    </row>
    <row r="26" spans="1:9">
      <c r="A26" s="11" t="str">
        <f>Table333456789101217[[#This Row],[Carrier]]</f>
        <v>Glide</v>
      </c>
      <c r="B26" s="5" t="str">
        <f>Table333456789101217[[#This Row],[IP]]</f>
        <v>120.45.12.25/85.739.221.80/85.739.221.93</v>
      </c>
      <c r="C26" s="6" t="str">
        <f>Table333456789101217[[#This Row],[Carrier Code]]</f>
        <v>GI</v>
      </c>
      <c r="D26" s="53">
        <v>0</v>
      </c>
      <c r="E26" s="53">
        <v>0</v>
      </c>
      <c r="F26" s="18">
        <f>Table333456789101211212223242527[[#This Row],[Company Panel]]+Table333456789101211212223242526[[#This Row],[MTD Company]]</f>
        <v>0</v>
      </c>
      <c r="G26" s="18">
        <f>Table333456789101211212223242527[[#This Row],[Our panel]]+Table333456789101211212223242526[[#This Row],[MTD Panel]]</f>
        <v>0</v>
      </c>
      <c r="H26" s="13">
        <f>Table333456789101211212223242527[[#This Row],[Company Panel]]-Table333456789101211212223242527[[#This Row],[Our panel]]</f>
        <v>0</v>
      </c>
      <c r="I26" s="13">
        <f>Table333456789101211212223242527[[#This Row],[MTD Company]]-Table333456789101211212223242527[[#This Row],[MTD Panel]]</f>
        <v>0</v>
      </c>
    </row>
    <row r="27" spans="1:9">
      <c r="A27" s="11" t="str">
        <f>Table333456789101217[[#This Row],[Carrier]]</f>
        <v>Orbit</v>
      </c>
      <c r="B27" s="5" t="str">
        <f>Table333456789101217[[#This Row],[IP]]</f>
        <v>176.98.54.112/60.110.154.91/60.110.155.162</v>
      </c>
      <c r="C27" s="6" t="str">
        <f>Table333456789101217[[#This Row],[Carrier Code]]</f>
        <v>OR</v>
      </c>
      <c r="D27" s="53">
        <v>0</v>
      </c>
      <c r="E27" s="53">
        <v>0</v>
      </c>
      <c r="F27" s="18">
        <f>Table333456789101211212223242527[[#This Row],[Company Panel]]+Table333456789101211212223242526[[#This Row],[MTD Company]]</f>
        <v>0</v>
      </c>
      <c r="G27" s="18">
        <f>Table333456789101211212223242527[[#This Row],[Our panel]]+Table333456789101211212223242526[[#This Row],[MTD Panel]]</f>
        <v>0</v>
      </c>
      <c r="H27" s="13">
        <f>Table333456789101211212223242527[[#This Row],[Company Panel]]-Table333456789101211212223242527[[#This Row],[Our panel]]</f>
        <v>0</v>
      </c>
      <c r="I27" s="13">
        <f>Table333456789101211212223242527[[#This Row],[MTD Company]]-Table333456789101211212223242527[[#This Row],[MTD Panel]]</f>
        <v>0</v>
      </c>
    </row>
    <row r="28" spans="1:9">
      <c r="A28" s="11" t="str">
        <f>Table333456789101217[[#This Row],[Carrier]]</f>
        <v>Thunder</v>
      </c>
      <c r="B28" s="5" t="str">
        <f>Table333456789101217[[#This Row],[IP]]</f>
        <v>67.102.200.9/81.905.48.847/143.235.100.34</v>
      </c>
      <c r="C28" s="6" t="str">
        <f>Table333456789101217[[#This Row],[Carrier Code]]</f>
        <v>TU</v>
      </c>
      <c r="D28" s="53">
        <v>2.4333333333333331</v>
      </c>
      <c r="E28" s="53">
        <v>2.4333333333333331</v>
      </c>
      <c r="F28" s="18">
        <f>Table333456789101211212223242527[[#This Row],[Company Panel]]+Table333456789101211212223242526[[#This Row],[MTD Company]]</f>
        <v>513.76666666666654</v>
      </c>
      <c r="G28" s="18">
        <f>Table333456789101211212223242527[[#This Row],[Our panel]]+Table333456789101211212223242526[[#This Row],[MTD Panel]]</f>
        <v>513.76666666666654</v>
      </c>
      <c r="H28" s="13">
        <f>Table333456789101211212223242527[[#This Row],[Company Panel]]-Table333456789101211212223242527[[#This Row],[Our panel]]</f>
        <v>0</v>
      </c>
      <c r="I28" s="13">
        <f>Table333456789101211212223242527[[#This Row],[MTD Company]]-Table333456789101211212223242527[[#This Row],[MTD Panel]]</f>
        <v>0</v>
      </c>
    </row>
    <row r="29" spans="1:9">
      <c r="A29" s="11" t="str">
        <f>Table333456789101217[[#This Row],[Carrier]]</f>
        <v>Glimmer</v>
      </c>
      <c r="B29" s="5" t="str">
        <f>Table333456789101217[[#This Row],[IP]]</f>
        <v>99.22.211.100/71.54.85.344/71.54.85.218</v>
      </c>
      <c r="C29" s="6" t="str">
        <f>Table333456789101217[[#This Row],[Carrier Code]]</f>
        <v>GM</v>
      </c>
      <c r="D29" s="53">
        <v>0</v>
      </c>
      <c r="E29" s="53">
        <v>0</v>
      </c>
      <c r="F29" s="18">
        <f>Table333456789101211212223242527[[#This Row],[Company Panel]]+Table333456789101211212223242526[[#This Row],[MTD Company]]</f>
        <v>0</v>
      </c>
      <c r="G29" s="18">
        <f>Table333456789101211212223242527[[#This Row],[Our panel]]+Table333456789101211212223242526[[#This Row],[MTD Panel]]</f>
        <v>0</v>
      </c>
      <c r="H29" s="13">
        <f>Table333456789101211212223242527[[#This Row],[Company Panel]]-Table333456789101211212223242527[[#This Row],[Our panel]]</f>
        <v>0</v>
      </c>
      <c r="I29" s="13">
        <f>Table333456789101211212223242527[[#This Row],[MTD Company]]-Table333456789101211212223242527[[#This Row],[MTD Panel]]</f>
        <v>0</v>
      </c>
    </row>
    <row r="30" spans="1:9">
      <c r="A30" s="11" t="str">
        <f>Table333456789101217[[#This Row],[Carrier]]</f>
        <v>Fragment</v>
      </c>
      <c r="B30" s="5" t="str">
        <f>Table333456789101217[[#This Row],[IP]]</f>
        <v>203.0.113.56/195.56.101.10</v>
      </c>
      <c r="C30" s="6" t="str">
        <f>Table333456789101217[[#This Row],[Carrier Code]]</f>
        <v>FR</v>
      </c>
      <c r="D30" s="53">
        <v>0</v>
      </c>
      <c r="E30" s="53">
        <v>0</v>
      </c>
      <c r="F30" s="18">
        <f>Table333456789101211212223242527[[#This Row],[Company Panel]]+Table333456789101211212223242526[[#This Row],[MTD Company]]</f>
        <v>0</v>
      </c>
      <c r="G30" s="18">
        <f>Table333456789101211212223242527[[#This Row],[Our panel]]+Table333456789101211212223242526[[#This Row],[MTD Panel]]</f>
        <v>0</v>
      </c>
      <c r="H30" s="13">
        <f>Table333456789101211212223242527[[#This Row],[Company Panel]]-Table333456789101211212223242527[[#This Row],[Our panel]]</f>
        <v>0</v>
      </c>
      <c r="I30" s="13">
        <f>Table333456789101211212223242527[[#This Row],[MTD Company]]-Table333456789101211212223242527[[#This Row],[MTD Panel]]</f>
        <v>0</v>
      </c>
    </row>
    <row r="31" spans="1:9">
      <c r="A31" s="11" t="str">
        <f>Table333456789101217[[#This Row],[Carrier]]</f>
        <v>Dusk</v>
      </c>
      <c r="B31" s="5" t="str">
        <f>Table333456789101217[[#This Row],[IP]]</f>
        <v>33.44.55.66/33.44.55.84/33.44.55.122/214.68.90.122</v>
      </c>
      <c r="C31" s="6" t="str">
        <f>Table333456789101217[[#This Row],[Carrier Code]]</f>
        <v>DK</v>
      </c>
      <c r="D31" s="53">
        <v>0</v>
      </c>
      <c r="E31" s="53">
        <v>0</v>
      </c>
      <c r="F31" s="18">
        <f>Table333456789101211212223242527[[#This Row],[Company Panel]]+Table333456789101211212223242526[[#This Row],[MTD Company]]</f>
        <v>0</v>
      </c>
      <c r="G31" s="18">
        <f>Table333456789101211212223242527[[#This Row],[Our panel]]+Table333456789101211212223242526[[#This Row],[MTD Panel]]</f>
        <v>0</v>
      </c>
      <c r="H31" s="13">
        <f>Table333456789101211212223242527[[#This Row],[Company Panel]]-Table333456789101211212223242527[[#This Row],[Our panel]]</f>
        <v>0</v>
      </c>
      <c r="I31" s="13">
        <f>Table333456789101211212223242527[[#This Row],[MTD Company]]-Table333456789101211212223242527[[#This Row],[MTD Panel]]</f>
        <v>0</v>
      </c>
    </row>
    <row r="32" spans="1:9">
      <c r="A32" s="11" t="str">
        <f>Table333456789101217[[#This Row],[Carrier]]</f>
        <v>Breeze</v>
      </c>
      <c r="B32" s="5" t="str">
        <f>Table333456789101217[[#This Row],[IP]]</f>
        <v>199.123.87.45/199.123.34.52/77.189.22.56</v>
      </c>
      <c r="C32" s="6" t="str">
        <f>Table333456789101217[[#This Row],[Carrier Code]]</f>
        <v>BR</v>
      </c>
      <c r="D32" s="53">
        <v>0</v>
      </c>
      <c r="E32" s="53">
        <v>0</v>
      </c>
      <c r="F32" s="18">
        <f>Table333456789101211212223242527[[#This Row],[Company Panel]]+Table333456789101211212223242526[[#This Row],[MTD Company]]</f>
        <v>0</v>
      </c>
      <c r="G32" s="18">
        <f>Table333456789101211212223242527[[#This Row],[Our panel]]+Table333456789101211212223242526[[#This Row],[MTD Panel]]</f>
        <v>0</v>
      </c>
      <c r="H32" s="13">
        <f>Table333456789101211212223242527[[#This Row],[Company Panel]]-Table333456789101211212223242527[[#This Row],[Our panel]]</f>
        <v>0</v>
      </c>
      <c r="I32" s="13">
        <f>Table333456789101211212223242527[[#This Row],[MTD Company]]-Table333456789101211212223242527[[#This Row],[MTD Panel]]</f>
        <v>0</v>
      </c>
    </row>
    <row r="33" spans="1:9">
      <c r="A33" s="11" t="str">
        <f>Table333456789101217[[#This Row],[Carrier]]</f>
        <v>Clutch</v>
      </c>
      <c r="B33" s="5" t="str">
        <f>Table333456789101217[[#This Row],[IP]]</f>
        <v>55.66.77.88/84.126.79.28/152.233.45.11</v>
      </c>
      <c r="C33" s="6" t="str">
        <f>Table333456789101217[[#This Row],[Carrier Code]]</f>
        <v>CL</v>
      </c>
      <c r="D33" s="53">
        <v>0</v>
      </c>
      <c r="E33" s="53">
        <v>0</v>
      </c>
      <c r="F33" s="18">
        <f>Table333456789101211212223242527[[#This Row],[Company Panel]]+Table333456789101211212223242526[[#This Row],[MTD Company]]</f>
        <v>0</v>
      </c>
      <c r="G33" s="18">
        <f>Table333456789101211212223242527[[#This Row],[Our panel]]+Table333456789101211212223242526[[#This Row],[MTD Panel]]</f>
        <v>0</v>
      </c>
      <c r="H33" s="13">
        <f>Table333456789101211212223242527[[#This Row],[Company Panel]]-Table333456789101211212223242527[[#This Row],[Our panel]]</f>
        <v>0</v>
      </c>
      <c r="I33" s="13">
        <f>Table333456789101211212223242527[[#This Row],[MTD Company]]-Table333456789101211212223242527[[#This Row],[MTD Panel]]</f>
        <v>0</v>
      </c>
    </row>
    <row r="34" spans="1:9">
      <c r="A34" s="11" t="str">
        <f>Table333456789101217[[#This Row],[Carrier]]</f>
        <v>Haze</v>
      </c>
      <c r="B34" s="5" t="str">
        <f>Table333456789101217[[#This Row],[IP]]</f>
        <v>230.111.44.56</v>
      </c>
      <c r="C34" s="6" t="str">
        <f>Table333456789101217[[#This Row],[Carrier Code]]</f>
        <v>HZ</v>
      </c>
      <c r="D34" s="53">
        <v>176.35</v>
      </c>
      <c r="E34" s="53">
        <v>176.35</v>
      </c>
      <c r="F34" s="18">
        <f>Table333456789101211212223242527[[#This Row],[Company Panel]]+Table333456789101211212223242526[[#This Row],[MTD Company]]</f>
        <v>2428.6</v>
      </c>
      <c r="G34" s="18">
        <f>Table333456789101211212223242527[[#This Row],[Our panel]]+Table333456789101211212223242526[[#This Row],[MTD Panel]]</f>
        <v>2428.6</v>
      </c>
      <c r="H34" s="63">
        <f>Table333456789101211212223242527[[#This Row],[Company Panel]]-Table333456789101211212223242527[[#This Row],[Our panel]]</f>
        <v>0</v>
      </c>
      <c r="I34" s="63">
        <f>Table333456789101211212223242527[[#This Row],[MTD Company]]-Table333456789101211212223242527[[#This Row],[MTD Panel]]</f>
        <v>0</v>
      </c>
    </row>
    <row r="35" spans="1:9">
      <c r="A35" s="11" t="str">
        <f>Table333456789101217[[#This Row],[Carrier]]</f>
        <v>Vault</v>
      </c>
      <c r="B35" s="5" t="str">
        <f>Table333456789101217[[#This Row],[IP]]</f>
        <v>213.189.94.5/213.189.94.7/111.180.64.222</v>
      </c>
      <c r="C35" s="6" t="str">
        <f>Table333456789101217[[#This Row],[Carrier Code]]</f>
        <v>VA</v>
      </c>
      <c r="D35" s="53">
        <v>0</v>
      </c>
      <c r="E35" s="53">
        <v>0</v>
      </c>
      <c r="F35" s="18">
        <f>Table333456789101211212223242527[[#This Row],[Company Panel]]+Table333456789101211212223242526[[#This Row],[MTD Company]]</f>
        <v>0</v>
      </c>
      <c r="G35" s="18">
        <f>Table333456789101211212223242527[[#This Row],[Our panel]]+Table333456789101211212223242526[[#This Row],[MTD Panel]]</f>
        <v>0</v>
      </c>
      <c r="H35" s="63">
        <f>Table333456789101211212223242527[[#This Row],[Company Panel]]-Table333456789101211212223242527[[#This Row],[Our panel]]</f>
        <v>0</v>
      </c>
      <c r="I35" s="63">
        <f>Table333456789101211212223242527[[#This Row],[MTD Company]]-Table333456789101211212223242527[[#This Row],[MTD Panel]]</f>
        <v>0</v>
      </c>
    </row>
    <row r="36" spans="1:9">
      <c r="A36" s="11" t="str">
        <f>Table333456789101217[[#This Row],[Carrier]]</f>
        <v>Scatter</v>
      </c>
      <c r="B36" s="5" t="str">
        <f>Table333456789101217[[#This Row],[IP]]</f>
        <v>14.123.45.67/168.251.90.15</v>
      </c>
      <c r="C36" s="6" t="str">
        <f>Table333456789101217[[#This Row],[Carrier Code]]</f>
        <v>SC</v>
      </c>
      <c r="D36" s="53">
        <v>68.683333333333337</v>
      </c>
      <c r="E36" s="53">
        <v>68.683333333333337</v>
      </c>
      <c r="F36" s="18">
        <f>Table333456789101211212223242527[[#This Row],[Company Panel]]+Table333456789101211212223242526[[#This Row],[MTD Company]]</f>
        <v>1104.8833333333332</v>
      </c>
      <c r="G36" s="18">
        <f>Table333456789101211212223242527[[#This Row],[Our panel]]+Table333456789101211212223242526[[#This Row],[MTD Panel]]</f>
        <v>1104.8833333333332</v>
      </c>
      <c r="H36" s="63">
        <f>Table333456789101211212223242527[[#This Row],[Company Panel]]-Table333456789101211212223242527[[#This Row],[Our panel]]</f>
        <v>0</v>
      </c>
      <c r="I36" s="63">
        <f>Table333456789101211212223242527[[#This Row],[MTD Company]]-Table333456789101211212223242527[[#This Row],[MTD Panel]]</f>
        <v>0</v>
      </c>
    </row>
    <row r="37" spans="1:9">
      <c r="A37" s="11" t="str">
        <f>Table333456789101217[[#This Row],[Carrier]]</f>
        <v>Hammer</v>
      </c>
      <c r="B37" s="5" t="str">
        <f>Table333456789101217[[#This Row],[IP]]</f>
        <v>200.111.78.9/200.111.236.62/200.111.823.89/137.79.48.56</v>
      </c>
      <c r="C37" s="6" t="str">
        <f>Table333456789101217[[#This Row],[Carrier Code]]</f>
        <v>HA</v>
      </c>
      <c r="D37" s="53">
        <v>0</v>
      </c>
      <c r="E37" s="53">
        <v>0</v>
      </c>
      <c r="F37" s="18">
        <f>Table333456789101211212223242527[[#This Row],[Company Panel]]+Table333456789101211212223242526[[#This Row],[MTD Company]]</f>
        <v>0</v>
      </c>
      <c r="G37" s="18">
        <f>Table333456789101211212223242527[[#This Row],[Our panel]]+Table333456789101211212223242526[[#This Row],[MTD Panel]]</f>
        <v>0</v>
      </c>
      <c r="H37" s="72">
        <f>Table333456789101211212223242527[[#This Row],[Company Panel]]-Table333456789101211212223242527[[#This Row],[Our panel]]</f>
        <v>0</v>
      </c>
      <c r="I37" s="72">
        <f>Table333456789101211212223242527[[#This Row],[MTD Company]]-Table333456789101211212223242527[[#This Row],[MTD Panel]]</f>
        <v>0</v>
      </c>
    </row>
    <row r="38" spans="1:9">
      <c r="A38" s="11" t="str">
        <f>Table333456789101217[[#This Row],[Carrier]]</f>
        <v>Smudge</v>
      </c>
      <c r="B38" s="5" t="str">
        <f>Table333456789101217[[#This Row],[IP]]</f>
        <v>88.99.233.56/54.71.99.234</v>
      </c>
      <c r="C38" s="6" t="str">
        <f>Table333456789101217[[#This Row],[Carrier Code]]</f>
        <v>SM</v>
      </c>
      <c r="D38" s="53">
        <v>13.033333333333333</v>
      </c>
      <c r="E38" s="53">
        <v>13.033333333333333</v>
      </c>
      <c r="F38" s="18">
        <f>Table333456789101211212223242527[[#This Row],[Company Panel]]+Table333456789101211212223242526[[#This Row],[MTD Company]]</f>
        <v>335.55</v>
      </c>
      <c r="G38" s="18">
        <f>Table333456789101211212223242527[[#This Row],[Our panel]]+Table333456789101211212223242526[[#This Row],[MTD Panel]]</f>
        <v>335.55</v>
      </c>
      <c r="H38" s="72">
        <f>Table333456789101211212223242527[[#This Row],[Company Panel]]-Table333456789101211212223242527[[#This Row],[Our panel]]</f>
        <v>0</v>
      </c>
      <c r="I38" s="72">
        <f>Table333456789101211212223242527[[#This Row],[MTD Company]]-Table333456789101211212223242527[[#This Row],[MTD Panel]]</f>
        <v>0</v>
      </c>
    </row>
    <row r="39" spans="1:9">
      <c r="A39" s="11" t="str">
        <f>Table333456789101217[[#This Row],[Carrier]]</f>
        <v>Quirk</v>
      </c>
      <c r="B39" s="5" t="str">
        <f>Table333456789101217[[#This Row],[IP]]</f>
        <v>62.45.100.31/62.45.100.15/62.45.100.65/211.95.102.6</v>
      </c>
      <c r="C39" s="6" t="str">
        <f>Table333456789101217[[#This Row],[Carrier Code]]</f>
        <v>QU</v>
      </c>
      <c r="D39" s="53">
        <v>1021.9166666666666</v>
      </c>
      <c r="E39" s="53">
        <v>1021.9166666666666</v>
      </c>
      <c r="F39" s="18">
        <f>Table333456789101211212223242527[[#This Row],[Company Panel]]+Table333456789101211212223242526[[#This Row],[MTD Company]]</f>
        <v>34276.43333333332</v>
      </c>
      <c r="G39" s="18">
        <f>Table333456789101211212223242527[[#This Row],[Our panel]]+Table333456789101211212223242526[[#This Row],[MTD Panel]]</f>
        <v>34276.43333333332</v>
      </c>
      <c r="H39" s="72">
        <f>Table333456789101211212223242527[[#This Row],[Company Panel]]-Table333456789101211212223242527[[#This Row],[Our panel]]</f>
        <v>0</v>
      </c>
      <c r="I39" s="72">
        <f>Table333456789101211212223242527[[#This Row],[MTD Company]]-Table333456789101211212223242527[[#This Row],[MTD Panel]]</f>
        <v>0</v>
      </c>
    </row>
    <row r="40" spans="1:9">
      <c r="A40" s="11" t="str">
        <f>Table333456789101217[[#This Row],[Carrier]]</f>
        <v>Vortex</v>
      </c>
      <c r="B40" s="5" t="str">
        <f>Table333456789101217[[#This Row],[IP]]</f>
        <v>179.250.91.8/29.540.67.457/94.25.34.78/183.144.27.18</v>
      </c>
      <c r="C40" s="6" t="str">
        <f>Table333456789101217[[#This Row],[Carrier Code]]</f>
        <v>VT</v>
      </c>
      <c r="D40" s="53">
        <v>0</v>
      </c>
      <c r="E40" s="53">
        <v>0</v>
      </c>
      <c r="F40" s="18">
        <f>Table333456789101211212223242527[[#This Row],[Company Panel]]+Table333456789101211212223242526[[#This Row],[MTD Company]]</f>
        <v>0</v>
      </c>
      <c r="G40" s="18">
        <f>Table333456789101211212223242527[[#This Row],[Our panel]]+Table333456789101211212223242526[[#This Row],[MTD Panel]]</f>
        <v>0</v>
      </c>
      <c r="H40" s="72">
        <f>Table333456789101211212223242527[[#This Row],[Company Panel]]-Table333456789101211212223242527[[#This Row],[Our panel]]</f>
        <v>0</v>
      </c>
      <c r="I40" s="72">
        <f>Table333456789101211212223242527[[#This Row],[MTD Company]]-Table333456789101211212223242527[[#This Row],[MTD Panel]]</f>
        <v>0</v>
      </c>
    </row>
    <row r="41" spans="1:9">
      <c r="A41" s="11" t="str">
        <f>Table333456789101217[[#This Row],[Carrier]]</f>
        <v>Void</v>
      </c>
      <c r="B41" s="5" t="str">
        <f>Table333456789101217[[#This Row],[IP]]</f>
        <v>156.34.123.11/156.34.123.25/156.34.123.62/92.44.233.110</v>
      </c>
      <c r="C41" s="6" t="str">
        <f>Table333456789101217[[#This Row],[Carrier Code]]</f>
        <v>VO</v>
      </c>
      <c r="D41" s="53">
        <v>35.15</v>
      </c>
      <c r="E41" s="53">
        <v>35.15</v>
      </c>
      <c r="F41" s="18">
        <f>Table333456789101211212223242527[[#This Row],[Company Panel]]+Table333456789101211212223242526[[#This Row],[MTD Company]]</f>
        <v>834.08333333333326</v>
      </c>
      <c r="G41" s="18">
        <f>Table333456789101211212223242527[[#This Row],[Our panel]]+Table333456789101211212223242526[[#This Row],[MTD Panel]]</f>
        <v>834.08333333333326</v>
      </c>
      <c r="H41" s="72">
        <f>Table333456789101211212223242527[[#This Row],[Company Panel]]-Table333456789101211212223242527[[#This Row],[Our panel]]</f>
        <v>0</v>
      </c>
      <c r="I41" s="72">
        <f>Table333456789101211212223242527[[#This Row],[MTD Company]]-Table333456789101211212223242527[[#This Row],[MTD Panel]]</f>
        <v>0</v>
      </c>
    </row>
    <row r="42" spans="1:9">
      <c r="A42" s="11" t="str">
        <f>Table333456789101217[[#This Row],[Carrier]]</f>
        <v>Midnight</v>
      </c>
      <c r="B42" s="5" t="str">
        <f>Table333456789101217[[#This Row],[IP]]</f>
        <v>134.77.22.4/23.97.150.8</v>
      </c>
      <c r="C42" s="6" t="str">
        <f>Table333456789101217[[#This Row],[Carrier Code]]</f>
        <v>MI</v>
      </c>
      <c r="D42" s="53">
        <v>193.33333333333334</v>
      </c>
      <c r="E42" s="53">
        <v>193.33333333333334</v>
      </c>
      <c r="F42" s="18">
        <f>Table333456789101211212223242527[[#This Row],[Company Panel]]+Table333456789101211212223242526[[#This Row],[MTD Company]]</f>
        <v>6653.0000000000009</v>
      </c>
      <c r="G42" s="18">
        <f>Table333456789101211212223242527[[#This Row],[Our panel]]+Table333456789101211212223242526[[#This Row],[MTD Panel]]</f>
        <v>6653.0000000000009</v>
      </c>
      <c r="H42" s="72">
        <f>Table333456789101211212223242527[[#This Row],[Company Panel]]-Table333456789101211212223242527[[#This Row],[Our panel]]</f>
        <v>0</v>
      </c>
      <c r="I42" s="72">
        <f>Table333456789101211212223242527[[#This Row],[MTD Company]]-Table333456789101211212223242527[[#This Row],[MTD Panel]]</f>
        <v>0</v>
      </c>
    </row>
    <row r="43" spans="1:9">
      <c r="A43" s="11" t="str">
        <f>Table333456789101217[[#This Row],[Carrier]]</f>
        <v>Autumn</v>
      </c>
      <c r="B43" s="5" t="str">
        <f>Table333456789101217[[#This Row],[IP]]</f>
        <v>202.54.210.88/12.331.94.73/64.19.28.175</v>
      </c>
      <c r="C43" s="6" t="str">
        <f>Table333456789101217[[#This Row],[Carrier Code]]</f>
        <v>AU</v>
      </c>
      <c r="D43" s="53">
        <v>0</v>
      </c>
      <c r="E43" s="53">
        <v>0</v>
      </c>
      <c r="F43" s="18">
        <f>Table333456789101211212223242527[[#This Row],[Company Panel]]+Table333456789101211212223242526[[#This Row],[MTD Company]]</f>
        <v>258.31666666666666</v>
      </c>
      <c r="G43" s="18">
        <f>Table333456789101211212223242527[[#This Row],[Our panel]]+Table333456789101211212223242526[[#This Row],[MTD Panel]]</f>
        <v>258.31666666666666</v>
      </c>
      <c r="H43" s="72">
        <f>Table333456789101211212223242527[[#This Row],[Company Panel]]-Table333456789101211212223242527[[#This Row],[Our panel]]</f>
        <v>0</v>
      </c>
      <c r="I43" s="72">
        <f>Table333456789101211212223242527[[#This Row],[MTD Company]]-Table333456789101211212223242527[[#This Row],[MTD Panel]]</f>
        <v>0</v>
      </c>
    </row>
    <row r="44" spans="1:9">
      <c r="A44" s="11" t="str">
        <f>Table333456789101217[[#This Row],[Carrier]]</f>
        <v>Mystic</v>
      </c>
      <c r="B44" s="5" t="str">
        <f>Table333456789101217[[#This Row],[IP]]</f>
        <v>51.233.21.76/82.115.35.60/82.115.35.85</v>
      </c>
      <c r="C44" s="6" t="str">
        <f>Table333456789101217[[#This Row],[Carrier Code]]</f>
        <v>MY</v>
      </c>
      <c r="D44" s="53">
        <v>0</v>
      </c>
      <c r="E44" s="53">
        <v>0</v>
      </c>
      <c r="F44" s="18">
        <f>Table333456789101211212223242527[[#This Row],[Company Panel]]+Table333456789101211212223242526[[#This Row],[MTD Company]]</f>
        <v>0</v>
      </c>
      <c r="G44" s="18">
        <f>Table333456789101211212223242527[[#This Row],[Our panel]]+Table333456789101211212223242526[[#This Row],[MTD Panel]]</f>
        <v>0</v>
      </c>
      <c r="H44" s="72">
        <f>Table333456789101211212223242527[[#This Row],[Company Panel]]-Table333456789101211212223242527[[#This Row],[Our panel]]</f>
        <v>0</v>
      </c>
      <c r="I44" s="72">
        <f>Table333456789101211212223242527[[#This Row],[MTD Company]]-Table333456789101211212223242527[[#This Row],[MTD Panel]]</f>
        <v>0</v>
      </c>
    </row>
    <row r="45" spans="1:9">
      <c r="A45" s="11" t="str">
        <f>Table333456789101217[[#This Row],[Carrier]]</f>
        <v>Clover</v>
      </c>
      <c r="B45" s="5" t="str">
        <f>Table333456789101217[[#This Row],[IP]]</f>
        <v>210.150.12.45/84.50.212.66/135.113.88.9</v>
      </c>
      <c r="C45" s="6" t="str">
        <f>Table333456789101217[[#This Row],[Carrier Code]]</f>
        <v>CO</v>
      </c>
      <c r="D45" s="53">
        <v>97.75</v>
      </c>
      <c r="E45" s="53">
        <v>97.75</v>
      </c>
      <c r="F45" s="18">
        <f>Table333456789101211212223242527[[#This Row],[Company Panel]]+Table333456789101211212223242526[[#This Row],[MTD Company]]</f>
        <v>34576.733333333344</v>
      </c>
      <c r="G45" s="18">
        <f>Table333456789101211212223242527[[#This Row],[Our panel]]+Table333456789101211212223242526[[#This Row],[MTD Panel]]</f>
        <v>34576.733333333344</v>
      </c>
      <c r="H45" s="13">
        <f>Table333456789101211212223242527[[#This Row],[Company Panel]]-Table333456789101211212223242527[[#This Row],[Our panel]]</f>
        <v>0</v>
      </c>
      <c r="I45" s="13">
        <f>Table333456789101211212223242527[[#This Row],[MTD Company]]-Table333456789101211212223242527[[#This Row],[MTD Panel]]</f>
        <v>0</v>
      </c>
    </row>
    <row r="46" spans="1:9">
      <c r="A46" s="11" t="str">
        <f>Table333456789101217[[#This Row],[Carrier]]</f>
        <v>Hunter</v>
      </c>
      <c r="B46" s="5" t="str">
        <f>Table333456789101217[[#This Row],[IP]]</f>
        <v>170.199.20.87/13.693.39.280/78.30.123.47</v>
      </c>
      <c r="C46" s="6" t="str">
        <f>Table333456789101217[[#This Row],[Carrier Code]]</f>
        <v>HU</v>
      </c>
      <c r="D46" s="53">
        <v>94.86666666666666</v>
      </c>
      <c r="E46" s="53">
        <v>94.86666666666666</v>
      </c>
      <c r="F46" s="18">
        <f>Table333456789101211212223242527[[#This Row],[Company Panel]]+Table333456789101211212223242526[[#This Row],[MTD Company]]</f>
        <v>16064.55</v>
      </c>
      <c r="G46" s="18">
        <f>Table333456789101211212223242527[[#This Row],[Our panel]]+Table333456789101211212223242526[[#This Row],[MTD Panel]]</f>
        <v>16064.55</v>
      </c>
      <c r="H46" s="13">
        <f>Table333456789101211212223242527[[#This Row],[Company Panel]]-Table333456789101211212223242527[[#This Row],[Our panel]]</f>
        <v>0</v>
      </c>
      <c r="I46" s="13">
        <f>Table333456789101211212223242527[[#This Row],[MTD Company]]-Table333456789101211212223242527[[#This Row],[MTD Panel]]</f>
        <v>0</v>
      </c>
    </row>
    <row r="47" spans="1:9">
      <c r="A47" s="11" t="str">
        <f>Table333456789101217[[#This Row],[Carrier]]</f>
        <v>Invaded</v>
      </c>
      <c r="B47" s="5" t="str">
        <f>Table333456789101217[[#This Row],[IP]]</f>
        <v>182.67.99.120/80.518.230.410/26.847.95.107/188.12.67.92</v>
      </c>
      <c r="C47" s="6" t="str">
        <f>Table333456789101217[[#This Row],[Carrier Code]]</f>
        <v>ID</v>
      </c>
      <c r="D47" s="7">
        <v>0</v>
      </c>
      <c r="E47" s="7">
        <v>0</v>
      </c>
      <c r="F47" s="18">
        <f>Table333456789101211212223242527[[#This Row],[Company Panel]]+Table333456789101211212223242526[[#This Row],[MTD Company]]</f>
        <v>0</v>
      </c>
      <c r="G47" s="18">
        <f>Table333456789101211212223242527[[#This Row],[Our panel]]+Table333456789101211212223242526[[#This Row],[MTD Panel]]</f>
        <v>0</v>
      </c>
      <c r="H47" s="13">
        <f>Table333456789101211212223242527[[#This Row],[Company Panel]]-Table333456789101211212223242527[[#This Row],[Our panel]]</f>
        <v>0</v>
      </c>
      <c r="I47" s="13">
        <f>Table333456789101211212223242527[[#This Row],[MTD Company]]-Table333456789101211212223242527[[#This Row],[MTD Panel]]</f>
        <v>0</v>
      </c>
    </row>
    <row r="48" spans="1:9">
      <c r="A48" s="11" t="str">
        <f>Table333456789101217[[#This Row],[Carrier]]</f>
        <v>Delusion</v>
      </c>
      <c r="B48" s="5" t="str">
        <f>Table333456789101217[[#This Row],[IP]]</f>
        <v>198.51.100.72/69.887.74.738/39.153.110.645</v>
      </c>
      <c r="C48" s="6" t="str">
        <f>Table333456789101217[[#This Row],[Carrier Code]]</f>
        <v>DU</v>
      </c>
      <c r="D48" s="7">
        <v>0</v>
      </c>
      <c r="E48" s="7">
        <v>0</v>
      </c>
      <c r="F48" s="18">
        <f>Table333456789101211212223242527[[#This Row],[Company Panel]]+Table333456789101211212223242526[[#This Row],[MTD Company]]</f>
        <v>0</v>
      </c>
      <c r="G48" s="18">
        <f>Table333456789101211212223242527[[#This Row],[Our panel]]+Table333456789101211212223242526[[#This Row],[MTD Panel]]</f>
        <v>0</v>
      </c>
      <c r="H48" s="13">
        <f>Table333456789101211212223242527[[#This Row],[Company Panel]]-Table333456789101211212223242527[[#This Row],[Our panel]]</f>
        <v>0</v>
      </c>
      <c r="I48" s="13">
        <f>Table333456789101211212223242527[[#This Row],[MTD Company]]-Table333456789101211212223242527[[#This Row],[MTD Panel]]</f>
        <v>0</v>
      </c>
    </row>
    <row r="49" spans="1:9" ht="15.5">
      <c r="A49" s="11" t="str">
        <f>Table333456789101217[[#This Row],[Carrier]]</f>
        <v>Total</v>
      </c>
      <c r="B49" s="14"/>
      <c r="C49" s="15"/>
      <c r="D49" s="16">
        <f>SUM(D3:D48)</f>
        <v>2191.6000000000004</v>
      </c>
      <c r="E49" s="16">
        <f t="shared" ref="E49:I49" si="0">SUM(E3:E48)</f>
        <v>2191.6000000000004</v>
      </c>
      <c r="F49" s="16">
        <f t="shared" si="0"/>
        <v>180243.65</v>
      </c>
      <c r="G49" s="16">
        <f t="shared" si="0"/>
        <v>180243.65</v>
      </c>
      <c r="H49" s="16">
        <f t="shared" si="0"/>
        <v>0</v>
      </c>
      <c r="I49" s="16">
        <f t="shared" si="0"/>
        <v>0</v>
      </c>
    </row>
  </sheetData>
  <conditionalFormatting sqref="H2:I48">
    <cfRule type="cellIs" dxfId="205" priority="12" operator="lessThan">
      <formula>0</formula>
    </cfRule>
  </conditionalFormatting>
  <conditionalFormatting sqref="I30:I48">
    <cfRule type="cellIs" dxfId="204" priority="11" operator="lessThan">
      <formula>0</formula>
    </cfRule>
  </conditionalFormatting>
  <conditionalFormatting sqref="H3:I48">
    <cfRule type="cellIs" dxfId="203" priority="10" operator="lessThan">
      <formula>0</formula>
    </cfRule>
  </conditionalFormatting>
  <conditionalFormatting sqref="I30:I48">
    <cfRule type="cellIs" dxfId="202" priority="9" operator="lessThan">
      <formula>0</formula>
    </cfRule>
  </conditionalFormatting>
  <conditionalFormatting sqref="I3:I48">
    <cfRule type="cellIs" dxfId="201" priority="1" operator="lessThan">
      <formula>0</formula>
    </cfRule>
    <cfRule type="cellIs" dxfId="200" priority="2" operator="lessThan">
      <formula>0</formula>
    </cfRule>
  </conditionalFormatting>
  <hyperlinks>
    <hyperlink ref="E1" location="H!A1" display="Home"/>
    <hyperlink ref="D1" location="'19'!D1" display="←"/>
    <hyperlink ref="F1" location="'21'!F1" display="→"/>
  </hyperlinks>
  <pageMargins left="0.7" right="0.7" top="0.75" bottom="0.75" header="0.3" footer="0.3"/>
  <pageSetup orientation="portrait" verticalDpi="0" r:id="rId1"/>
  <drawing r:id="rId2"/>
  <tableParts count="1">
    <tablePart r:id="rId3"/>
  </tablePart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2"/>
  <sheetViews>
    <sheetView workbookViewId="0">
      <selection activeCell="D49" sqref="D49"/>
    </sheetView>
  </sheetViews>
  <sheetFormatPr defaultRowHeight="14.5"/>
  <cols>
    <col min="1" max="1" width="26.7265625" bestFit="1" customWidth="1"/>
    <col min="2" max="2" width="37" bestFit="1" customWidth="1"/>
    <col min="3" max="3" width="10.453125" customWidth="1"/>
    <col min="4" max="9" width="12.7265625" customWidth="1"/>
  </cols>
  <sheetData>
    <row r="1" spans="1:12" ht="18.5">
      <c r="A1" s="23" t="str">
        <f>H!D6</f>
        <v>21st April 2025</v>
      </c>
      <c r="B1" s="24"/>
      <c r="C1" s="24"/>
      <c r="D1" s="22" t="s">
        <v>16</v>
      </c>
      <c r="E1" s="22" t="s">
        <v>9</v>
      </c>
      <c r="F1" s="22" t="s">
        <v>17</v>
      </c>
    </row>
    <row r="2" spans="1:12" ht="31">
      <c r="A2" s="1" t="s">
        <v>0</v>
      </c>
      <c r="B2" s="2" t="s">
        <v>1</v>
      </c>
      <c r="C2" s="2" t="s">
        <v>2</v>
      </c>
      <c r="D2" s="2" t="s">
        <v>3</v>
      </c>
      <c r="E2" s="2" t="s">
        <v>11</v>
      </c>
      <c r="F2" s="2" t="s">
        <v>4</v>
      </c>
      <c r="G2" s="4" t="s">
        <v>6</v>
      </c>
      <c r="H2" s="4" t="s">
        <v>7</v>
      </c>
      <c r="I2" s="3" t="s">
        <v>8</v>
      </c>
    </row>
    <row r="3" spans="1:12">
      <c r="A3" s="11" t="str">
        <f>Table333456789101217[[#This Row],[Carrier]]</f>
        <v>Blaze</v>
      </c>
      <c r="B3" s="5" t="str">
        <f>Table333456789101217[[#This Row],[IP]]</f>
        <v>8.12.34.56/48.163.17.845/60.502.86.203/191.45.28.14</v>
      </c>
      <c r="C3" s="6" t="str">
        <f>Table333456789101217[[#This Row],[Carrier Code]]</f>
        <v>BZ</v>
      </c>
      <c r="D3" s="53">
        <v>0</v>
      </c>
      <c r="E3" s="53">
        <v>0</v>
      </c>
      <c r="F3" s="18">
        <f>Table33345678910121121222324252728[[#This Row],[Company Panel]]+Table333456789101211212223242527[[#This Row],[MTD Company]]</f>
        <v>0</v>
      </c>
      <c r="G3" s="18">
        <f>Table33345678910121121222324252728[[#This Row],[Our panel]]+Table333456789101211212223242527[[#This Row],[MTD Panel]]</f>
        <v>0</v>
      </c>
      <c r="H3" s="13">
        <f>Table33345678910121121222324252728[[#This Row],[Company Panel]]-Table33345678910121121222324252728[[#This Row],[Our panel]]</f>
        <v>0</v>
      </c>
      <c r="I3" s="13">
        <f>Table33345678910121121222324252728[[#This Row],[MTD Company]]-Table33345678910121121222324252728[[#This Row],[MTD Panel]]</f>
        <v>0</v>
      </c>
    </row>
    <row r="4" spans="1:12">
      <c r="A4" s="11" t="str">
        <f>Table333456789101217[[#This Row],[Carrier]]</f>
        <v>Titan</v>
      </c>
      <c r="B4" s="5" t="str">
        <f>Table333456789101217[[#This Row],[IP]]</f>
        <v>123.45.67.89/123.45.67.93/203.24.101.65</v>
      </c>
      <c r="C4" s="6" t="str">
        <f>Table333456789101217[[#This Row],[Carrier Code]]</f>
        <v>TI</v>
      </c>
      <c r="D4" s="53">
        <v>0.3</v>
      </c>
      <c r="E4" s="53">
        <v>0.3</v>
      </c>
      <c r="F4" s="18">
        <f>Table33345678910121121222324252728[[#This Row],[Company Panel]]+Table333456789101211212223242527[[#This Row],[MTD Company]]</f>
        <v>325.4666666666667</v>
      </c>
      <c r="G4" s="18">
        <f>Table33345678910121121222324252728[[#This Row],[Our panel]]+Table333456789101211212223242527[[#This Row],[MTD Panel]]</f>
        <v>325.4666666666667</v>
      </c>
      <c r="H4" s="13">
        <f>Table33345678910121121222324252728[[#This Row],[Company Panel]]-Table33345678910121121222324252728[[#This Row],[Our panel]]</f>
        <v>0</v>
      </c>
      <c r="I4" s="13">
        <f>Table33345678910121121222324252728[[#This Row],[MTD Company]]-Table33345678910121121222324252728[[#This Row],[MTD Panel]]</f>
        <v>0</v>
      </c>
      <c r="L4" s="9"/>
    </row>
    <row r="5" spans="1:12">
      <c r="A5" s="11" t="str">
        <f>Table333456789101217[[#This Row],[Carrier]]</f>
        <v>Hollow</v>
      </c>
      <c r="B5" s="5" t="str">
        <f>Table333456789101217[[#This Row],[IP]]</f>
        <v>204.56.78.100/204.56.57.169/52.94.101.12</v>
      </c>
      <c r="C5" s="6" t="str">
        <f>Table333456789101217[[#This Row],[Carrier Code]]</f>
        <v>HO</v>
      </c>
      <c r="D5" s="53">
        <v>0</v>
      </c>
      <c r="E5" s="53">
        <v>0</v>
      </c>
      <c r="F5" s="18">
        <f>Table33345678910121121222324252728[[#This Row],[Company Panel]]+Table333456789101211212223242527[[#This Row],[MTD Company]]</f>
        <v>0</v>
      </c>
      <c r="G5" s="18">
        <f>Table33345678910121121222324252728[[#This Row],[Our panel]]+Table333456789101211212223242527[[#This Row],[MTD Panel]]</f>
        <v>0</v>
      </c>
      <c r="H5" s="13">
        <f>Table33345678910121121222324252728[[#This Row],[Company Panel]]-Table33345678910121121222324252728[[#This Row],[Our panel]]</f>
        <v>0</v>
      </c>
      <c r="I5" s="13">
        <f>Table33345678910121121222324252728[[#This Row],[MTD Company]]-Table33345678910121121222324252728[[#This Row],[MTD Panel]]</f>
        <v>0</v>
      </c>
    </row>
    <row r="6" spans="1:12">
      <c r="A6" s="11" t="str">
        <f>Table333456789101217[[#This Row],[Carrier]]</f>
        <v>Prism</v>
      </c>
      <c r="B6" s="5" t="str">
        <f>Table333456789101217[[#This Row],[IP]]</f>
        <v>35.118.22.45/137.63.112.25</v>
      </c>
      <c r="C6" s="6" t="str">
        <f>Table333456789101217[[#This Row],[Carrier Code]]</f>
        <v>PS</v>
      </c>
      <c r="D6" s="53">
        <v>1729.9666666666667</v>
      </c>
      <c r="E6" s="53">
        <v>1729.9666666666667</v>
      </c>
      <c r="F6" s="18">
        <f>Table33345678910121121222324252728[[#This Row],[Company Panel]]+Table333456789101211212223242527[[#This Row],[MTD Company]]</f>
        <v>68413.433333333305</v>
      </c>
      <c r="G6" s="18">
        <f>Table33345678910121121222324252728[[#This Row],[Our panel]]+Table333456789101211212223242527[[#This Row],[MTD Panel]]</f>
        <v>68413.433333333305</v>
      </c>
      <c r="H6" s="13">
        <f>Table33345678910121121222324252728[[#This Row],[Company Panel]]-Table33345678910121121222324252728[[#This Row],[Our panel]]</f>
        <v>0</v>
      </c>
      <c r="I6" s="13">
        <f>Table33345678910121121222324252728[[#This Row],[MTD Company]]-Table33345678910121121222324252728[[#This Row],[MTD Panel]]</f>
        <v>0</v>
      </c>
    </row>
    <row r="7" spans="1:12">
      <c r="A7" s="11" t="str">
        <f>Table333456789101217[[#This Row],[Carrier]]</f>
        <v>Echo</v>
      </c>
      <c r="B7" s="5" t="str">
        <f>Table333456789101217[[#This Row],[IP]]</f>
        <v>66.89.101.10/66.89.101.19/66.89.101.23/66.89.101.45/66.89.101.81/85.21.34.99</v>
      </c>
      <c r="C7" s="6" t="str">
        <f>Table333456789101217[[#This Row],[Carrier Code]]</f>
        <v>EC</v>
      </c>
      <c r="D7" s="53">
        <v>6.65</v>
      </c>
      <c r="E7" s="53">
        <v>6.65</v>
      </c>
      <c r="F7" s="18">
        <f>Table33345678910121121222324252728[[#This Row],[Company Panel]]+Table333456789101211212223242527[[#This Row],[MTD Company]]</f>
        <v>67.183333333333337</v>
      </c>
      <c r="G7" s="18">
        <f>Table33345678910121121222324252728[[#This Row],[Our panel]]+Table333456789101211212223242527[[#This Row],[MTD Panel]]</f>
        <v>67.183333333333337</v>
      </c>
      <c r="H7" s="13">
        <f>Table33345678910121121222324252728[[#This Row],[Company Panel]]-Table33345678910121121222324252728[[#This Row],[Our panel]]</f>
        <v>0</v>
      </c>
      <c r="I7" s="13">
        <f>Table33345678910121121222324252728[[#This Row],[MTD Company]]-Table33345678910121121222324252728[[#This Row],[MTD Panel]]</f>
        <v>0</v>
      </c>
    </row>
    <row r="8" spans="1:12">
      <c r="A8" s="11" t="str">
        <f>Table333456789101217[[#This Row],[Carrier]]</f>
        <v>Strike</v>
      </c>
      <c r="B8" s="5" t="str">
        <f>Table333456789101217[[#This Row],[IP]]</f>
        <v>100.200.150.3/100.200.165.38/41.102.90.78</v>
      </c>
      <c r="C8" s="6" t="str">
        <f>Table333456789101217[[#This Row],[Carrier Code]]</f>
        <v>ST</v>
      </c>
      <c r="D8" s="53">
        <v>88</v>
      </c>
      <c r="E8" s="53">
        <v>88</v>
      </c>
      <c r="F8" s="18">
        <f>Table33345678910121121222324252728[[#This Row],[Company Panel]]+Table333456789101211212223242527[[#This Row],[MTD Company]]</f>
        <v>2171.7666666666664</v>
      </c>
      <c r="G8" s="18">
        <f>Table33345678910121121222324252728[[#This Row],[Our panel]]+Table333456789101211212223242527[[#This Row],[MTD Panel]]</f>
        <v>2171.7666666666664</v>
      </c>
      <c r="H8" s="13">
        <f>Table33345678910121121222324252728[[#This Row],[Company Panel]]-Table33345678910121121222324252728[[#This Row],[Our panel]]</f>
        <v>0</v>
      </c>
      <c r="I8" s="13">
        <f>Table33345678910121121222324252728[[#This Row],[MTD Company]]-Table33345678910121121222324252728[[#This Row],[MTD Panel]]</f>
        <v>0</v>
      </c>
      <c r="L8" s="9"/>
    </row>
    <row r="9" spans="1:12">
      <c r="A9" s="11" t="str">
        <f>Table333456789101217[[#This Row],[Carrier]]</f>
        <v>Blunt</v>
      </c>
      <c r="B9" s="5" t="str">
        <f>Table333456789101217[[#This Row],[IP]]</f>
        <v>52.28.191.25/52.28.191.38/52.28.191.24/61.110.23.45</v>
      </c>
      <c r="C9" s="6" t="str">
        <f>Table333456789101217[[#This Row],[Carrier Code]]</f>
        <v>BL</v>
      </c>
      <c r="D9" s="53">
        <v>111.85</v>
      </c>
      <c r="E9" s="53">
        <v>111.85</v>
      </c>
      <c r="F9" s="18">
        <f>Table33345678910121121222324252728[[#This Row],[Company Panel]]+Table333456789101211212223242527[[#This Row],[MTD Company]]</f>
        <v>10230.400000000001</v>
      </c>
      <c r="G9" s="18">
        <f>Table33345678910121121222324252728[[#This Row],[Our panel]]+Table333456789101211212223242527[[#This Row],[MTD Panel]]</f>
        <v>10230.400000000001</v>
      </c>
      <c r="H9" s="13">
        <f>Table33345678910121121222324252728[[#This Row],[Company Panel]]-Table33345678910121121222324252728[[#This Row],[Our panel]]</f>
        <v>0</v>
      </c>
      <c r="I9" s="13">
        <f>Table33345678910121121222324252728[[#This Row],[MTD Company]]-Table33345678910121121222324252728[[#This Row],[MTD Panel]]</f>
        <v>0</v>
      </c>
    </row>
    <row r="10" spans="1:12">
      <c r="A10" s="11" t="str">
        <f>Table333456789101217[[#This Row],[Carrier]]</f>
        <v>Law</v>
      </c>
      <c r="B10" s="5" t="str">
        <f>Table333456789101217[[#This Row],[IP]]</f>
        <v>77.88.99.21/77.88.99.88/77.88.99.94/110.56.211.7</v>
      </c>
      <c r="C10" s="6" t="str">
        <f>Table333456789101217[[#This Row],[Carrier Code]]</f>
        <v>LA</v>
      </c>
      <c r="D10" s="53">
        <v>0</v>
      </c>
      <c r="E10" s="53">
        <v>0</v>
      </c>
      <c r="F10" s="18">
        <f>Table33345678910121121222324252728[[#This Row],[Company Panel]]+Table333456789101211212223242527[[#This Row],[MTD Company]]</f>
        <v>0</v>
      </c>
      <c r="G10" s="18">
        <f>Table33345678910121121222324252728[[#This Row],[Our panel]]+Table333456789101211212223242527[[#This Row],[MTD Panel]]</f>
        <v>0</v>
      </c>
      <c r="H10" s="13">
        <f>Table33345678910121121222324252728[[#This Row],[Company Panel]]-Table33345678910121121222324252728[[#This Row],[Our panel]]</f>
        <v>0</v>
      </c>
      <c r="I10" s="13">
        <f>Table33345678910121121222324252728[[#This Row],[MTD Company]]-Table33345678910121121222324252728[[#This Row],[MTD Panel]]</f>
        <v>0</v>
      </c>
    </row>
    <row r="11" spans="1:12">
      <c r="A11" s="11" t="str">
        <f>Table333456789101217[[#This Row],[Carrier]]</f>
        <v>Pulse</v>
      </c>
      <c r="B11" s="5" t="str">
        <f>Table333456789101217[[#This Row],[IP]]</f>
        <v>198.51.100.130/31.725.16.608/66.59.61.503/167.34.122.90</v>
      </c>
      <c r="C11" s="6" t="str">
        <f>Table333456789101217[[#This Row],[Carrier Code]]</f>
        <v>PU</v>
      </c>
      <c r="D11" s="53">
        <v>0</v>
      </c>
      <c r="E11" s="53">
        <v>0</v>
      </c>
      <c r="F11" s="18">
        <f>Table33345678910121121222324252728[[#This Row],[Company Panel]]+Table333456789101211212223242527[[#This Row],[MTD Company]]</f>
        <v>0</v>
      </c>
      <c r="G11" s="18">
        <f>Table33345678910121121222324252728[[#This Row],[Our panel]]+Table333456789101211212223242527[[#This Row],[MTD Panel]]</f>
        <v>0</v>
      </c>
      <c r="H11" s="13">
        <f>Table33345678910121121222324252728[[#This Row],[Company Panel]]-Table33345678910121121222324252728[[#This Row],[Our panel]]</f>
        <v>0</v>
      </c>
      <c r="I11" s="13">
        <f>Table33345678910121121222324252728[[#This Row],[MTD Company]]-Table33345678910121121222324252728[[#This Row],[MTD Panel]]</f>
        <v>0</v>
      </c>
    </row>
    <row r="12" spans="1:12">
      <c r="A12" s="11" t="str">
        <f>Table333456789101217[[#This Row],[Carrier]]</f>
        <v>Phantom</v>
      </c>
      <c r="B12" s="5" t="str">
        <f>Table333456789101217[[#This Row],[IP]]</f>
        <v>141.15.210.67/141.15.42.82/179.62.211.4</v>
      </c>
      <c r="C12" s="6" t="str">
        <f>Table333456789101217[[#This Row],[Carrier Code]]</f>
        <v>PH</v>
      </c>
      <c r="D12" s="53">
        <v>1.2166666666666666</v>
      </c>
      <c r="E12" s="53">
        <v>1.2166666666666666</v>
      </c>
      <c r="F12" s="18">
        <f>Table33345678910121121222324252728[[#This Row],[Company Panel]]+Table333456789101211212223242527[[#This Row],[MTD Company]]</f>
        <v>3354.6999999999994</v>
      </c>
      <c r="G12" s="18">
        <f>Table33345678910121121222324252728[[#This Row],[Our panel]]+Table333456789101211212223242527[[#This Row],[MTD Panel]]</f>
        <v>3354.6999999999994</v>
      </c>
      <c r="H12" s="13">
        <f>Table33345678910121121222324252728[[#This Row],[Company Panel]]-Table33345678910121121222324252728[[#This Row],[Our panel]]</f>
        <v>0</v>
      </c>
      <c r="I12" s="13">
        <f>Table33345678910121121222324252728[[#This Row],[MTD Company]]-Table33345678910121121222324252728[[#This Row],[MTD Panel]]</f>
        <v>0</v>
      </c>
    </row>
    <row r="13" spans="1:12">
      <c r="A13" s="11" t="str">
        <f>Table333456789101217[[#This Row],[Carrier]]</f>
        <v>Dragon</v>
      </c>
      <c r="B13" s="5" t="str">
        <f>Table333456789101217[[#This Row],[IP]]</f>
        <v>12.34.56.78/12.34.56.128/200.180.245.18</v>
      </c>
      <c r="C13" s="6" t="str">
        <f>Table333456789101217[[#This Row],[Carrier Code]]</f>
        <v>DG</v>
      </c>
      <c r="D13" s="53">
        <v>0</v>
      </c>
      <c r="E13" s="53">
        <v>0</v>
      </c>
      <c r="F13" s="18">
        <f>Table33345678910121121222324252728[[#This Row],[Company Panel]]+Table333456789101211212223242527[[#This Row],[MTD Company]]</f>
        <v>0</v>
      </c>
      <c r="G13" s="18">
        <f>Table33345678910121121222324252728[[#This Row],[Our panel]]+Table333456789101211212223242527[[#This Row],[MTD Panel]]</f>
        <v>0</v>
      </c>
      <c r="H13" s="13">
        <f>Table33345678910121121222324252728[[#This Row],[Company Panel]]-Table33345678910121121222324252728[[#This Row],[Our panel]]</f>
        <v>0</v>
      </c>
      <c r="I13" s="13">
        <f>Table33345678910121121222324252728[[#This Row],[MTD Company]]-Table33345678910121121222324252728[[#This Row],[MTD Panel]]</f>
        <v>0</v>
      </c>
    </row>
    <row r="14" spans="1:12">
      <c r="A14" s="11" t="str">
        <f>Table333456789101217[[#This Row],[Carrier]]</f>
        <v>Tempest</v>
      </c>
      <c r="B14" s="5" t="str">
        <f>Table333456789101217[[#This Row],[IP]]</f>
        <v>59.144.223.88/55.39.99.60</v>
      </c>
      <c r="C14" s="6" t="str">
        <f>Table333456789101217[[#This Row],[Carrier Code]]</f>
        <v>TE</v>
      </c>
      <c r="D14" s="53">
        <v>0</v>
      </c>
      <c r="E14" s="53">
        <v>0</v>
      </c>
      <c r="F14" s="18">
        <f>Table33345678910121121222324252728[[#This Row],[Company Panel]]+Table333456789101211212223242527[[#This Row],[MTD Company]]</f>
        <v>0</v>
      </c>
      <c r="G14" s="18">
        <f>Table33345678910121121222324252728[[#This Row],[Our panel]]+Table333456789101211212223242527[[#This Row],[MTD Panel]]</f>
        <v>0</v>
      </c>
      <c r="H14" s="13">
        <f>Table33345678910121121222324252728[[#This Row],[Company Panel]]-Table33345678910121121222324252728[[#This Row],[Our panel]]</f>
        <v>0</v>
      </c>
      <c r="I14" s="13">
        <f>Table33345678910121121222324252728[[#This Row],[MTD Company]]-Table33345678910121121222324252728[[#This Row],[MTD Panel]]</f>
        <v>0</v>
      </c>
    </row>
    <row r="15" spans="1:12">
      <c r="A15" s="11" t="str">
        <f>Table333456789101217[[#This Row],[Carrier]]</f>
        <v>Shadow</v>
      </c>
      <c r="B15" s="5" t="str">
        <f>Table333456789101217[[#This Row],[IP]]</f>
        <v>175.45.112.100/25.851.31.153/39.80.220.100</v>
      </c>
      <c r="C15" s="6" t="str">
        <f>Table333456789101217[[#This Row],[Carrier Code]]</f>
        <v>SH</v>
      </c>
      <c r="D15" s="53">
        <v>0</v>
      </c>
      <c r="E15" s="53">
        <v>0</v>
      </c>
      <c r="F15" s="18">
        <f>Table33345678910121121222324252728[[#This Row],[Company Panel]]+Table333456789101211212223242527[[#This Row],[MTD Company]]</f>
        <v>0.1</v>
      </c>
      <c r="G15" s="18">
        <f>Table33345678910121121222324252728[[#This Row],[Our panel]]+Table333456789101211212223242527[[#This Row],[MTD Panel]]</f>
        <v>0.1</v>
      </c>
      <c r="H15" s="13">
        <f>Table33345678910121121222324252728[[#This Row],[Company Panel]]-Table33345678910121121222324252728[[#This Row],[Our panel]]</f>
        <v>0</v>
      </c>
      <c r="I15" s="13">
        <f>Table33345678910121121222324252728[[#This Row],[MTD Company]]-Table33345678910121121222324252728[[#This Row],[MTD Panel]]</f>
        <v>0</v>
      </c>
    </row>
    <row r="16" spans="1:12">
      <c r="A16" s="11" t="str">
        <f>Table333456789101217[[#This Row],[Carrier]]</f>
        <v>Cyclone</v>
      </c>
      <c r="B16" s="5" t="str">
        <f>Table333456789101217[[#This Row],[IP]]</f>
        <v>150.13.75.190/16.160.89.512/72.11.97.34</v>
      </c>
      <c r="C16" s="6" t="str">
        <f>Table333456789101217[[#This Row],[Carrier Code]]</f>
        <v>CY</v>
      </c>
      <c r="D16" s="53">
        <v>0</v>
      </c>
      <c r="E16" s="53">
        <v>0</v>
      </c>
      <c r="F16" s="18">
        <f>Table33345678910121121222324252728[[#This Row],[Company Panel]]+Table333456789101211212223242527[[#This Row],[MTD Company]]</f>
        <v>0</v>
      </c>
      <c r="G16" s="18">
        <f>Table33345678910121121222324252728[[#This Row],[Our panel]]+Table333456789101211212223242527[[#This Row],[MTD Panel]]</f>
        <v>0</v>
      </c>
      <c r="H16" s="13">
        <f>Table33345678910121121222324252728[[#This Row],[Company Panel]]-Table33345678910121121222324252728[[#This Row],[Our panel]]</f>
        <v>0</v>
      </c>
      <c r="I16" s="13">
        <f>Table33345678910121121222324252728[[#This Row],[MTD Company]]-Table33345678910121121222324252728[[#This Row],[MTD Panel]]</f>
        <v>0</v>
      </c>
    </row>
    <row r="17" spans="1:9">
      <c r="A17" s="11" t="str">
        <f>Table333456789101217[[#This Row],[Carrier]]</f>
        <v>Reaver</v>
      </c>
      <c r="B17" s="5" t="str">
        <f>Table333456789101217[[#This Row],[IP]]</f>
        <v>203.0.113.44/188.17.56.210</v>
      </c>
      <c r="C17" s="6" t="str">
        <f>Table333456789101217[[#This Row],[Carrier Code]]</f>
        <v>RE</v>
      </c>
      <c r="D17" s="53">
        <v>0</v>
      </c>
      <c r="E17" s="53">
        <v>0</v>
      </c>
      <c r="F17" s="18">
        <f>Table33345678910121121222324252728[[#This Row],[Company Panel]]+Table333456789101211212223242527[[#This Row],[MTD Company]]</f>
        <v>0</v>
      </c>
      <c r="G17" s="18">
        <f>Table33345678910121121222324252728[[#This Row],[Our panel]]+Table333456789101211212223242527[[#This Row],[MTD Panel]]</f>
        <v>0</v>
      </c>
      <c r="H17" s="13">
        <f>Table33345678910121121222324252728[[#This Row],[Company Panel]]-Table33345678910121121222324252728[[#This Row],[Our panel]]</f>
        <v>0</v>
      </c>
      <c r="I17" s="13">
        <f>Table33345678910121121222324252728[[#This Row],[MTD Company]]-Table33345678910121121222324252728[[#This Row],[MTD Panel]]</f>
        <v>0</v>
      </c>
    </row>
    <row r="18" spans="1:9">
      <c r="A18" s="11" t="str">
        <f>Table333456789101217[[#This Row],[Carrier]]</f>
        <v>Forge</v>
      </c>
      <c r="B18" s="5" t="str">
        <f>Table333456789101217[[#This Row],[IP]]</f>
        <v>112.54.89.168/112.54.89.138</v>
      </c>
      <c r="C18" s="6" t="str">
        <f>Table333456789101217[[#This Row],[Carrier Code]]</f>
        <v>FO</v>
      </c>
      <c r="D18" s="53">
        <v>36.583333333333336</v>
      </c>
      <c r="E18" s="53">
        <v>36.583333333333336</v>
      </c>
      <c r="F18" s="18">
        <f>Table33345678910121121222324252728[[#This Row],[Company Panel]]+Table333456789101211212223242527[[#This Row],[MTD Company]]</f>
        <v>531.11666666666667</v>
      </c>
      <c r="G18" s="18">
        <f>Table33345678910121121222324252728[[#This Row],[Our panel]]+Table333456789101211212223242527[[#This Row],[MTD Panel]]</f>
        <v>531.11666666666667</v>
      </c>
      <c r="H18" s="13">
        <f>Table33345678910121121222324252728[[#This Row],[Company Panel]]-Table33345678910121121222324252728[[#This Row],[Our panel]]</f>
        <v>0</v>
      </c>
      <c r="I18" s="13">
        <f>Table33345678910121121222324252728[[#This Row],[MTD Company]]-Table33345678910121121222324252728[[#This Row],[MTD Panel]]</f>
        <v>0</v>
      </c>
    </row>
    <row r="19" spans="1:9">
      <c r="A19" s="11" t="str">
        <f>Table333456789101217[[#This Row],[Carrier]]</f>
        <v>Ember</v>
      </c>
      <c r="B19" s="5" t="str">
        <f>Table333456789101217[[#This Row],[IP]]</f>
        <v>78.34.90.24/328.56.122.44/142.150.75.22</v>
      </c>
      <c r="C19" s="6" t="str">
        <f>Table333456789101217[[#This Row],[Carrier Code]]</f>
        <v>EM</v>
      </c>
      <c r="D19" s="53">
        <v>0</v>
      </c>
      <c r="E19" s="53">
        <v>0</v>
      </c>
      <c r="F19" s="18">
        <f>Table33345678910121121222324252728[[#This Row],[Company Panel]]+Table333456789101211212223242527[[#This Row],[MTD Company]]</f>
        <v>0</v>
      </c>
      <c r="G19" s="18">
        <f>Table33345678910121121222324252728[[#This Row],[Our panel]]+Table333456789101211212223242527[[#This Row],[MTD Panel]]</f>
        <v>0</v>
      </c>
      <c r="H19" s="13">
        <f>Table33345678910121121222324252728[[#This Row],[Company Panel]]-Table33345678910121121222324252728[[#This Row],[Our panel]]</f>
        <v>0</v>
      </c>
      <c r="I19" s="13">
        <f>Table33345678910121121222324252728[[#This Row],[MTD Company]]-Table33345678910121121222324252728[[#This Row],[MTD Panel]]</f>
        <v>0</v>
      </c>
    </row>
    <row r="20" spans="1:9">
      <c r="A20" s="11" t="str">
        <f>Table333456789101217[[#This Row],[Carrier]]</f>
        <v>Specter</v>
      </c>
      <c r="B20" s="5" t="str">
        <f>Table333456789101217[[#This Row],[IP]]</f>
        <v>205.60.34.150</v>
      </c>
      <c r="C20" s="6" t="str">
        <f>Table333456789101217[[#This Row],[Carrier Code]]</f>
        <v>SP</v>
      </c>
      <c r="D20" s="53">
        <v>0</v>
      </c>
      <c r="E20" s="53">
        <v>0</v>
      </c>
      <c r="F20" s="18">
        <f>Table33345678910121121222324252728[[#This Row],[Company Panel]]+Table333456789101211212223242527[[#This Row],[MTD Company]]</f>
        <v>11.950000000000003</v>
      </c>
      <c r="G20" s="18">
        <f>Table33345678910121121222324252728[[#This Row],[Our panel]]+Table333456789101211212223242527[[#This Row],[MTD Panel]]</f>
        <v>11.950000000000003</v>
      </c>
      <c r="H20" s="13">
        <f>Table33345678910121121222324252728[[#This Row],[Company Panel]]-Table33345678910121121222324252728[[#This Row],[Our panel]]</f>
        <v>0</v>
      </c>
      <c r="I20" s="13">
        <f>Table33345678910121121222324252728[[#This Row],[MTD Company]]-Table33345678910121121222324252728[[#This Row],[MTD Panel]]</f>
        <v>0</v>
      </c>
    </row>
    <row r="21" spans="1:9">
      <c r="A21" s="11" t="str">
        <f>Table333456789101217[[#This Row],[Carrier]]</f>
        <v>Throne</v>
      </c>
      <c r="B21" s="5" t="str">
        <f>Table333456789101217[[#This Row],[IP]]</f>
        <v>54.32.11.90/27.758.27.201/125.150.58.20</v>
      </c>
      <c r="C21" s="6" t="str">
        <f>Table333456789101217[[#This Row],[Carrier Code]]</f>
        <v>TH</v>
      </c>
      <c r="D21" s="53">
        <v>0</v>
      </c>
      <c r="E21" s="53">
        <v>0</v>
      </c>
      <c r="F21" s="18">
        <f>Table33345678910121121222324252728[[#This Row],[Company Panel]]+Table333456789101211212223242527[[#This Row],[MTD Company]]</f>
        <v>0</v>
      </c>
      <c r="G21" s="18">
        <f>Table33345678910121121222324252728[[#This Row],[Our panel]]+Table333456789101211212223242527[[#This Row],[MTD Panel]]</f>
        <v>0</v>
      </c>
      <c r="H21" s="13">
        <f>Table33345678910121121222324252728[[#This Row],[Company Panel]]-Table33345678910121121222324252728[[#This Row],[Our panel]]</f>
        <v>0</v>
      </c>
      <c r="I21" s="13">
        <f>Table33345678910121121222324252728[[#This Row],[MTD Company]]-Table33345678910121121222324252728[[#This Row],[MTD Panel]]</f>
        <v>0</v>
      </c>
    </row>
    <row r="22" spans="1:9">
      <c r="A22" s="11" t="str">
        <f>Table333456789101217[[#This Row],[Carrier]]</f>
        <v>Arcane</v>
      </c>
      <c r="B22" s="5" t="str">
        <f>Table333456789101217[[#This Row],[IP]]</f>
        <v>212.100.25.78/212.100.25.87</v>
      </c>
      <c r="C22" s="6" t="str">
        <f>Table333456789101217[[#This Row],[Carrier Code]]</f>
        <v>AR</v>
      </c>
      <c r="D22" s="53">
        <v>14.566666666666666</v>
      </c>
      <c r="E22" s="53">
        <v>14.566666666666666</v>
      </c>
      <c r="F22" s="18">
        <f>Table33345678910121121222324252728[[#This Row],[Company Panel]]+Table333456789101211212223242527[[#This Row],[MTD Company]]</f>
        <v>80.75</v>
      </c>
      <c r="G22" s="18">
        <f>Table33345678910121121222324252728[[#This Row],[Our panel]]+Table333456789101211212223242527[[#This Row],[MTD Panel]]</f>
        <v>80.75</v>
      </c>
      <c r="H22" s="13">
        <f>Table33345678910121121222324252728[[#This Row],[Company Panel]]-Table33345678910121121222324252728[[#This Row],[Our panel]]</f>
        <v>0</v>
      </c>
      <c r="I22" s="13">
        <f>Table33345678910121121222324252728[[#This Row],[MTD Company]]-Table33345678910121121222324252728[[#This Row],[MTD Panel]]</f>
        <v>0</v>
      </c>
    </row>
    <row r="23" spans="1:9">
      <c r="A23" s="11" t="str">
        <f>Table333456789101217[[#This Row],[Carrier]]</f>
        <v>Glitch</v>
      </c>
      <c r="B23" s="5" t="str">
        <f>Table333456789101217[[#This Row],[IP]]</f>
        <v>198.204.100.12/198.204.100.34/198.204.100.51</v>
      </c>
      <c r="C23" s="6" t="str">
        <f>Table333456789101217[[#This Row],[Carrier Code]]</f>
        <v>GL</v>
      </c>
      <c r="D23" s="53">
        <v>0</v>
      </c>
      <c r="E23" s="53">
        <v>0</v>
      </c>
      <c r="F23" s="18">
        <f>Table33345678910121121222324252728[[#This Row],[Company Panel]]+Table333456789101211212223242527[[#This Row],[MTD Company]]</f>
        <v>0</v>
      </c>
      <c r="G23" s="18">
        <f>Table33345678910121121222324252728[[#This Row],[Our panel]]+Table333456789101211212223242527[[#This Row],[MTD Panel]]</f>
        <v>0</v>
      </c>
      <c r="H23" s="13">
        <f>Table33345678910121121222324252728[[#This Row],[Company Panel]]-Table33345678910121121222324252728[[#This Row],[Our panel]]</f>
        <v>0</v>
      </c>
      <c r="I23" s="13">
        <f>Table33345678910121121222324252728[[#This Row],[MTD Company]]-Table33345678910121121222324252728[[#This Row],[MTD Panel]]</f>
        <v>0</v>
      </c>
    </row>
    <row r="24" spans="1:9">
      <c r="A24" s="11" t="str">
        <f>Table333456789101217[[#This Row],[Carrier]]</f>
        <v>Nitro</v>
      </c>
      <c r="B24" s="5" t="str">
        <f>Table333456789101217[[#This Row],[IP]]</f>
        <v>15.150.200.33/119.82.200.100</v>
      </c>
      <c r="C24" s="6" t="str">
        <f>Table333456789101217[[#This Row],[Carrier Code]]</f>
        <v>NI</v>
      </c>
      <c r="D24" s="53">
        <v>0</v>
      </c>
      <c r="E24" s="53">
        <v>0</v>
      </c>
      <c r="F24" s="18">
        <f>Table33345678910121121222324252728[[#This Row],[Company Panel]]+Table333456789101211212223242527[[#This Row],[MTD Company]]</f>
        <v>0</v>
      </c>
      <c r="G24" s="18">
        <f>Table33345678910121121222324252728[[#This Row],[Our panel]]+Table333456789101211212223242527[[#This Row],[MTD Panel]]</f>
        <v>0</v>
      </c>
      <c r="H24" s="13">
        <f>Table33345678910121121222324252728[[#This Row],[Company Panel]]-Table33345678910121121222324252728[[#This Row],[Our panel]]</f>
        <v>0</v>
      </c>
      <c r="I24" s="13">
        <f>Table33345678910121121222324252728[[#This Row],[MTD Company]]-Table33345678910121121222324252728[[#This Row],[MTD Panel]]</f>
        <v>0</v>
      </c>
    </row>
    <row r="25" spans="1:9">
      <c r="A25" s="11" t="str">
        <f>Table333456789101217[[#This Row],[Carrier]]</f>
        <v>Drip</v>
      </c>
      <c r="B25" s="5" t="str">
        <f>Table333456789101217[[#This Row],[IP]]</f>
        <v>84.13.76.190/90.945.80.11/198.160.234.5</v>
      </c>
      <c r="C25" s="6" t="str">
        <f>Table333456789101217[[#This Row],[Carrier Code]]</f>
        <v>DR</v>
      </c>
      <c r="D25" s="53">
        <v>0</v>
      </c>
      <c r="E25" s="53">
        <v>0</v>
      </c>
      <c r="F25" s="18">
        <f>Table33345678910121121222324252728[[#This Row],[Company Panel]]+Table333456789101211212223242527[[#This Row],[MTD Company]]</f>
        <v>0</v>
      </c>
      <c r="G25" s="18">
        <f>Table33345678910121121222324252728[[#This Row],[Our panel]]+Table333456789101211212223242527[[#This Row],[MTD Panel]]</f>
        <v>0</v>
      </c>
      <c r="H25" s="13">
        <f>Table33345678910121121222324252728[[#This Row],[Company Panel]]-Table33345678910121121222324252728[[#This Row],[Our panel]]</f>
        <v>0</v>
      </c>
      <c r="I25" s="13">
        <f>Table33345678910121121222324252728[[#This Row],[MTD Company]]-Table33345678910121121222324252728[[#This Row],[MTD Panel]]</f>
        <v>0</v>
      </c>
    </row>
    <row r="26" spans="1:9">
      <c r="A26" s="11" t="str">
        <f>Table333456789101217[[#This Row],[Carrier]]</f>
        <v>Glide</v>
      </c>
      <c r="B26" s="5" t="str">
        <f>Table333456789101217[[#This Row],[IP]]</f>
        <v>120.45.12.25/85.739.221.80/85.739.221.93</v>
      </c>
      <c r="C26" s="6" t="str">
        <f>Table333456789101217[[#This Row],[Carrier Code]]</f>
        <v>GI</v>
      </c>
      <c r="D26" s="53">
        <v>0</v>
      </c>
      <c r="E26" s="53">
        <v>0</v>
      </c>
      <c r="F26" s="18">
        <f>Table33345678910121121222324252728[[#This Row],[Company Panel]]+Table333456789101211212223242527[[#This Row],[MTD Company]]</f>
        <v>0</v>
      </c>
      <c r="G26" s="18">
        <f>Table33345678910121121222324252728[[#This Row],[Our panel]]+Table333456789101211212223242527[[#This Row],[MTD Panel]]</f>
        <v>0</v>
      </c>
      <c r="H26" s="13">
        <f>Table33345678910121121222324252728[[#This Row],[Company Panel]]-Table33345678910121121222324252728[[#This Row],[Our panel]]</f>
        <v>0</v>
      </c>
      <c r="I26" s="13">
        <f>Table33345678910121121222324252728[[#This Row],[MTD Company]]-Table33345678910121121222324252728[[#This Row],[MTD Panel]]</f>
        <v>0</v>
      </c>
    </row>
    <row r="27" spans="1:9">
      <c r="A27" s="11" t="str">
        <f>Table333456789101217[[#This Row],[Carrier]]</f>
        <v>Orbit</v>
      </c>
      <c r="B27" s="5" t="str">
        <f>Table333456789101217[[#This Row],[IP]]</f>
        <v>176.98.54.112/60.110.154.91/60.110.155.162</v>
      </c>
      <c r="C27" s="6" t="str">
        <f>Table333456789101217[[#This Row],[Carrier Code]]</f>
        <v>OR</v>
      </c>
      <c r="D27" s="53">
        <v>0</v>
      </c>
      <c r="E27" s="53">
        <v>0</v>
      </c>
      <c r="F27" s="18">
        <f>Table33345678910121121222324252728[[#This Row],[Company Panel]]+Table333456789101211212223242527[[#This Row],[MTD Company]]</f>
        <v>0</v>
      </c>
      <c r="G27" s="18">
        <f>Table33345678910121121222324252728[[#This Row],[Our panel]]+Table333456789101211212223242527[[#This Row],[MTD Panel]]</f>
        <v>0</v>
      </c>
      <c r="H27" s="13">
        <f>Table33345678910121121222324252728[[#This Row],[Company Panel]]-Table33345678910121121222324252728[[#This Row],[Our panel]]</f>
        <v>0</v>
      </c>
      <c r="I27" s="13">
        <f>Table33345678910121121222324252728[[#This Row],[MTD Company]]-Table33345678910121121222324252728[[#This Row],[MTD Panel]]</f>
        <v>0</v>
      </c>
    </row>
    <row r="28" spans="1:9">
      <c r="A28" s="11" t="str">
        <f>Table333456789101217[[#This Row],[Carrier]]</f>
        <v>Thunder</v>
      </c>
      <c r="B28" s="5" t="str">
        <f>Table333456789101217[[#This Row],[IP]]</f>
        <v>67.102.200.9/81.905.48.847/143.235.100.34</v>
      </c>
      <c r="C28" s="6" t="str">
        <f>Table333456789101217[[#This Row],[Carrier Code]]</f>
        <v>TU</v>
      </c>
      <c r="D28" s="53">
        <v>32.700000000000003</v>
      </c>
      <c r="E28" s="53">
        <v>32.700000000000003</v>
      </c>
      <c r="F28" s="18">
        <f>Table33345678910121121222324252728[[#This Row],[Company Panel]]+Table333456789101211212223242527[[#This Row],[MTD Company]]</f>
        <v>546.46666666666658</v>
      </c>
      <c r="G28" s="18">
        <f>Table33345678910121121222324252728[[#This Row],[Our panel]]+Table333456789101211212223242527[[#This Row],[MTD Panel]]</f>
        <v>546.46666666666658</v>
      </c>
      <c r="H28" s="13">
        <f>Table33345678910121121222324252728[[#This Row],[Company Panel]]-Table33345678910121121222324252728[[#This Row],[Our panel]]</f>
        <v>0</v>
      </c>
      <c r="I28" s="13">
        <f>Table33345678910121121222324252728[[#This Row],[MTD Company]]-Table33345678910121121222324252728[[#This Row],[MTD Panel]]</f>
        <v>0</v>
      </c>
    </row>
    <row r="29" spans="1:9">
      <c r="A29" s="11" t="str">
        <f>Table333456789101217[[#This Row],[Carrier]]</f>
        <v>Glimmer</v>
      </c>
      <c r="B29" s="5" t="str">
        <f>Table333456789101217[[#This Row],[IP]]</f>
        <v>99.22.211.100/71.54.85.344/71.54.85.218</v>
      </c>
      <c r="C29" s="6" t="str">
        <f>Table333456789101217[[#This Row],[Carrier Code]]</f>
        <v>GM</v>
      </c>
      <c r="D29" s="53">
        <v>0</v>
      </c>
      <c r="E29" s="53">
        <v>0</v>
      </c>
      <c r="F29" s="18">
        <f>Table33345678910121121222324252728[[#This Row],[Company Panel]]+Table333456789101211212223242527[[#This Row],[MTD Company]]</f>
        <v>0</v>
      </c>
      <c r="G29" s="18">
        <f>Table33345678910121121222324252728[[#This Row],[Our panel]]+Table333456789101211212223242527[[#This Row],[MTD Panel]]</f>
        <v>0</v>
      </c>
      <c r="H29" s="13">
        <f>Table33345678910121121222324252728[[#This Row],[Company Panel]]-Table33345678910121121222324252728[[#This Row],[Our panel]]</f>
        <v>0</v>
      </c>
      <c r="I29" s="13">
        <f>Table33345678910121121222324252728[[#This Row],[MTD Company]]-Table33345678910121121222324252728[[#This Row],[MTD Panel]]</f>
        <v>0</v>
      </c>
    </row>
    <row r="30" spans="1:9">
      <c r="A30" s="11" t="str">
        <f>Table333456789101217[[#This Row],[Carrier]]</f>
        <v>Fragment</v>
      </c>
      <c r="B30" s="5" t="str">
        <f>Table333456789101217[[#This Row],[IP]]</f>
        <v>203.0.113.56/195.56.101.10</v>
      </c>
      <c r="C30" s="6" t="str">
        <f>Table333456789101217[[#This Row],[Carrier Code]]</f>
        <v>FR</v>
      </c>
      <c r="D30" s="53">
        <v>0</v>
      </c>
      <c r="E30" s="53">
        <v>0</v>
      </c>
      <c r="F30" s="18">
        <f>Table33345678910121121222324252728[[#This Row],[Company Panel]]+Table333456789101211212223242527[[#This Row],[MTD Company]]</f>
        <v>0</v>
      </c>
      <c r="G30" s="18">
        <f>Table33345678910121121222324252728[[#This Row],[Our panel]]+Table333456789101211212223242527[[#This Row],[MTD Panel]]</f>
        <v>0</v>
      </c>
      <c r="H30" s="13">
        <v>0</v>
      </c>
      <c r="I30" s="13">
        <v>0</v>
      </c>
    </row>
    <row r="31" spans="1:9">
      <c r="A31" s="11" t="str">
        <f>Table333456789101217[[#This Row],[Carrier]]</f>
        <v>Dusk</v>
      </c>
      <c r="B31" s="5" t="str">
        <f>Table333456789101217[[#This Row],[IP]]</f>
        <v>33.44.55.66/33.44.55.84/33.44.55.122/214.68.90.122</v>
      </c>
      <c r="C31" s="6" t="str">
        <f>Table333456789101217[[#This Row],[Carrier Code]]</f>
        <v>DK</v>
      </c>
      <c r="D31" s="53">
        <v>0</v>
      </c>
      <c r="E31" s="53">
        <v>0</v>
      </c>
      <c r="F31" s="18">
        <f>Table33345678910121121222324252728[[#This Row],[Company Panel]]+Table333456789101211212223242527[[#This Row],[MTD Company]]</f>
        <v>0</v>
      </c>
      <c r="G31" s="18">
        <f>Table33345678910121121222324252728[[#This Row],[Our panel]]+Table333456789101211212223242527[[#This Row],[MTD Panel]]</f>
        <v>0</v>
      </c>
      <c r="H31" s="13">
        <f>Table33345678910121121222324252728[[#This Row],[Company Panel]]-Table33345678910121121222324252728[[#This Row],[Our panel]]</f>
        <v>0</v>
      </c>
      <c r="I31" s="13">
        <f>Table33345678910121121222324252728[[#This Row],[MTD Company]]-Table33345678910121121222324252728[[#This Row],[MTD Panel]]</f>
        <v>0</v>
      </c>
    </row>
    <row r="32" spans="1:9">
      <c r="A32" s="11" t="str">
        <f>Table333456789101217[[#This Row],[Carrier]]</f>
        <v>Breeze</v>
      </c>
      <c r="B32" s="5" t="str">
        <f>Table333456789101217[[#This Row],[IP]]</f>
        <v>199.123.87.45/199.123.34.52/77.189.22.56</v>
      </c>
      <c r="C32" s="6" t="str">
        <f>Table333456789101217[[#This Row],[Carrier Code]]</f>
        <v>BR</v>
      </c>
      <c r="D32" s="53">
        <v>0</v>
      </c>
      <c r="E32" s="53">
        <v>0</v>
      </c>
      <c r="F32" s="18">
        <f>Table33345678910121121222324252728[[#This Row],[Company Panel]]+Table333456789101211212223242527[[#This Row],[MTD Company]]</f>
        <v>0</v>
      </c>
      <c r="G32" s="18">
        <f>Table33345678910121121222324252728[[#This Row],[Our panel]]+Table333456789101211212223242527[[#This Row],[MTD Panel]]</f>
        <v>0</v>
      </c>
      <c r="H32" s="13">
        <f>Table33345678910121121222324252728[[#This Row],[Company Panel]]-Table33345678910121121222324252728[[#This Row],[Our panel]]</f>
        <v>0</v>
      </c>
      <c r="I32" s="13">
        <f>Table33345678910121121222324252728[[#This Row],[MTD Company]]-Table33345678910121121222324252728[[#This Row],[MTD Panel]]</f>
        <v>0</v>
      </c>
    </row>
    <row r="33" spans="1:9">
      <c r="A33" s="11" t="str">
        <f>Table333456789101217[[#This Row],[Carrier]]</f>
        <v>Clutch</v>
      </c>
      <c r="B33" s="5" t="str">
        <f>Table333456789101217[[#This Row],[IP]]</f>
        <v>55.66.77.88/84.126.79.28/152.233.45.11</v>
      </c>
      <c r="C33" s="6" t="str">
        <f>Table333456789101217[[#This Row],[Carrier Code]]</f>
        <v>CL</v>
      </c>
      <c r="D33" s="53">
        <v>0</v>
      </c>
      <c r="E33" s="53">
        <v>0</v>
      </c>
      <c r="F33" s="18">
        <f>Table33345678910121121222324252728[[#This Row],[Company Panel]]+Table333456789101211212223242527[[#This Row],[MTD Company]]</f>
        <v>0</v>
      </c>
      <c r="G33" s="18">
        <f>Table33345678910121121222324252728[[#This Row],[Our panel]]+Table333456789101211212223242527[[#This Row],[MTD Panel]]</f>
        <v>0</v>
      </c>
      <c r="H33" s="13">
        <f>Table33345678910121121222324252728[[#This Row],[Company Panel]]-Table33345678910121121222324252728[[#This Row],[Our panel]]</f>
        <v>0</v>
      </c>
      <c r="I33" s="13">
        <f>Table33345678910121121222324252728[[#This Row],[MTD Company]]-Table33345678910121121222324252728[[#This Row],[MTD Panel]]</f>
        <v>0</v>
      </c>
    </row>
    <row r="34" spans="1:9">
      <c r="A34" s="11" t="str">
        <f>Table333456789101217[[#This Row],[Carrier]]</f>
        <v>Haze</v>
      </c>
      <c r="B34" s="5" t="str">
        <f>Table333456789101217[[#This Row],[IP]]</f>
        <v>230.111.44.56</v>
      </c>
      <c r="C34" s="6" t="str">
        <f>Table333456789101217[[#This Row],[Carrier Code]]</f>
        <v>HZ</v>
      </c>
      <c r="D34" s="53">
        <v>333</v>
      </c>
      <c r="E34" s="53">
        <v>333</v>
      </c>
      <c r="F34" s="18">
        <f>Table33345678910121121222324252728[[#This Row],[Company Panel]]+Table333456789101211212223242527[[#This Row],[MTD Company]]</f>
        <v>2761.6</v>
      </c>
      <c r="G34" s="18">
        <f>Table33345678910121121222324252728[[#This Row],[Our panel]]+Table333456789101211212223242527[[#This Row],[MTD Panel]]</f>
        <v>2761.6</v>
      </c>
      <c r="H34" s="68">
        <f>Table33345678910121121222324252728[[#This Row],[Company Panel]]-Table33345678910121121222324252728[[#This Row],[Our panel]]</f>
        <v>0</v>
      </c>
      <c r="I34" s="68">
        <f>Table33345678910121121222324252728[[#This Row],[MTD Company]]-Table33345678910121121222324252728[[#This Row],[MTD Panel]]</f>
        <v>0</v>
      </c>
    </row>
    <row r="35" spans="1:9">
      <c r="A35" s="11" t="str">
        <f>Table333456789101217[[#This Row],[Carrier]]</f>
        <v>Vault</v>
      </c>
      <c r="B35" s="5" t="str">
        <f>Table333456789101217[[#This Row],[IP]]</f>
        <v>213.189.94.5/213.189.94.7/111.180.64.222</v>
      </c>
      <c r="C35" s="6" t="str">
        <f>Table333456789101217[[#This Row],[Carrier Code]]</f>
        <v>VA</v>
      </c>
      <c r="D35" s="53">
        <v>0</v>
      </c>
      <c r="E35" s="53">
        <v>0</v>
      </c>
      <c r="F35" s="18">
        <f>Table33345678910121121222324252728[[#This Row],[Company Panel]]+Table333456789101211212223242527[[#This Row],[MTD Company]]</f>
        <v>0</v>
      </c>
      <c r="G35" s="18">
        <f>Table33345678910121121222324252728[[#This Row],[Our panel]]+Table333456789101211212223242527[[#This Row],[MTD Panel]]</f>
        <v>0</v>
      </c>
      <c r="H35" s="68">
        <f>Table33345678910121121222324252728[[#This Row],[Company Panel]]-Table33345678910121121222324252728[[#This Row],[Our panel]]</f>
        <v>0</v>
      </c>
      <c r="I35" s="68">
        <f>Table33345678910121121222324252728[[#This Row],[MTD Company]]-Table33345678910121121222324252728[[#This Row],[MTD Panel]]</f>
        <v>0</v>
      </c>
    </row>
    <row r="36" spans="1:9">
      <c r="A36" s="11" t="str">
        <f>Table333456789101217[[#This Row],[Carrier]]</f>
        <v>Scatter</v>
      </c>
      <c r="B36" s="5" t="str">
        <f>Table333456789101217[[#This Row],[IP]]</f>
        <v>14.123.45.67/168.251.90.15</v>
      </c>
      <c r="C36" s="6" t="str">
        <f>Table333456789101217[[#This Row],[Carrier Code]]</f>
        <v>SC</v>
      </c>
      <c r="D36" s="53">
        <v>59.983333333333334</v>
      </c>
      <c r="E36" s="53">
        <v>59.983333333333334</v>
      </c>
      <c r="F36" s="18">
        <f>Table33345678910121121222324252728[[#This Row],[Company Panel]]+Table333456789101211212223242527[[#This Row],[MTD Company]]</f>
        <v>1164.8666666666666</v>
      </c>
      <c r="G36" s="18">
        <f>Table33345678910121121222324252728[[#This Row],[Our panel]]+Table333456789101211212223242527[[#This Row],[MTD Panel]]</f>
        <v>1164.8666666666666</v>
      </c>
      <c r="H36" s="68">
        <f>Table33345678910121121222324252728[[#This Row],[Company Panel]]-Table33345678910121121222324252728[[#This Row],[Our panel]]</f>
        <v>0</v>
      </c>
      <c r="I36" s="68">
        <f>Table33345678910121121222324252728[[#This Row],[MTD Company]]-Table33345678910121121222324252728[[#This Row],[MTD Panel]]</f>
        <v>0</v>
      </c>
    </row>
    <row r="37" spans="1:9">
      <c r="A37" s="11" t="str">
        <f>Table333456789101217[[#This Row],[Carrier]]</f>
        <v>Hammer</v>
      </c>
      <c r="B37" s="5" t="str">
        <f>Table333456789101217[[#This Row],[IP]]</f>
        <v>200.111.78.9/200.111.236.62/200.111.823.89/137.79.48.56</v>
      </c>
      <c r="C37" s="6" t="str">
        <f>Table333456789101217[[#This Row],[Carrier Code]]</f>
        <v>HA</v>
      </c>
      <c r="D37" s="53">
        <v>0</v>
      </c>
      <c r="E37" s="53">
        <v>0</v>
      </c>
      <c r="F37" s="18">
        <f>Table33345678910121121222324252728[[#This Row],[Company Panel]]+Table333456789101211212223242527[[#This Row],[MTD Company]]</f>
        <v>0</v>
      </c>
      <c r="G37" s="18">
        <f>Table33345678910121121222324252728[[#This Row],[Our panel]]+Table333456789101211212223242527[[#This Row],[MTD Panel]]</f>
        <v>0</v>
      </c>
      <c r="H37" s="72">
        <f>Table33345678910121121222324252728[[#This Row],[Company Panel]]-Table33345678910121121222324252728[[#This Row],[Our panel]]</f>
        <v>0</v>
      </c>
      <c r="I37" s="72">
        <f>Table33345678910121121222324252728[[#This Row],[MTD Company]]-Table33345678910121121222324252728[[#This Row],[MTD Panel]]</f>
        <v>0</v>
      </c>
    </row>
    <row r="38" spans="1:9">
      <c r="A38" s="11" t="str">
        <f>Table333456789101217[[#This Row],[Carrier]]</f>
        <v>Smudge</v>
      </c>
      <c r="B38" s="5" t="str">
        <f>Table333456789101217[[#This Row],[IP]]</f>
        <v>88.99.233.56/54.71.99.234</v>
      </c>
      <c r="C38" s="6" t="str">
        <f>Table333456789101217[[#This Row],[Carrier Code]]</f>
        <v>SM</v>
      </c>
      <c r="D38" s="53">
        <v>9.6999999999999993</v>
      </c>
      <c r="E38" s="53">
        <v>9.6999999999999993</v>
      </c>
      <c r="F38" s="18">
        <f>Table33345678910121121222324252728[[#This Row],[Company Panel]]+Table333456789101211212223242527[[#This Row],[MTD Company]]</f>
        <v>345.25</v>
      </c>
      <c r="G38" s="18">
        <f>Table33345678910121121222324252728[[#This Row],[Our panel]]+Table333456789101211212223242527[[#This Row],[MTD Panel]]</f>
        <v>345.25</v>
      </c>
      <c r="H38" s="72">
        <f>Table33345678910121121222324252728[[#This Row],[Company Panel]]-Table33345678910121121222324252728[[#This Row],[Our panel]]</f>
        <v>0</v>
      </c>
      <c r="I38" s="72">
        <f>Table33345678910121121222324252728[[#This Row],[MTD Company]]-Table33345678910121121222324252728[[#This Row],[MTD Panel]]</f>
        <v>0</v>
      </c>
    </row>
    <row r="39" spans="1:9">
      <c r="A39" s="11" t="str">
        <f>Table333456789101217[[#This Row],[Carrier]]</f>
        <v>Quirk</v>
      </c>
      <c r="B39" s="5" t="str">
        <f>Table333456789101217[[#This Row],[IP]]</f>
        <v>62.45.100.31/62.45.100.15/62.45.100.65/211.95.102.6</v>
      </c>
      <c r="C39" s="6" t="str">
        <f>Table333456789101217[[#This Row],[Carrier Code]]</f>
        <v>QU</v>
      </c>
      <c r="D39" s="53">
        <v>1552.5333333333333</v>
      </c>
      <c r="E39" s="53">
        <v>1552.5333333333333</v>
      </c>
      <c r="F39" s="18">
        <f>Table33345678910121121222324252728[[#This Row],[Company Panel]]+Table333456789101211212223242527[[#This Row],[MTD Company]]</f>
        <v>35828.966666666653</v>
      </c>
      <c r="G39" s="18">
        <f>Table33345678910121121222324252728[[#This Row],[Our panel]]+Table333456789101211212223242527[[#This Row],[MTD Panel]]</f>
        <v>35828.966666666653</v>
      </c>
      <c r="H39" s="72">
        <f>Table33345678910121121222324252728[[#This Row],[Company Panel]]-Table33345678910121121222324252728[[#This Row],[Our panel]]</f>
        <v>0</v>
      </c>
      <c r="I39" s="72">
        <f>Table33345678910121121222324252728[[#This Row],[MTD Company]]-Table33345678910121121222324252728[[#This Row],[MTD Panel]]</f>
        <v>0</v>
      </c>
    </row>
    <row r="40" spans="1:9">
      <c r="A40" s="11" t="str">
        <f>Table333456789101217[[#This Row],[Carrier]]</f>
        <v>Vortex</v>
      </c>
      <c r="B40" s="5" t="str">
        <f>Table333456789101217[[#This Row],[IP]]</f>
        <v>179.250.91.8/29.540.67.457/94.25.34.78/183.144.27.18</v>
      </c>
      <c r="C40" s="6" t="str">
        <f>Table333456789101217[[#This Row],[Carrier Code]]</f>
        <v>VT</v>
      </c>
      <c r="D40" s="53">
        <v>0</v>
      </c>
      <c r="E40" s="53">
        <v>0</v>
      </c>
      <c r="F40" s="18">
        <f>Table33345678910121121222324252728[[#This Row],[Company Panel]]+Table333456789101211212223242527[[#This Row],[MTD Company]]</f>
        <v>0</v>
      </c>
      <c r="G40" s="18">
        <f>Table33345678910121121222324252728[[#This Row],[Our panel]]+Table333456789101211212223242527[[#This Row],[MTD Panel]]</f>
        <v>0</v>
      </c>
      <c r="H40" s="72">
        <f>Table33345678910121121222324252728[[#This Row],[Company Panel]]-Table33345678910121121222324252728[[#This Row],[Our panel]]</f>
        <v>0</v>
      </c>
      <c r="I40" s="72">
        <f>Table33345678910121121222324252728[[#This Row],[MTD Company]]-Table33345678910121121222324252728[[#This Row],[MTD Panel]]</f>
        <v>0</v>
      </c>
    </row>
    <row r="41" spans="1:9">
      <c r="A41" s="11" t="str">
        <f>Table333456789101217[[#This Row],[Carrier]]</f>
        <v>Void</v>
      </c>
      <c r="B41" s="5" t="str">
        <f>Table333456789101217[[#This Row],[IP]]</f>
        <v>156.34.123.11/156.34.123.25/156.34.123.62/92.44.233.110</v>
      </c>
      <c r="C41" s="6" t="str">
        <f>Table333456789101217[[#This Row],[Carrier Code]]</f>
        <v>VO</v>
      </c>
      <c r="D41" s="53">
        <v>32.15</v>
      </c>
      <c r="E41" s="53">
        <v>32.15</v>
      </c>
      <c r="F41" s="18">
        <f>Table33345678910121121222324252728[[#This Row],[Company Panel]]+Table333456789101211212223242527[[#This Row],[MTD Company]]</f>
        <v>866.23333333333323</v>
      </c>
      <c r="G41" s="18">
        <f>Table33345678910121121222324252728[[#This Row],[Our panel]]+Table333456789101211212223242527[[#This Row],[MTD Panel]]</f>
        <v>866.23333333333323</v>
      </c>
      <c r="H41" s="72">
        <f>Table33345678910121121222324252728[[#This Row],[Company Panel]]-Table33345678910121121222324252728[[#This Row],[Our panel]]</f>
        <v>0</v>
      </c>
      <c r="I41" s="72">
        <f>Table33345678910121121222324252728[[#This Row],[MTD Company]]-Table33345678910121121222324252728[[#This Row],[MTD Panel]]</f>
        <v>0</v>
      </c>
    </row>
    <row r="42" spans="1:9">
      <c r="A42" s="11" t="str">
        <f>Table333456789101217[[#This Row],[Carrier]]</f>
        <v>Midnight</v>
      </c>
      <c r="B42" s="5" t="str">
        <f>Table333456789101217[[#This Row],[IP]]</f>
        <v>134.77.22.4/23.97.150.8</v>
      </c>
      <c r="C42" s="6" t="str">
        <f>Table333456789101217[[#This Row],[Carrier Code]]</f>
        <v>MI</v>
      </c>
      <c r="D42" s="53">
        <v>181.21666666666667</v>
      </c>
      <c r="E42" s="53">
        <v>181.21666666666667</v>
      </c>
      <c r="F42" s="18">
        <f>Table33345678910121121222324252728[[#This Row],[Company Panel]]+Table333456789101211212223242527[[#This Row],[MTD Company]]</f>
        <v>6834.2166666666672</v>
      </c>
      <c r="G42" s="18">
        <f>Table33345678910121121222324252728[[#This Row],[Our panel]]+Table333456789101211212223242527[[#This Row],[MTD Panel]]</f>
        <v>6834.2166666666672</v>
      </c>
      <c r="H42" s="72">
        <f>Table33345678910121121222324252728[[#This Row],[Company Panel]]-Table33345678910121121222324252728[[#This Row],[Our panel]]</f>
        <v>0</v>
      </c>
      <c r="I42" s="72">
        <f>Table33345678910121121222324252728[[#This Row],[MTD Company]]-Table33345678910121121222324252728[[#This Row],[MTD Panel]]</f>
        <v>0</v>
      </c>
    </row>
    <row r="43" spans="1:9">
      <c r="A43" s="11" t="str">
        <f>Table333456789101217[[#This Row],[Carrier]]</f>
        <v>Autumn</v>
      </c>
      <c r="B43" s="5" t="str">
        <f>Table333456789101217[[#This Row],[IP]]</f>
        <v>202.54.210.88/12.331.94.73/64.19.28.175</v>
      </c>
      <c r="C43" s="6" t="str">
        <f>Table333456789101217[[#This Row],[Carrier Code]]</f>
        <v>AU</v>
      </c>
      <c r="D43" s="53">
        <v>0</v>
      </c>
      <c r="E43" s="53">
        <v>0</v>
      </c>
      <c r="F43" s="18">
        <f>Table33345678910121121222324252728[[#This Row],[Company Panel]]+Table333456789101211212223242527[[#This Row],[MTD Company]]</f>
        <v>258.31666666666666</v>
      </c>
      <c r="G43" s="18">
        <f>Table33345678910121121222324252728[[#This Row],[Our panel]]+Table333456789101211212223242527[[#This Row],[MTD Panel]]</f>
        <v>258.31666666666666</v>
      </c>
      <c r="H43" s="72">
        <f>Table33345678910121121222324252728[[#This Row],[Company Panel]]-Table33345678910121121222324252728[[#This Row],[Our panel]]</f>
        <v>0</v>
      </c>
      <c r="I43" s="72">
        <f>Table33345678910121121222324252728[[#This Row],[MTD Company]]-Table33345678910121121222324252728[[#This Row],[MTD Panel]]</f>
        <v>0</v>
      </c>
    </row>
    <row r="44" spans="1:9">
      <c r="A44" s="11" t="str">
        <f>Table333456789101217[[#This Row],[Carrier]]</f>
        <v>Mystic</v>
      </c>
      <c r="B44" s="5" t="str">
        <f>Table333456789101217[[#This Row],[IP]]</f>
        <v>51.233.21.76/82.115.35.60/82.115.35.85</v>
      </c>
      <c r="C44" s="6" t="str">
        <f>Table333456789101217[[#This Row],[Carrier Code]]</f>
        <v>MY</v>
      </c>
      <c r="D44" s="53">
        <v>0</v>
      </c>
      <c r="E44" s="53">
        <v>0</v>
      </c>
      <c r="F44" s="18">
        <f>Table33345678910121121222324252728[[#This Row],[Company Panel]]+Table333456789101211212223242527[[#This Row],[MTD Company]]</f>
        <v>0</v>
      </c>
      <c r="G44" s="18">
        <f>Table33345678910121121222324252728[[#This Row],[Our panel]]+Table333456789101211212223242527[[#This Row],[MTD Panel]]</f>
        <v>0</v>
      </c>
      <c r="H44" s="72">
        <f>Table33345678910121121222324252728[[#This Row],[Company Panel]]-Table33345678910121121222324252728[[#This Row],[Our panel]]</f>
        <v>0</v>
      </c>
      <c r="I44" s="72">
        <f>Table33345678910121121222324252728[[#This Row],[MTD Company]]-Table33345678910121121222324252728[[#This Row],[MTD Panel]]</f>
        <v>0</v>
      </c>
    </row>
    <row r="45" spans="1:9">
      <c r="A45" s="11" t="str">
        <f>Table333456789101217[[#This Row],[Carrier]]</f>
        <v>Clover</v>
      </c>
      <c r="B45" s="5" t="str">
        <f>Table333456789101217[[#This Row],[IP]]</f>
        <v>210.150.12.45/84.50.212.66/135.113.88.9</v>
      </c>
      <c r="C45" s="6" t="str">
        <f>Table333456789101217[[#This Row],[Carrier Code]]</f>
        <v>CO</v>
      </c>
      <c r="D45" s="53">
        <v>128.31666666666666</v>
      </c>
      <c r="E45" s="53">
        <v>128.31666666666666</v>
      </c>
      <c r="F45" s="18">
        <f>Table33345678910121121222324252728[[#This Row],[Company Panel]]+Table333456789101211212223242527[[#This Row],[MTD Company]]</f>
        <v>34705.05000000001</v>
      </c>
      <c r="G45" s="18">
        <f>Table33345678910121121222324252728[[#This Row],[Our panel]]+Table333456789101211212223242527[[#This Row],[MTD Panel]]</f>
        <v>34705.05000000001</v>
      </c>
      <c r="H45" s="13">
        <f>Table33345678910121121222324252728[[#This Row],[Company Panel]]-Table33345678910121121222324252728[[#This Row],[Our panel]]</f>
        <v>0</v>
      </c>
      <c r="I45" s="13">
        <f>Table33345678910121121222324252728[[#This Row],[MTD Company]]-Table33345678910121121222324252728[[#This Row],[MTD Panel]]</f>
        <v>0</v>
      </c>
    </row>
    <row r="46" spans="1:9">
      <c r="A46" s="11" t="str">
        <f>Table333456789101217[[#This Row],[Carrier]]</f>
        <v>Hunter</v>
      </c>
      <c r="B46" s="5" t="str">
        <f>Table333456789101217[[#This Row],[IP]]</f>
        <v>170.199.20.87/13.693.39.280/78.30.123.47</v>
      </c>
      <c r="C46" s="6" t="str">
        <f>Table333456789101217[[#This Row],[Carrier Code]]</f>
        <v>HU</v>
      </c>
      <c r="D46" s="53">
        <v>318.73333333333335</v>
      </c>
      <c r="E46" s="53">
        <v>318.73333333333335</v>
      </c>
      <c r="F46" s="18">
        <f>Table33345678910121121222324252728[[#This Row],[Company Panel]]+Table333456789101211212223242527[[#This Row],[MTD Company]]</f>
        <v>16383.283333333333</v>
      </c>
      <c r="G46" s="18">
        <f>Table33345678910121121222324252728[[#This Row],[Our panel]]+Table333456789101211212223242527[[#This Row],[MTD Panel]]</f>
        <v>16383.283333333333</v>
      </c>
      <c r="H46" s="13">
        <f>Table33345678910121121222324252728[[#This Row],[Company Panel]]-Table33345678910121121222324252728[[#This Row],[Our panel]]</f>
        <v>0</v>
      </c>
      <c r="I46" s="13">
        <f>Table33345678910121121222324252728[[#This Row],[MTD Company]]-Table33345678910121121222324252728[[#This Row],[MTD Panel]]</f>
        <v>0</v>
      </c>
    </row>
    <row r="47" spans="1:9">
      <c r="A47" s="11" t="str">
        <f>Table333456789101217[[#This Row],[Carrier]]</f>
        <v>Invaded</v>
      </c>
      <c r="B47" s="5" t="str">
        <f>Table333456789101217[[#This Row],[IP]]</f>
        <v>182.67.99.120/80.518.230.410/26.847.95.107/188.12.67.92</v>
      </c>
      <c r="C47" s="6" t="str">
        <f>Table333456789101217[[#This Row],[Carrier Code]]</f>
        <v>ID</v>
      </c>
      <c r="D47" s="7">
        <v>0</v>
      </c>
      <c r="E47" s="7">
        <v>0</v>
      </c>
      <c r="F47" s="18">
        <f>Table33345678910121121222324252728[[#This Row],[Company Panel]]+Table333456789101211212223242527[[#This Row],[MTD Company]]</f>
        <v>0</v>
      </c>
      <c r="G47" s="18">
        <f>Table33345678910121121222324252728[[#This Row],[Our panel]]+Table333456789101211212223242527[[#This Row],[MTD Panel]]</f>
        <v>0</v>
      </c>
      <c r="H47" s="13">
        <f>Table33345678910121121222324252728[[#This Row],[Company Panel]]-Table33345678910121121222324252728[[#This Row],[Our panel]]</f>
        <v>0</v>
      </c>
      <c r="I47" s="13">
        <f>Table33345678910121121222324252728[[#This Row],[MTD Company]]-Table33345678910121121222324252728[[#This Row],[MTD Panel]]</f>
        <v>0</v>
      </c>
    </row>
    <row r="48" spans="1:9">
      <c r="A48" s="11" t="str">
        <f>Table333456789101217[[#This Row],[Carrier]]</f>
        <v>Delusion</v>
      </c>
      <c r="B48" s="5" t="str">
        <f>Table333456789101217[[#This Row],[IP]]</f>
        <v>198.51.100.72/69.887.74.738/39.153.110.645</v>
      </c>
      <c r="C48" s="6" t="str">
        <f>Table333456789101217[[#This Row],[Carrier Code]]</f>
        <v>DU</v>
      </c>
      <c r="D48" s="7">
        <v>0</v>
      </c>
      <c r="E48" s="7">
        <v>0</v>
      </c>
      <c r="F48" s="18">
        <f>Table33345678910121121222324252728[[#This Row],[Company Panel]]+Table333456789101211212223242527[[#This Row],[MTD Company]]</f>
        <v>0</v>
      </c>
      <c r="G48" s="18">
        <f>Table33345678910121121222324252728[[#This Row],[Our panel]]+Table333456789101211212223242527[[#This Row],[MTD Panel]]</f>
        <v>0</v>
      </c>
      <c r="H48" s="13">
        <f>Table33345678910121121222324252728[[#This Row],[Company Panel]]-Table33345678910121121222324252728[[#This Row],[Our panel]]</f>
        <v>0</v>
      </c>
      <c r="I48" s="13">
        <f>Table33345678910121121222324252728[[#This Row],[MTD Company]]-Table33345678910121121222324252728[[#This Row],[MTD Panel]]</f>
        <v>0</v>
      </c>
    </row>
    <row r="49" spans="1:9" ht="15.5">
      <c r="A49" s="11" t="str">
        <f>Table333456789101217[[#This Row],[Carrier]]</f>
        <v>Total</v>
      </c>
      <c r="B49" s="14"/>
      <c r="C49" s="15"/>
      <c r="D49" s="16">
        <f>SUM(D3:D48)</f>
        <v>4637.4666666666662</v>
      </c>
      <c r="E49" s="16">
        <f t="shared" ref="E49:I49" si="0">SUM(E3:E48)</f>
        <v>4637.4666666666662</v>
      </c>
      <c r="F49" s="16">
        <f t="shared" si="0"/>
        <v>184881.11666666667</v>
      </c>
      <c r="G49" s="16">
        <f t="shared" si="0"/>
        <v>184881.11666666667</v>
      </c>
      <c r="H49" s="16">
        <f t="shared" si="0"/>
        <v>0</v>
      </c>
      <c r="I49" s="16">
        <f t="shared" si="0"/>
        <v>0</v>
      </c>
    </row>
    <row r="52" spans="1:9">
      <c r="E52" s="9"/>
    </row>
  </sheetData>
  <conditionalFormatting sqref="H2:I48">
    <cfRule type="cellIs" dxfId="186" priority="22" operator="lessThan">
      <formula>0</formula>
    </cfRule>
  </conditionalFormatting>
  <conditionalFormatting sqref="I30:I48">
    <cfRule type="cellIs" dxfId="185" priority="21" operator="lessThan">
      <formula>0</formula>
    </cfRule>
  </conditionalFormatting>
  <conditionalFormatting sqref="H3:I48">
    <cfRule type="cellIs" dxfId="184" priority="20" operator="lessThan">
      <formula>0</formula>
    </cfRule>
  </conditionalFormatting>
  <conditionalFormatting sqref="I30:I48">
    <cfRule type="cellIs" dxfId="183" priority="19" operator="lessThan">
      <formula>0</formula>
    </cfRule>
  </conditionalFormatting>
  <conditionalFormatting sqref="I3:I48">
    <cfRule type="cellIs" dxfId="182" priority="11" operator="lessThan">
      <formula>0</formula>
    </cfRule>
    <cfRule type="cellIs" dxfId="181" priority="12" operator="lessThan">
      <formula>0</formula>
    </cfRule>
  </conditionalFormatting>
  <hyperlinks>
    <hyperlink ref="E1" location="H!A1" display="Home"/>
    <hyperlink ref="D1" location="'20'!D1" display="←"/>
    <hyperlink ref="F1" location="'22'!F1" display="→"/>
  </hyperlink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2"/>
  <sheetViews>
    <sheetView zoomScaleNormal="100" workbookViewId="0">
      <pane xSplit="3" ySplit="2" topLeftCell="D3" activePane="bottomRight" state="frozen"/>
      <selection pane="topRight" activeCell="D1" sqref="D1"/>
      <selection pane="bottomLeft" activeCell="A3" sqref="A3"/>
      <selection pane="bottomRight"/>
    </sheetView>
  </sheetViews>
  <sheetFormatPr defaultRowHeight="14.5"/>
  <cols>
    <col min="1" max="1" width="30" bestFit="1" customWidth="1"/>
    <col min="2" max="2" width="67.453125" customWidth="1"/>
    <col min="3" max="3" width="12.1796875" bestFit="1" customWidth="1"/>
    <col min="4" max="4" width="12.7265625" customWidth="1"/>
    <col min="5" max="5" width="15.26953125" bestFit="1" customWidth="1"/>
    <col min="6" max="11" width="12.7265625" customWidth="1"/>
    <col min="13" max="13" width="10" bestFit="1" customWidth="1"/>
  </cols>
  <sheetData>
    <row r="1" spans="1:11" ht="18.5">
      <c r="A1" s="23" t="str">
        <f>H!J2</f>
        <v>1st-30th April 2025</v>
      </c>
      <c r="B1" s="24"/>
      <c r="C1" s="24"/>
      <c r="D1" s="22" t="s">
        <v>16</v>
      </c>
      <c r="E1" s="22" t="s">
        <v>9</v>
      </c>
      <c r="F1" s="22" t="s">
        <v>17</v>
      </c>
    </row>
    <row r="2" spans="1:11" ht="31">
      <c r="A2" s="1" t="s">
        <v>0</v>
      </c>
      <c r="B2" s="2" t="s">
        <v>1</v>
      </c>
      <c r="C2" s="2" t="s">
        <v>2</v>
      </c>
      <c r="D2" s="2" t="s">
        <v>3</v>
      </c>
      <c r="E2" s="2" t="s">
        <v>11</v>
      </c>
      <c r="F2" s="2" t="s">
        <v>4</v>
      </c>
      <c r="G2" s="4" t="s">
        <v>6</v>
      </c>
      <c r="H2" s="4" t="s">
        <v>7</v>
      </c>
      <c r="I2" s="3" t="s">
        <v>8</v>
      </c>
      <c r="J2" s="32" t="s">
        <v>18</v>
      </c>
      <c r="K2" s="32" t="s">
        <v>19</v>
      </c>
    </row>
    <row r="3" spans="1:11">
      <c r="A3" s="82" t="s">
        <v>82</v>
      </c>
      <c r="B3" s="60" t="s">
        <v>36</v>
      </c>
      <c r="C3" s="69" t="s">
        <v>128</v>
      </c>
      <c r="D3" s="53">
        <v>0</v>
      </c>
      <c r="E3" s="53">
        <v>0</v>
      </c>
      <c r="F3" s="18">
        <f>Table3334567891012112122232425272829303132343637[[#This Row],[MTD Company]]</f>
        <v>0</v>
      </c>
      <c r="G3" s="18">
        <f>Table3334567891012112122232425272829303132343637[[#This Row],[MTD Panel]]</f>
        <v>0</v>
      </c>
      <c r="H3" s="13">
        <f>Table333456789101217[[#This Row],[Company Panel]]-Table333456789101217[[#This Row],[Our panel]]</f>
        <v>0</v>
      </c>
      <c r="I3" s="13">
        <f>Table333456789101217[[#This Row],[MTD Company]]-Table333456789101217[[#This Row],[MTD Panel]]</f>
        <v>0</v>
      </c>
      <c r="J3" s="31">
        <f>Table333456789101217[[#This Row],[Company Panel]]-Table333456789101217[[#This Row],[MTD Company]]</f>
        <v>0</v>
      </c>
      <c r="K3" s="31">
        <f>Table333456789101217[[#This Row],[Our panel]]-Table333456789101217[[#This Row],[MTD Panel]]</f>
        <v>0</v>
      </c>
    </row>
    <row r="4" spans="1:11">
      <c r="A4" s="82" t="s">
        <v>83</v>
      </c>
      <c r="B4" s="60" t="s">
        <v>37</v>
      </c>
      <c r="C4" s="69" t="s">
        <v>129</v>
      </c>
      <c r="D4" s="53">
        <v>508.9</v>
      </c>
      <c r="E4" s="53">
        <v>508.9</v>
      </c>
      <c r="F4" s="18">
        <f>Table3334567891012112122232425272829303132343637[[#This Row],[MTD Company]]</f>
        <v>508.90000000000003</v>
      </c>
      <c r="G4" s="18">
        <f>Table3334567891012112122232425272829303132343637[[#This Row],[MTD Panel]]</f>
        <v>508.90000000000003</v>
      </c>
      <c r="H4" s="13">
        <f>Table333456789101217[[#This Row],[Company Panel]]-Table333456789101217[[#This Row],[Our panel]]</f>
        <v>0</v>
      </c>
      <c r="I4" s="13">
        <f>Table333456789101217[[#This Row],[MTD Company]]-Table333456789101217[[#This Row],[MTD Panel]]</f>
        <v>0</v>
      </c>
      <c r="J4" s="31">
        <f>Table333456789101217[[#This Row],[Company Panel]]-Table333456789101217[[#This Row],[MTD Company]]</f>
        <v>0</v>
      </c>
      <c r="K4" s="31">
        <f>Table333456789101217[[#This Row],[Our panel]]-Table333456789101217[[#This Row],[MTD Panel]]</f>
        <v>0</v>
      </c>
    </row>
    <row r="5" spans="1:11">
      <c r="A5" s="82" t="s">
        <v>84</v>
      </c>
      <c r="B5" s="60" t="s">
        <v>38</v>
      </c>
      <c r="C5" s="69" t="s">
        <v>130</v>
      </c>
      <c r="D5" s="53">
        <v>0</v>
      </c>
      <c r="E5" s="53">
        <v>0</v>
      </c>
      <c r="F5" s="18">
        <f>Table3334567891012112122232425272829303132343637[[#This Row],[MTD Company]]</f>
        <v>0</v>
      </c>
      <c r="G5" s="18">
        <f>Table3334567891012112122232425272829303132343637[[#This Row],[MTD Panel]]</f>
        <v>0</v>
      </c>
      <c r="H5" s="13">
        <f>Table333456789101217[[#This Row],[Company Panel]]-Table333456789101217[[#This Row],[Our panel]]</f>
        <v>0</v>
      </c>
      <c r="I5" s="13">
        <f>Table333456789101217[[#This Row],[MTD Company]]-Table333456789101217[[#This Row],[MTD Panel]]</f>
        <v>0</v>
      </c>
      <c r="J5" s="31">
        <f>Table333456789101217[[#This Row],[Company Panel]]-Table333456789101217[[#This Row],[MTD Company]]</f>
        <v>0</v>
      </c>
      <c r="K5" s="31">
        <f>Table333456789101217[[#This Row],[Our panel]]-Table333456789101217[[#This Row],[MTD Panel]]</f>
        <v>0</v>
      </c>
    </row>
    <row r="6" spans="1:11">
      <c r="A6" s="82" t="s">
        <v>85</v>
      </c>
      <c r="B6" s="60" t="s">
        <v>39</v>
      </c>
      <c r="C6" s="69" t="s">
        <v>131</v>
      </c>
      <c r="D6" s="53">
        <v>79005.100000000006</v>
      </c>
      <c r="E6" s="53">
        <v>79005.100000000006</v>
      </c>
      <c r="F6" s="18">
        <f>Table3334567891012112122232425272829303132343637[[#This Row],[MTD Company]]</f>
        <v>79005.099999999962</v>
      </c>
      <c r="G6" s="18">
        <f>Table3334567891012112122232425272829303132343637[[#This Row],[MTD Panel]]</f>
        <v>79005.099999999962</v>
      </c>
      <c r="H6" s="13">
        <f>Table333456789101217[[#This Row],[Company Panel]]-Table333456789101217[[#This Row],[Our panel]]</f>
        <v>0</v>
      </c>
      <c r="I6" s="13">
        <f>Table333456789101217[[#This Row],[MTD Company]]-Table333456789101217[[#This Row],[MTD Panel]]</f>
        <v>0</v>
      </c>
      <c r="J6" s="31">
        <f>Table333456789101217[[#This Row],[Company Panel]]-Table333456789101217[[#This Row],[MTD Company]]</f>
        <v>0</v>
      </c>
      <c r="K6" s="31">
        <f>Table333456789101217[[#This Row],[Our panel]]-Table333456789101217[[#This Row],[MTD Panel]]</f>
        <v>0</v>
      </c>
    </row>
    <row r="7" spans="1:11">
      <c r="A7" s="82" t="s">
        <v>86</v>
      </c>
      <c r="B7" s="60" t="s">
        <v>40</v>
      </c>
      <c r="C7" s="69" t="s">
        <v>132</v>
      </c>
      <c r="D7" s="53">
        <v>162.80000000000001</v>
      </c>
      <c r="E7" s="53">
        <v>162.80000000000001</v>
      </c>
      <c r="F7" s="18">
        <f>Table3334567891012112122232425272829303132343637[[#This Row],[MTD Company]]</f>
        <v>162.79999999999998</v>
      </c>
      <c r="G7" s="18">
        <f>Table3334567891012112122232425272829303132343637[[#This Row],[MTD Panel]]</f>
        <v>162.79999999999998</v>
      </c>
      <c r="H7" s="13">
        <f>Table333456789101217[[#This Row],[Company Panel]]-Table333456789101217[[#This Row],[Our panel]]</f>
        <v>0</v>
      </c>
      <c r="I7" s="13">
        <f>Table333456789101217[[#This Row],[MTD Company]]-Table333456789101217[[#This Row],[MTD Panel]]</f>
        <v>0</v>
      </c>
      <c r="J7" s="31">
        <f>Table333456789101217[[#This Row],[Company Panel]]-Table333456789101217[[#This Row],[MTD Company]]</f>
        <v>0</v>
      </c>
      <c r="K7" s="31">
        <f>Table333456789101217[[#This Row],[Our panel]]-Table333456789101217[[#This Row],[MTD Panel]]</f>
        <v>0</v>
      </c>
    </row>
    <row r="8" spans="1:11">
      <c r="A8" s="82" t="s">
        <v>87</v>
      </c>
      <c r="B8" s="60" t="s">
        <v>41</v>
      </c>
      <c r="C8" s="69" t="s">
        <v>31</v>
      </c>
      <c r="D8" s="53">
        <v>3360.5833333333335</v>
      </c>
      <c r="E8" s="53">
        <v>3360.5833333333335</v>
      </c>
      <c r="F8" s="18">
        <f>Table3334567891012112122232425272829303132343637[[#This Row],[MTD Company]]</f>
        <v>3360.5833333333335</v>
      </c>
      <c r="G8" s="18">
        <f>Table3334567891012112122232425272829303132343637[[#This Row],[MTD Panel]]</f>
        <v>3360.5833333333335</v>
      </c>
      <c r="H8" s="13">
        <f>Table333456789101217[[#This Row],[Company Panel]]-Table333456789101217[[#This Row],[Our panel]]</f>
        <v>0</v>
      </c>
      <c r="I8" s="13">
        <f>Table333456789101217[[#This Row],[MTD Company]]-Table333456789101217[[#This Row],[MTD Panel]]</f>
        <v>0</v>
      </c>
      <c r="J8" s="31">
        <f>Table333456789101217[[#This Row],[Company Panel]]-Table333456789101217[[#This Row],[MTD Company]]</f>
        <v>0</v>
      </c>
      <c r="K8" s="31">
        <f>Table333456789101217[[#This Row],[Our panel]]-Table333456789101217[[#This Row],[MTD Panel]]</f>
        <v>0</v>
      </c>
    </row>
    <row r="9" spans="1:11">
      <c r="A9" s="82" t="s">
        <v>88</v>
      </c>
      <c r="B9" s="60" t="s">
        <v>42</v>
      </c>
      <c r="C9" s="69" t="s">
        <v>133</v>
      </c>
      <c r="D9" s="53">
        <v>11575.916666666666</v>
      </c>
      <c r="E9" s="53">
        <v>11575.916666666666</v>
      </c>
      <c r="F9" s="18">
        <f>Table3334567891012112122232425272829303132343637[[#This Row],[MTD Company]]</f>
        <v>11575.916666666668</v>
      </c>
      <c r="G9" s="18">
        <f>Table3334567891012112122232425272829303132343637[[#This Row],[MTD Panel]]</f>
        <v>11575.916666666668</v>
      </c>
      <c r="H9" s="13">
        <f>Table333456789101217[[#This Row],[Company Panel]]-Table333456789101217[[#This Row],[Our panel]]</f>
        <v>0</v>
      </c>
      <c r="I9" s="13">
        <f>Table333456789101217[[#This Row],[MTD Company]]-Table333456789101217[[#This Row],[MTD Panel]]</f>
        <v>0</v>
      </c>
      <c r="J9" s="31">
        <f>Table333456789101217[[#This Row],[Company Panel]]-Table333456789101217[[#This Row],[MTD Company]]</f>
        <v>0</v>
      </c>
      <c r="K9" s="31">
        <f>Table333456789101217[[#This Row],[Our panel]]-Table333456789101217[[#This Row],[MTD Panel]]</f>
        <v>0</v>
      </c>
    </row>
    <row r="10" spans="1:11">
      <c r="A10" s="82" t="s">
        <v>89</v>
      </c>
      <c r="B10" s="60" t="s">
        <v>43</v>
      </c>
      <c r="C10" s="69" t="s">
        <v>134</v>
      </c>
      <c r="D10" s="53">
        <v>0</v>
      </c>
      <c r="E10" s="53">
        <v>0</v>
      </c>
      <c r="F10" s="18">
        <f>Table3334567891012112122232425272829303132343637[[#This Row],[MTD Company]]</f>
        <v>0</v>
      </c>
      <c r="G10" s="18">
        <f>Table3334567891012112122232425272829303132343637[[#This Row],[MTD Panel]]</f>
        <v>0</v>
      </c>
      <c r="H10" s="13">
        <f>Table333456789101217[[#This Row],[Company Panel]]-Table333456789101217[[#This Row],[Our panel]]</f>
        <v>0</v>
      </c>
      <c r="I10" s="13">
        <f>Table333456789101217[[#This Row],[MTD Company]]-Table333456789101217[[#This Row],[MTD Panel]]</f>
        <v>0</v>
      </c>
      <c r="J10" s="31">
        <f>Table333456789101217[[#This Row],[Company Panel]]-Table333456789101217[[#This Row],[MTD Company]]</f>
        <v>0</v>
      </c>
      <c r="K10" s="31">
        <f>Table333456789101217[[#This Row],[Our panel]]-Table333456789101217[[#This Row],[MTD Panel]]</f>
        <v>0</v>
      </c>
    </row>
    <row r="11" spans="1:11">
      <c r="A11" s="82" t="s">
        <v>90</v>
      </c>
      <c r="B11" s="60" t="s">
        <v>44</v>
      </c>
      <c r="C11" s="69" t="s">
        <v>135</v>
      </c>
      <c r="D11" s="53">
        <v>0</v>
      </c>
      <c r="E11" s="53">
        <v>0</v>
      </c>
      <c r="F11" s="18">
        <f>Table3334567891012112122232425272829303132343637[[#This Row],[MTD Company]]</f>
        <v>0</v>
      </c>
      <c r="G11" s="18">
        <f>Table3334567891012112122232425272829303132343637[[#This Row],[MTD Panel]]</f>
        <v>0</v>
      </c>
      <c r="H11" s="13">
        <f>Table333456789101217[[#This Row],[Company Panel]]-Table333456789101217[[#This Row],[Our panel]]</f>
        <v>0</v>
      </c>
      <c r="I11" s="13">
        <f>Table333456789101217[[#This Row],[MTD Company]]-Table333456789101217[[#This Row],[MTD Panel]]</f>
        <v>0</v>
      </c>
      <c r="J11" s="31">
        <f>Table333456789101217[[#This Row],[Company Panel]]-Table333456789101217[[#This Row],[MTD Company]]</f>
        <v>0</v>
      </c>
      <c r="K11" s="31">
        <f>Table333456789101217[[#This Row],[Our panel]]-Table333456789101217[[#This Row],[MTD Panel]]</f>
        <v>0</v>
      </c>
    </row>
    <row r="12" spans="1:11">
      <c r="A12" s="82" t="s">
        <v>91</v>
      </c>
      <c r="B12" s="60" t="s">
        <v>45</v>
      </c>
      <c r="C12" s="69" t="s">
        <v>136</v>
      </c>
      <c r="D12" s="53">
        <v>3386.1833333333334</v>
      </c>
      <c r="E12" s="53">
        <v>3386.1833333333334</v>
      </c>
      <c r="F12" s="18">
        <f>Table3334567891012112122232425272829303132343637[[#This Row],[MTD Company]]</f>
        <v>3386.1833333333325</v>
      </c>
      <c r="G12" s="18">
        <f>Table3334567891012112122232425272829303132343637[[#This Row],[MTD Panel]]</f>
        <v>3386.1833333333325</v>
      </c>
      <c r="H12" s="13">
        <f>Table333456789101217[[#This Row],[Company Panel]]-Table333456789101217[[#This Row],[Our panel]]</f>
        <v>0</v>
      </c>
      <c r="I12" s="13">
        <f>Table333456789101217[[#This Row],[MTD Company]]-Table333456789101217[[#This Row],[MTD Panel]]</f>
        <v>0</v>
      </c>
      <c r="J12" s="31">
        <f>Table333456789101217[[#This Row],[Company Panel]]-Table333456789101217[[#This Row],[MTD Company]]</f>
        <v>0</v>
      </c>
      <c r="K12" s="31">
        <f>Table333456789101217[[#This Row],[Our panel]]-Table333456789101217[[#This Row],[MTD Panel]]</f>
        <v>0</v>
      </c>
    </row>
    <row r="13" spans="1:11">
      <c r="A13" s="82" t="s">
        <v>92</v>
      </c>
      <c r="B13" s="60" t="s">
        <v>46</v>
      </c>
      <c r="C13" s="69" t="s">
        <v>137</v>
      </c>
      <c r="D13" s="53">
        <v>0</v>
      </c>
      <c r="E13" s="53">
        <v>0</v>
      </c>
      <c r="F13" s="18">
        <f>Table3334567891012112122232425272829303132343637[[#This Row],[MTD Company]]</f>
        <v>0</v>
      </c>
      <c r="G13" s="18">
        <f>Table3334567891012112122232425272829303132343637[[#This Row],[MTD Panel]]</f>
        <v>0</v>
      </c>
      <c r="H13" s="13">
        <f>Table333456789101217[[#This Row],[Company Panel]]-Table333456789101217[[#This Row],[Our panel]]</f>
        <v>0</v>
      </c>
      <c r="I13" s="13">
        <f>Table333456789101217[[#This Row],[MTD Company]]-Table333456789101217[[#This Row],[MTD Panel]]</f>
        <v>0</v>
      </c>
      <c r="J13" s="31">
        <f>Table333456789101217[[#This Row],[Company Panel]]-Table333456789101217[[#This Row],[MTD Company]]</f>
        <v>0</v>
      </c>
      <c r="K13" s="31">
        <f>Table333456789101217[[#This Row],[Our panel]]-Table333456789101217[[#This Row],[MTD Panel]]</f>
        <v>0</v>
      </c>
    </row>
    <row r="14" spans="1:11">
      <c r="A14" s="82" t="s">
        <v>93</v>
      </c>
      <c r="B14" s="60" t="s">
        <v>47</v>
      </c>
      <c r="C14" s="69" t="s">
        <v>138</v>
      </c>
      <c r="D14" s="53">
        <v>0</v>
      </c>
      <c r="E14" s="53">
        <v>0</v>
      </c>
      <c r="F14" s="18">
        <f>Table3334567891012112122232425272829303132343637[[#This Row],[MTD Company]]</f>
        <v>0</v>
      </c>
      <c r="G14" s="18">
        <f>Table3334567891012112122232425272829303132343637[[#This Row],[MTD Panel]]</f>
        <v>0</v>
      </c>
      <c r="H14" s="13">
        <f>Table333456789101217[[#This Row],[Company Panel]]-Table333456789101217[[#This Row],[Our panel]]</f>
        <v>0</v>
      </c>
      <c r="I14" s="13">
        <f>Table333456789101217[[#This Row],[MTD Company]]-Table333456789101217[[#This Row],[MTD Panel]]</f>
        <v>0</v>
      </c>
      <c r="J14" s="31">
        <f>Table333456789101217[[#This Row],[Company Panel]]-Table333456789101217[[#This Row],[MTD Company]]</f>
        <v>0</v>
      </c>
      <c r="K14" s="31">
        <f>Table333456789101217[[#This Row],[Our panel]]-Table333456789101217[[#This Row],[MTD Panel]]</f>
        <v>0</v>
      </c>
    </row>
    <row r="15" spans="1:11">
      <c r="A15" s="82" t="s">
        <v>94</v>
      </c>
      <c r="B15" s="60" t="s">
        <v>48</v>
      </c>
      <c r="C15" s="69" t="s">
        <v>139</v>
      </c>
      <c r="D15" s="53">
        <v>1.45</v>
      </c>
      <c r="E15" s="53">
        <v>1.45</v>
      </c>
      <c r="F15" s="18">
        <f>Table3334567891012112122232425272829303132343637[[#This Row],[MTD Company]]</f>
        <v>1.4500000000000002</v>
      </c>
      <c r="G15" s="18">
        <f>Table3334567891012112122232425272829303132343637[[#This Row],[MTD Panel]]</f>
        <v>1.4500000000000002</v>
      </c>
      <c r="H15" s="13">
        <f>Table333456789101217[[#This Row],[Company Panel]]-Table333456789101217[[#This Row],[Our panel]]</f>
        <v>0</v>
      </c>
      <c r="I15" s="13">
        <f>Table333456789101217[[#This Row],[MTD Company]]-Table333456789101217[[#This Row],[MTD Panel]]</f>
        <v>0</v>
      </c>
      <c r="J15" s="31">
        <f>Table333456789101217[[#This Row],[Company Panel]]-Table333456789101217[[#This Row],[MTD Company]]</f>
        <v>0</v>
      </c>
      <c r="K15" s="31">
        <f>Table333456789101217[[#This Row],[Our panel]]-Table333456789101217[[#This Row],[MTD Panel]]</f>
        <v>0</v>
      </c>
    </row>
    <row r="16" spans="1:11">
      <c r="A16" s="82" t="s">
        <v>95</v>
      </c>
      <c r="B16" s="60" t="s">
        <v>49</v>
      </c>
      <c r="C16" s="69" t="s">
        <v>140</v>
      </c>
      <c r="D16" s="53">
        <v>0</v>
      </c>
      <c r="E16" s="53">
        <v>0</v>
      </c>
      <c r="F16" s="18">
        <f>Table3334567891012112122232425272829303132343637[[#This Row],[MTD Company]]</f>
        <v>0</v>
      </c>
      <c r="G16" s="18">
        <f>Table3334567891012112122232425272829303132343637[[#This Row],[MTD Panel]]</f>
        <v>0</v>
      </c>
      <c r="H16" s="13">
        <f>Table333456789101217[[#This Row],[Company Panel]]-Table333456789101217[[#This Row],[Our panel]]</f>
        <v>0</v>
      </c>
      <c r="I16" s="13">
        <f>Table333456789101217[[#This Row],[MTD Company]]-Table333456789101217[[#This Row],[MTD Panel]]</f>
        <v>0</v>
      </c>
      <c r="J16" s="31">
        <f>Table333456789101217[[#This Row],[Company Panel]]-Table333456789101217[[#This Row],[MTD Company]]</f>
        <v>0</v>
      </c>
      <c r="K16" s="31">
        <f>Table333456789101217[[#This Row],[Our panel]]-Table333456789101217[[#This Row],[MTD Panel]]</f>
        <v>0</v>
      </c>
    </row>
    <row r="17" spans="1:11">
      <c r="A17" s="82" t="s">
        <v>96</v>
      </c>
      <c r="B17" s="60" t="s">
        <v>50</v>
      </c>
      <c r="C17" s="69" t="s">
        <v>141</v>
      </c>
      <c r="D17" s="53">
        <v>0</v>
      </c>
      <c r="E17" s="53">
        <v>0</v>
      </c>
      <c r="F17" s="18">
        <f>Table3334567891012112122232425272829303132343637[[#This Row],[MTD Company]]</f>
        <v>0</v>
      </c>
      <c r="G17" s="18">
        <f>Table3334567891012112122232425272829303132343637[[#This Row],[MTD Panel]]</f>
        <v>0</v>
      </c>
      <c r="H17" s="13">
        <f>Table333456789101217[[#This Row],[Company Panel]]-Table333456789101217[[#This Row],[Our panel]]</f>
        <v>0</v>
      </c>
      <c r="I17" s="13">
        <f>Table333456789101217[[#This Row],[MTD Company]]-Table333456789101217[[#This Row],[MTD Panel]]</f>
        <v>0</v>
      </c>
      <c r="J17" s="31">
        <f>Table333456789101217[[#This Row],[Company Panel]]-Table333456789101217[[#This Row],[MTD Company]]</f>
        <v>0</v>
      </c>
      <c r="K17" s="31">
        <f>Table333456789101217[[#This Row],[Our panel]]-Table333456789101217[[#This Row],[MTD Panel]]</f>
        <v>0</v>
      </c>
    </row>
    <row r="18" spans="1:11">
      <c r="A18" s="82" t="s">
        <v>97</v>
      </c>
      <c r="B18" s="60" t="s">
        <v>51</v>
      </c>
      <c r="C18" s="69" t="s">
        <v>142</v>
      </c>
      <c r="D18" s="53">
        <v>765.75</v>
      </c>
      <c r="E18" s="53">
        <v>765.75</v>
      </c>
      <c r="F18" s="18">
        <f>Table3334567891012112122232425272829303132343637[[#This Row],[MTD Company]]</f>
        <v>765.75000000000011</v>
      </c>
      <c r="G18" s="18">
        <f>Table3334567891012112122232425272829303132343637[[#This Row],[MTD Panel]]</f>
        <v>765.75000000000011</v>
      </c>
      <c r="H18" s="13">
        <f>Table333456789101217[[#This Row],[Company Panel]]-Table333456789101217[[#This Row],[Our panel]]</f>
        <v>0</v>
      </c>
      <c r="I18" s="13">
        <f>Table333456789101217[[#This Row],[MTD Company]]-Table333456789101217[[#This Row],[MTD Panel]]</f>
        <v>0</v>
      </c>
      <c r="J18" s="31">
        <f>Table333456789101217[[#This Row],[Company Panel]]-Table333456789101217[[#This Row],[MTD Company]]</f>
        <v>0</v>
      </c>
      <c r="K18" s="31">
        <f>Table333456789101217[[#This Row],[Our panel]]-Table333456789101217[[#This Row],[MTD Panel]]</f>
        <v>0</v>
      </c>
    </row>
    <row r="19" spans="1:11">
      <c r="A19" s="82" t="s">
        <v>98</v>
      </c>
      <c r="B19" s="60" t="s">
        <v>52</v>
      </c>
      <c r="C19" s="69" t="s">
        <v>143</v>
      </c>
      <c r="D19" s="53">
        <v>1.1499999999999999</v>
      </c>
      <c r="E19" s="53">
        <v>1.1499999999999999</v>
      </c>
      <c r="F19" s="18">
        <f>Table3334567891012112122232425272829303132343637[[#This Row],[MTD Company]]</f>
        <v>1.1499999999999999</v>
      </c>
      <c r="G19" s="18">
        <f>Table3334567891012112122232425272829303132343637[[#This Row],[MTD Panel]]</f>
        <v>1.1499999999999999</v>
      </c>
      <c r="H19" s="13">
        <f>Table333456789101217[[#This Row],[Company Panel]]-Table333456789101217[[#This Row],[Our panel]]</f>
        <v>0</v>
      </c>
      <c r="I19" s="13">
        <f>Table333456789101217[[#This Row],[MTD Company]]-Table333456789101217[[#This Row],[MTD Panel]]</f>
        <v>0</v>
      </c>
      <c r="J19" s="31">
        <f>Table333456789101217[[#This Row],[Company Panel]]-Table333456789101217[[#This Row],[MTD Company]]</f>
        <v>0</v>
      </c>
      <c r="K19" s="31">
        <f>Table333456789101217[[#This Row],[Our panel]]-Table333456789101217[[#This Row],[MTD Panel]]</f>
        <v>0</v>
      </c>
    </row>
    <row r="20" spans="1:11">
      <c r="A20" s="82" t="s">
        <v>99</v>
      </c>
      <c r="B20" s="60" t="s">
        <v>53</v>
      </c>
      <c r="C20" s="69" t="s">
        <v>35</v>
      </c>
      <c r="D20" s="53">
        <v>54.4</v>
      </c>
      <c r="E20" s="53">
        <v>54.4</v>
      </c>
      <c r="F20" s="18">
        <f>Table3334567891012112122232425272829303132343637[[#This Row],[MTD Company]]</f>
        <v>54.400000000000006</v>
      </c>
      <c r="G20" s="18">
        <f>Table3334567891012112122232425272829303132343637[[#This Row],[MTD Panel]]</f>
        <v>54.400000000000006</v>
      </c>
      <c r="H20" s="13">
        <f>Table333456789101217[[#This Row],[Company Panel]]-Table333456789101217[[#This Row],[Our panel]]</f>
        <v>0</v>
      </c>
      <c r="I20" s="13">
        <f>Table333456789101217[[#This Row],[MTD Company]]-Table333456789101217[[#This Row],[MTD Panel]]</f>
        <v>0</v>
      </c>
      <c r="J20" s="31">
        <f>Table333456789101217[[#This Row],[Company Panel]]-Table333456789101217[[#This Row],[MTD Company]]</f>
        <v>0</v>
      </c>
      <c r="K20" s="31">
        <f>Table333456789101217[[#This Row],[Our panel]]-Table333456789101217[[#This Row],[MTD Panel]]</f>
        <v>0</v>
      </c>
    </row>
    <row r="21" spans="1:11">
      <c r="A21" s="82" t="s">
        <v>100</v>
      </c>
      <c r="B21" s="60" t="s">
        <v>54</v>
      </c>
      <c r="C21" s="69" t="s">
        <v>144</v>
      </c>
      <c r="D21" s="53">
        <v>0</v>
      </c>
      <c r="E21" s="53">
        <v>0</v>
      </c>
      <c r="F21" s="18">
        <f>Table3334567891012112122232425272829303132343637[[#This Row],[MTD Company]]</f>
        <v>0</v>
      </c>
      <c r="G21" s="18">
        <f>Table3334567891012112122232425272829303132343637[[#This Row],[MTD Panel]]</f>
        <v>0</v>
      </c>
      <c r="H21" s="13">
        <f>Table333456789101217[[#This Row],[Company Panel]]-Table333456789101217[[#This Row],[Our panel]]</f>
        <v>0</v>
      </c>
      <c r="I21" s="13">
        <f>Table333456789101217[[#This Row],[MTD Company]]-Table333456789101217[[#This Row],[MTD Panel]]</f>
        <v>0</v>
      </c>
      <c r="J21" s="31">
        <f>Table333456789101217[[#This Row],[Company Panel]]-Table333456789101217[[#This Row],[MTD Company]]</f>
        <v>0</v>
      </c>
      <c r="K21" s="31">
        <f>Table333456789101217[[#This Row],[Our panel]]-Table333456789101217[[#This Row],[MTD Panel]]</f>
        <v>0</v>
      </c>
    </row>
    <row r="22" spans="1:11">
      <c r="A22" s="82" t="s">
        <v>101</v>
      </c>
      <c r="B22" s="60" t="s">
        <v>55</v>
      </c>
      <c r="C22" s="69" t="s">
        <v>145</v>
      </c>
      <c r="D22" s="53">
        <v>3336.0333333333333</v>
      </c>
      <c r="E22" s="53">
        <v>3336.0333333333333</v>
      </c>
      <c r="F22" s="18">
        <f>Table3334567891012112122232425272829303132343637[[#This Row],[MTD Company]]</f>
        <v>3336.0333333333333</v>
      </c>
      <c r="G22" s="18">
        <f>Table3334567891012112122232425272829303132343637[[#This Row],[MTD Panel]]</f>
        <v>3336.0333333333333</v>
      </c>
      <c r="H22" s="13">
        <f>Table333456789101217[[#This Row],[Company Panel]]-Table333456789101217[[#This Row],[Our panel]]</f>
        <v>0</v>
      </c>
      <c r="I22" s="13">
        <f>Table333456789101217[[#This Row],[MTD Company]]-Table333456789101217[[#This Row],[MTD Panel]]</f>
        <v>0</v>
      </c>
      <c r="J22" s="31">
        <f>Table333456789101217[[#This Row],[Company Panel]]-Table333456789101217[[#This Row],[MTD Company]]</f>
        <v>0</v>
      </c>
      <c r="K22" s="31">
        <f>Table333456789101217[[#This Row],[Our panel]]-Table333456789101217[[#This Row],[MTD Panel]]</f>
        <v>0</v>
      </c>
    </row>
    <row r="23" spans="1:11">
      <c r="A23" s="82" t="s">
        <v>102</v>
      </c>
      <c r="B23" s="60" t="s">
        <v>56</v>
      </c>
      <c r="C23" s="69" t="s">
        <v>146</v>
      </c>
      <c r="D23" s="53">
        <v>0</v>
      </c>
      <c r="E23" s="53">
        <v>0</v>
      </c>
      <c r="F23" s="18">
        <f>Table3334567891012112122232425272829303132343637[[#This Row],[MTD Company]]</f>
        <v>0</v>
      </c>
      <c r="G23" s="18">
        <f>Table3334567891012112122232425272829303132343637[[#This Row],[MTD Panel]]</f>
        <v>0</v>
      </c>
      <c r="H23" s="13">
        <f>Table333456789101217[[#This Row],[Company Panel]]-Table333456789101217[[#This Row],[Our panel]]</f>
        <v>0</v>
      </c>
      <c r="I23" s="13">
        <f>Table333456789101217[[#This Row],[MTD Company]]-Table333456789101217[[#This Row],[MTD Panel]]</f>
        <v>0</v>
      </c>
      <c r="J23" s="31">
        <f>Table333456789101217[[#This Row],[Company Panel]]-Table333456789101217[[#This Row],[MTD Company]]</f>
        <v>0</v>
      </c>
      <c r="K23" s="31">
        <f>Table333456789101217[[#This Row],[Our panel]]-Table333456789101217[[#This Row],[MTD Panel]]</f>
        <v>0</v>
      </c>
    </row>
    <row r="24" spans="1:11">
      <c r="A24" s="82" t="s">
        <v>103</v>
      </c>
      <c r="B24" s="60" t="s">
        <v>57</v>
      </c>
      <c r="C24" s="69" t="s">
        <v>147</v>
      </c>
      <c r="D24" s="53">
        <v>0</v>
      </c>
      <c r="E24" s="53">
        <v>0</v>
      </c>
      <c r="F24" s="18">
        <f>Table3334567891012112122232425272829303132343637[[#This Row],[MTD Company]]</f>
        <v>0</v>
      </c>
      <c r="G24" s="18">
        <f>Table3334567891012112122232425272829303132343637[[#This Row],[MTD Panel]]</f>
        <v>0</v>
      </c>
      <c r="H24" s="13">
        <f>Table333456789101217[[#This Row],[Company Panel]]-Table333456789101217[[#This Row],[Our panel]]</f>
        <v>0</v>
      </c>
      <c r="I24" s="13">
        <f>Table333456789101217[[#This Row],[MTD Company]]-Table333456789101217[[#This Row],[MTD Panel]]</f>
        <v>0</v>
      </c>
      <c r="J24" s="31">
        <f>Table333456789101217[[#This Row],[Company Panel]]-Table333456789101217[[#This Row],[MTD Company]]</f>
        <v>0</v>
      </c>
      <c r="K24" s="31">
        <f>Table333456789101217[[#This Row],[Our panel]]-Table333456789101217[[#This Row],[MTD Panel]]</f>
        <v>0</v>
      </c>
    </row>
    <row r="25" spans="1:11">
      <c r="A25" s="82" t="s">
        <v>104</v>
      </c>
      <c r="B25" s="60" t="s">
        <v>58</v>
      </c>
      <c r="C25" s="69" t="s">
        <v>148</v>
      </c>
      <c r="D25" s="53">
        <v>0</v>
      </c>
      <c r="E25" s="53">
        <v>0</v>
      </c>
      <c r="F25" s="18">
        <f>Table3334567891012112122232425272829303132343637[[#This Row],[MTD Company]]</f>
        <v>0</v>
      </c>
      <c r="G25" s="18">
        <f>Table3334567891012112122232425272829303132343637[[#This Row],[MTD Panel]]</f>
        <v>0</v>
      </c>
      <c r="H25" s="13">
        <f>Table333456789101217[[#This Row],[Company Panel]]-Table333456789101217[[#This Row],[Our panel]]</f>
        <v>0</v>
      </c>
      <c r="I25" s="13">
        <f>Table333456789101217[[#This Row],[MTD Company]]-Table333456789101217[[#This Row],[MTD Panel]]</f>
        <v>0</v>
      </c>
      <c r="J25" s="31">
        <f>Table333456789101217[[#This Row],[Company Panel]]-Table333456789101217[[#This Row],[MTD Company]]</f>
        <v>0</v>
      </c>
      <c r="K25" s="31">
        <f>Table333456789101217[[#This Row],[Our panel]]-Table333456789101217[[#This Row],[MTD Panel]]</f>
        <v>0</v>
      </c>
    </row>
    <row r="26" spans="1:11">
      <c r="A26" s="82" t="s">
        <v>105</v>
      </c>
      <c r="B26" s="60" t="s">
        <v>59</v>
      </c>
      <c r="C26" s="69" t="s">
        <v>149</v>
      </c>
      <c r="D26" s="53">
        <v>0</v>
      </c>
      <c r="E26" s="53">
        <v>0</v>
      </c>
      <c r="F26" s="18">
        <f>Table3334567891012112122232425272829303132343637[[#This Row],[MTD Company]]</f>
        <v>0</v>
      </c>
      <c r="G26" s="18">
        <f>Table3334567891012112122232425272829303132343637[[#This Row],[MTD Panel]]</f>
        <v>0</v>
      </c>
      <c r="H26" s="13">
        <f>Table333456789101217[[#This Row],[Company Panel]]-Table333456789101217[[#This Row],[Our panel]]</f>
        <v>0</v>
      </c>
      <c r="I26" s="13">
        <f>Table333456789101217[[#This Row],[MTD Company]]-Table333456789101217[[#This Row],[MTD Panel]]</f>
        <v>0</v>
      </c>
      <c r="J26" s="31">
        <f>Table333456789101217[[#This Row],[Company Panel]]-Table333456789101217[[#This Row],[MTD Company]]</f>
        <v>0</v>
      </c>
      <c r="K26" s="31">
        <f>Table333456789101217[[#This Row],[Our panel]]-Table333456789101217[[#This Row],[MTD Panel]]</f>
        <v>0</v>
      </c>
    </row>
    <row r="27" spans="1:11">
      <c r="A27" s="82" t="s">
        <v>106</v>
      </c>
      <c r="B27" s="60" t="s">
        <v>60</v>
      </c>
      <c r="C27" s="69" t="s">
        <v>150</v>
      </c>
      <c r="D27" s="53">
        <v>0</v>
      </c>
      <c r="E27" s="53">
        <v>0</v>
      </c>
      <c r="F27" s="18">
        <f>Table3334567891012112122232425272829303132343637[[#This Row],[MTD Company]]</f>
        <v>0</v>
      </c>
      <c r="G27" s="18">
        <f>Table3334567891012112122232425272829303132343637[[#This Row],[MTD Panel]]</f>
        <v>0</v>
      </c>
      <c r="H27" s="13">
        <f>Table333456789101217[[#This Row],[Company Panel]]-Table333456789101217[[#This Row],[Our panel]]</f>
        <v>0</v>
      </c>
      <c r="I27" s="13">
        <f>Table333456789101217[[#This Row],[MTD Company]]-Table333456789101217[[#This Row],[MTD Panel]]</f>
        <v>0</v>
      </c>
      <c r="J27" s="31">
        <f>Table333456789101217[[#This Row],[Company Panel]]-Table333456789101217[[#This Row],[MTD Company]]</f>
        <v>0</v>
      </c>
      <c r="K27" s="31">
        <f>Table333456789101217[[#This Row],[Our panel]]-Table333456789101217[[#This Row],[MTD Panel]]</f>
        <v>0</v>
      </c>
    </row>
    <row r="28" spans="1:11">
      <c r="A28" s="82" t="s">
        <v>107</v>
      </c>
      <c r="B28" s="60" t="s">
        <v>61</v>
      </c>
      <c r="C28" s="69" t="s">
        <v>151</v>
      </c>
      <c r="D28" s="53">
        <v>772.95</v>
      </c>
      <c r="E28" s="53">
        <v>772.95</v>
      </c>
      <c r="F28" s="18">
        <f>Table3334567891012112122232425272829303132343637[[#This Row],[MTD Company]]</f>
        <v>772.94999999999982</v>
      </c>
      <c r="G28" s="18">
        <f>Table3334567891012112122232425272829303132343637[[#This Row],[MTD Panel]]</f>
        <v>772.94999999999982</v>
      </c>
      <c r="H28" s="13">
        <f>Table333456789101217[[#This Row],[Company Panel]]-Table333456789101217[[#This Row],[Our panel]]</f>
        <v>0</v>
      </c>
      <c r="I28" s="13">
        <f>Table333456789101217[[#This Row],[MTD Company]]-Table333456789101217[[#This Row],[MTD Panel]]</f>
        <v>0</v>
      </c>
      <c r="J28" s="31">
        <f>Table333456789101217[[#This Row],[Company Panel]]-Table333456789101217[[#This Row],[MTD Company]]</f>
        <v>0</v>
      </c>
      <c r="K28" s="31">
        <f>Table333456789101217[[#This Row],[Our panel]]-Table333456789101217[[#This Row],[MTD Panel]]</f>
        <v>0</v>
      </c>
    </row>
    <row r="29" spans="1:11">
      <c r="A29" s="82" t="s">
        <v>108</v>
      </c>
      <c r="B29" s="96" t="s">
        <v>62</v>
      </c>
      <c r="C29" s="69" t="s">
        <v>152</v>
      </c>
      <c r="D29" s="53">
        <v>0</v>
      </c>
      <c r="E29" s="53">
        <v>0</v>
      </c>
      <c r="F29" s="18">
        <f>Table3334567891012112122232425272829303132343637[[#This Row],[MTD Company]]</f>
        <v>0</v>
      </c>
      <c r="G29" s="18">
        <f>Table3334567891012112122232425272829303132343637[[#This Row],[MTD Panel]]</f>
        <v>0</v>
      </c>
      <c r="H29" s="13">
        <f>Table333456789101217[[#This Row],[Company Panel]]-Table333456789101217[[#This Row],[Our panel]]</f>
        <v>0</v>
      </c>
      <c r="I29" s="13">
        <f>Table333456789101217[[#This Row],[MTD Company]]-Table333456789101217[[#This Row],[MTD Panel]]</f>
        <v>0</v>
      </c>
      <c r="J29" s="31">
        <f>Table333456789101217[[#This Row],[Company Panel]]-Table333456789101217[[#This Row],[MTD Company]]</f>
        <v>0</v>
      </c>
      <c r="K29" s="31">
        <f>Table333456789101217[[#This Row],[Our panel]]-Table333456789101217[[#This Row],[MTD Panel]]</f>
        <v>0</v>
      </c>
    </row>
    <row r="30" spans="1:11">
      <c r="A30" s="82" t="s">
        <v>109</v>
      </c>
      <c r="B30" s="60" t="s">
        <v>63</v>
      </c>
      <c r="C30" s="69" t="s">
        <v>153</v>
      </c>
      <c r="D30" s="53">
        <v>0</v>
      </c>
      <c r="E30" s="53">
        <v>0</v>
      </c>
      <c r="F30" s="18">
        <f>Table3334567891012112122232425272829303132343637[[#This Row],[MTD Company]]</f>
        <v>0</v>
      </c>
      <c r="G30" s="18">
        <f>Table3334567891012112122232425272829303132343637[[#This Row],[MTD Panel]]</f>
        <v>0</v>
      </c>
      <c r="H30" s="13">
        <f>Table333456789101217[[#This Row],[Company Panel]]-Table333456789101217[[#This Row],[Our panel]]</f>
        <v>0</v>
      </c>
      <c r="I30" s="13">
        <f>Table333456789101217[[#This Row],[MTD Company]]-Table333456789101217[[#This Row],[MTD Panel]]</f>
        <v>0</v>
      </c>
      <c r="J30" s="7">
        <f>Table333456789101217[[#This Row],[Company Panel]]-Table333456789101217[[#This Row],[MTD Company]]</f>
        <v>0</v>
      </c>
      <c r="K30" s="7">
        <f>Table333456789101217[[#This Row],[Our panel]]-Table333456789101217[[#This Row],[MTD Panel]]</f>
        <v>0</v>
      </c>
    </row>
    <row r="31" spans="1:11">
      <c r="A31" s="82" t="s">
        <v>110</v>
      </c>
      <c r="B31" s="60" t="s">
        <v>64</v>
      </c>
      <c r="C31" s="69" t="s">
        <v>154</v>
      </c>
      <c r="D31" s="53">
        <v>0</v>
      </c>
      <c r="E31" s="53">
        <v>0</v>
      </c>
      <c r="F31" s="18">
        <f>Table3334567891012112122232425272829303132343637[[#This Row],[MTD Company]]</f>
        <v>0</v>
      </c>
      <c r="G31" s="18">
        <f>Table3334567891012112122232425272829303132343637[[#This Row],[MTD Panel]]</f>
        <v>0</v>
      </c>
      <c r="H31" s="13">
        <f>Table333456789101217[[#This Row],[Company Panel]]-Table333456789101217[[#This Row],[Our panel]]</f>
        <v>0</v>
      </c>
      <c r="I31" s="13">
        <f>Table333456789101217[[#This Row],[MTD Company]]-Table333456789101217[[#This Row],[MTD Panel]]</f>
        <v>0</v>
      </c>
      <c r="J31" s="7">
        <f>Table333456789101217[[#This Row],[Company Panel]]-Table333456789101217[[#This Row],[MTD Company]]</f>
        <v>0</v>
      </c>
      <c r="K31" s="7">
        <f>Table333456789101217[[#This Row],[Our panel]]-Table333456789101217[[#This Row],[MTD Panel]]</f>
        <v>0</v>
      </c>
    </row>
    <row r="32" spans="1:11">
      <c r="A32" s="82" t="s">
        <v>111</v>
      </c>
      <c r="B32" s="60" t="s">
        <v>65</v>
      </c>
      <c r="C32" s="69" t="s">
        <v>155</v>
      </c>
      <c r="D32" s="53">
        <v>0</v>
      </c>
      <c r="E32" s="53">
        <v>0</v>
      </c>
      <c r="F32" s="18">
        <f>Table3334567891012112122232425272829303132343637[[#This Row],[MTD Company]]</f>
        <v>0</v>
      </c>
      <c r="G32" s="18">
        <f>Table3334567891012112122232425272829303132343637[[#This Row],[MTD Panel]]</f>
        <v>0</v>
      </c>
      <c r="H32" s="13">
        <f>Table333456789101217[[#This Row],[Company Panel]]-Table333456789101217[[#This Row],[Our panel]]</f>
        <v>0</v>
      </c>
      <c r="I32" s="13">
        <f>Table333456789101217[[#This Row],[MTD Company]]-Table333456789101217[[#This Row],[MTD Panel]]</f>
        <v>0</v>
      </c>
      <c r="J32" s="7">
        <f>Table333456789101217[[#This Row],[Company Panel]]-Table333456789101217[[#This Row],[MTD Company]]</f>
        <v>0</v>
      </c>
      <c r="K32" s="7">
        <f>Table333456789101217[[#This Row],[Our panel]]-Table333456789101217[[#This Row],[MTD Panel]]</f>
        <v>0</v>
      </c>
    </row>
    <row r="33" spans="1:11">
      <c r="A33" s="82" t="s">
        <v>112</v>
      </c>
      <c r="B33" s="60" t="s">
        <v>66</v>
      </c>
      <c r="C33" s="69" t="s">
        <v>33</v>
      </c>
      <c r="D33" s="53">
        <v>0</v>
      </c>
      <c r="E33" s="53">
        <v>0</v>
      </c>
      <c r="F33" s="18">
        <f>Table3334567891012112122232425272829303132343637[[#This Row],[MTD Company]]</f>
        <v>0</v>
      </c>
      <c r="G33" s="18">
        <f>Table3334567891012112122232425272829303132343637[[#This Row],[MTD Panel]]</f>
        <v>0</v>
      </c>
      <c r="H33" s="63">
        <f>Table333456789101217[[#This Row],[Company Panel]]-Table333456789101217[[#This Row],[Our panel]]</f>
        <v>0</v>
      </c>
      <c r="I33" s="63">
        <f>Table333456789101217[[#This Row],[MTD Company]]-Table333456789101217[[#This Row],[MTD Panel]]</f>
        <v>0</v>
      </c>
      <c r="J33" s="7">
        <f>Table333456789101217[[#This Row],[Company Panel]]-Table333456789101217[[#This Row],[MTD Company]]</f>
        <v>0</v>
      </c>
      <c r="K33" s="7">
        <f>Table333456789101217[[#This Row],[Our panel]]-Table333456789101217[[#This Row],[MTD Panel]]</f>
        <v>0</v>
      </c>
    </row>
    <row r="34" spans="1:11">
      <c r="A34" s="82" t="s">
        <v>113</v>
      </c>
      <c r="B34" s="60" t="s">
        <v>67</v>
      </c>
      <c r="C34" s="69" t="s">
        <v>156</v>
      </c>
      <c r="D34" s="53">
        <v>50543.883333333331</v>
      </c>
      <c r="E34" s="53">
        <v>50543.883333333331</v>
      </c>
      <c r="F34" s="18">
        <f>Table3334567891012112122232425272829303132343637[[#This Row],[MTD Company]]</f>
        <v>50543.883333333339</v>
      </c>
      <c r="G34" s="18">
        <f>Table3334567891012112122232425272829303132343637[[#This Row],[MTD Panel]]</f>
        <v>50543.883333333339</v>
      </c>
      <c r="H34" s="13">
        <f>Table333456789101217[[#This Row],[Company Panel]]-Table333456789101217[[#This Row],[Our panel]]</f>
        <v>0</v>
      </c>
      <c r="I34" s="13">
        <f>Table333456789101217[[#This Row],[MTD Company]]-Table333456789101217[[#This Row],[MTD Panel]]</f>
        <v>0</v>
      </c>
      <c r="J34" s="31">
        <f>Table333456789101217[[#This Row],[Company Panel]]-Table333456789101217[[#This Row],[MTD Company]]</f>
        <v>0</v>
      </c>
      <c r="K34" s="31">
        <f>Table333456789101217[[#This Row],[Our panel]]-Table333456789101217[[#This Row],[MTD Panel]]</f>
        <v>0</v>
      </c>
    </row>
    <row r="35" spans="1:11">
      <c r="A35" s="82" t="s">
        <v>114</v>
      </c>
      <c r="B35" s="60" t="s">
        <v>68</v>
      </c>
      <c r="C35" s="69" t="s">
        <v>157</v>
      </c>
      <c r="D35" s="53">
        <v>0</v>
      </c>
      <c r="E35" s="53">
        <v>0</v>
      </c>
      <c r="F35" s="18">
        <f>Table3334567891012112122232425272829303132343637[[#This Row],[MTD Company]]</f>
        <v>0</v>
      </c>
      <c r="G35" s="18">
        <f>Table3334567891012112122232425272829303132343637[[#This Row],[MTD Panel]]</f>
        <v>0</v>
      </c>
      <c r="H35" s="63">
        <f>Table333456789101217[[#This Row],[Company Panel]]-Table333456789101217[[#This Row],[Our panel]]</f>
        <v>0</v>
      </c>
      <c r="I35" s="63">
        <f>Table333456789101217[[#This Row],[MTD Company]]-Table333456789101217[[#This Row],[MTD Panel]]</f>
        <v>0</v>
      </c>
      <c r="J35" s="7">
        <f>Table333456789101217[[#This Row],[Company Panel]]-Table333456789101217[[#This Row],[MTD Company]]</f>
        <v>0</v>
      </c>
      <c r="K35" s="7">
        <f>Table333456789101217[[#This Row],[Our panel]]-Table333456789101217[[#This Row],[MTD Panel]]</f>
        <v>0</v>
      </c>
    </row>
    <row r="36" spans="1:11">
      <c r="A36" s="82" t="s">
        <v>115</v>
      </c>
      <c r="B36" s="60" t="s">
        <v>69</v>
      </c>
      <c r="C36" s="69" t="s">
        <v>158</v>
      </c>
      <c r="D36" s="53">
        <v>1864.0666666666666</v>
      </c>
      <c r="E36" s="53">
        <v>1864.0666666666666</v>
      </c>
      <c r="F36" s="18">
        <f>Table3334567891012112122232425272829303132343637[[#This Row],[MTD Company]]</f>
        <v>1864.0666666666666</v>
      </c>
      <c r="G36" s="18">
        <f>Table3334567891012112122232425272829303132343637[[#This Row],[MTD Panel]]</f>
        <v>1864.0666666666666</v>
      </c>
      <c r="H36" s="72">
        <f>Table333456789101217[[#This Row],[Company Panel]]-Table333456789101217[[#This Row],[Our panel]]</f>
        <v>0</v>
      </c>
      <c r="I36" s="72">
        <f>Table333456789101217[[#This Row],[MTD Company]]-Table333456789101217[[#This Row],[MTD Panel]]</f>
        <v>0</v>
      </c>
      <c r="J36" s="7">
        <f>Table333456789101217[[#This Row],[Company Panel]]-Table333456789101217[[#This Row],[MTD Company]]</f>
        <v>0</v>
      </c>
      <c r="K36" s="7">
        <f>Table333456789101217[[#This Row],[Our panel]]-Table333456789101217[[#This Row],[MTD Panel]]</f>
        <v>0</v>
      </c>
    </row>
    <row r="37" spans="1:11">
      <c r="A37" s="82" t="s">
        <v>116</v>
      </c>
      <c r="B37" s="60" t="s">
        <v>70</v>
      </c>
      <c r="C37" s="69" t="s">
        <v>159</v>
      </c>
      <c r="D37" s="53">
        <v>0</v>
      </c>
      <c r="E37" s="53">
        <v>0</v>
      </c>
      <c r="F37" s="18">
        <f>Table3334567891012112122232425272829303132343637[[#This Row],[MTD Company]]</f>
        <v>0</v>
      </c>
      <c r="G37" s="18">
        <f>Table3334567891012112122232425272829303132343637[[#This Row],[MTD Panel]]</f>
        <v>0</v>
      </c>
      <c r="H37" s="72">
        <f>Table333456789101217[[#This Row],[Company Panel]]-Table333456789101217[[#This Row],[Our panel]]</f>
        <v>0</v>
      </c>
      <c r="I37" s="72">
        <f>Table333456789101217[[#This Row],[MTD Company]]-Table333456789101217[[#This Row],[MTD Panel]]</f>
        <v>0</v>
      </c>
      <c r="J37" s="7">
        <f>Table333456789101217[[#This Row],[Company Panel]]-Table333456789101217[[#This Row],[MTD Company]]</f>
        <v>0</v>
      </c>
      <c r="K37" s="7">
        <f>Table333456789101217[[#This Row],[Our panel]]-Table333456789101217[[#This Row],[MTD Panel]]</f>
        <v>0</v>
      </c>
    </row>
    <row r="38" spans="1:11">
      <c r="A38" s="82" t="s">
        <v>117</v>
      </c>
      <c r="B38" s="60" t="s">
        <v>71</v>
      </c>
      <c r="C38" s="69" t="s">
        <v>160</v>
      </c>
      <c r="D38" s="53">
        <v>9899.85</v>
      </c>
      <c r="E38" s="53">
        <v>9899.85</v>
      </c>
      <c r="F38" s="18">
        <f>Table3334567891012112122232425272829303132343637[[#This Row],[MTD Company]]</f>
        <v>9899.8499999999985</v>
      </c>
      <c r="G38" s="18">
        <f>Table3334567891012112122232425272829303132343637[[#This Row],[MTD Panel]]</f>
        <v>9899.8499999999985</v>
      </c>
      <c r="H38" s="72">
        <f>Table333456789101217[[#This Row],[Company Panel]]-Table333456789101217[[#This Row],[Our panel]]</f>
        <v>0</v>
      </c>
      <c r="I38" s="72">
        <f>Table333456789101217[[#This Row],[MTD Company]]-Table333456789101217[[#This Row],[MTD Panel]]</f>
        <v>0</v>
      </c>
      <c r="J38" s="7">
        <f>Table333456789101217[[#This Row],[Company Panel]]-Table333456789101217[[#This Row],[MTD Company]]</f>
        <v>0</v>
      </c>
      <c r="K38" s="7">
        <f>Table333456789101217[[#This Row],[Our panel]]-Table333456789101217[[#This Row],[MTD Panel]]</f>
        <v>0</v>
      </c>
    </row>
    <row r="39" spans="1:11">
      <c r="A39" s="82" t="s">
        <v>118</v>
      </c>
      <c r="B39" s="60" t="s">
        <v>72</v>
      </c>
      <c r="C39" s="69" t="s">
        <v>161</v>
      </c>
      <c r="D39" s="53">
        <v>46007.26666666667</v>
      </c>
      <c r="E39" s="53">
        <v>46007.26666666667</v>
      </c>
      <c r="F39" s="18">
        <f>Table3334567891012112122232425272829303132343637[[#This Row],[MTD Company]]</f>
        <v>46007.266666666663</v>
      </c>
      <c r="G39" s="18">
        <f>Table3334567891012112122232425272829303132343637[[#This Row],[MTD Panel]]</f>
        <v>46007.266666666663</v>
      </c>
      <c r="H39" s="72">
        <f>Table333456789101217[[#This Row],[Company Panel]]-Table333456789101217[[#This Row],[Our panel]]</f>
        <v>0</v>
      </c>
      <c r="I39" s="72">
        <f>Table333456789101217[[#This Row],[MTD Company]]-Table333456789101217[[#This Row],[MTD Panel]]</f>
        <v>0</v>
      </c>
      <c r="J39" s="7">
        <f>Table333456789101217[[#This Row],[Company Panel]]-Table333456789101217[[#This Row],[MTD Company]]</f>
        <v>0</v>
      </c>
      <c r="K39" s="7">
        <f>Table333456789101217[[#This Row],[Our panel]]-Table333456789101217[[#This Row],[MTD Panel]]</f>
        <v>0</v>
      </c>
    </row>
    <row r="40" spans="1:11">
      <c r="A40" s="99" t="s">
        <v>119</v>
      </c>
      <c r="B40" s="100" t="s">
        <v>73</v>
      </c>
      <c r="C40" s="69" t="s">
        <v>162</v>
      </c>
      <c r="D40" s="53">
        <v>8.0500000000000007</v>
      </c>
      <c r="E40" s="53">
        <v>8.0500000000000007</v>
      </c>
      <c r="F40" s="18">
        <f>Table3334567891012112122232425272829303132343637[[#This Row],[MTD Company]]</f>
        <v>8.0499999999999989</v>
      </c>
      <c r="G40" s="18">
        <f>Table3334567891012112122232425272829303132343637[[#This Row],[MTD Panel]]</f>
        <v>8.0499999999999989</v>
      </c>
      <c r="H40" s="72">
        <f>Table333456789101217[[#This Row],[Company Panel]]-Table333456789101217[[#This Row],[Our panel]]</f>
        <v>0</v>
      </c>
      <c r="I40" s="72">
        <f>Table333456789101217[[#This Row],[MTD Company]]-Table333456789101217[[#This Row],[MTD Panel]]</f>
        <v>0</v>
      </c>
      <c r="J40" s="7">
        <f>Table333456789101217[[#This Row],[Company Panel]]-Table333456789101217[[#This Row],[MTD Company]]</f>
        <v>0</v>
      </c>
      <c r="K40" s="7">
        <f>Table333456789101217[[#This Row],[Our panel]]-Table333456789101217[[#This Row],[MTD Panel]]</f>
        <v>0</v>
      </c>
    </row>
    <row r="41" spans="1:11">
      <c r="A41" s="82" t="s">
        <v>120</v>
      </c>
      <c r="B41" t="s">
        <v>74</v>
      </c>
      <c r="C41" s="69" t="s">
        <v>163</v>
      </c>
      <c r="D41" s="53">
        <v>1163.8</v>
      </c>
      <c r="E41" s="53">
        <v>1163.8</v>
      </c>
      <c r="F41" s="18">
        <f>Table3334567891012112122232425272829303132343637[[#This Row],[MTD Company]]</f>
        <v>1163.8</v>
      </c>
      <c r="G41" s="18">
        <f>Table3334567891012112122232425272829303132343637[[#This Row],[MTD Panel]]</f>
        <v>1163.8</v>
      </c>
      <c r="H41" s="63">
        <f>Table333456789101217[[#This Row],[Company Panel]]-Table333456789101217[[#This Row],[Our panel]]</f>
        <v>0</v>
      </c>
      <c r="I41" s="13">
        <f>Table333456789101217[[#This Row],[MTD Company]]-Table333456789101217[[#This Row],[MTD Panel]]</f>
        <v>0</v>
      </c>
      <c r="J41" s="7">
        <f>Table333456789101217[[#This Row],[Company Panel]]-Table333456789101217[[#This Row],[MTD Company]]</f>
        <v>0</v>
      </c>
      <c r="K41" s="7">
        <f>Table333456789101217[[#This Row],[Our panel]]-Table333456789101217[[#This Row],[MTD Panel]]</f>
        <v>0</v>
      </c>
    </row>
    <row r="42" spans="1:11">
      <c r="A42" s="82" t="s">
        <v>121</v>
      </c>
      <c r="B42" s="60" t="s">
        <v>75</v>
      </c>
      <c r="C42" s="69" t="s">
        <v>164</v>
      </c>
      <c r="D42" s="53">
        <v>9365.9833333333336</v>
      </c>
      <c r="E42" s="53">
        <v>9365.9833333333336</v>
      </c>
      <c r="F42" s="18">
        <f>Table3334567891012112122232425272829303132343637[[#This Row],[MTD Company]]</f>
        <v>9365.9833333333336</v>
      </c>
      <c r="G42" s="18">
        <f>Table3334567891012112122232425272829303132343637[[#This Row],[MTD Panel]]</f>
        <v>9365.9833333333336</v>
      </c>
      <c r="H42" s="72">
        <f>Table333456789101217[[#This Row],[Company Panel]]-Table333456789101217[[#This Row],[Our panel]]</f>
        <v>0</v>
      </c>
      <c r="I42" s="72">
        <f>Table333456789101217[[#This Row],[MTD Company]]-Table333456789101217[[#This Row],[MTD Panel]]</f>
        <v>0</v>
      </c>
      <c r="J42" s="7">
        <f>Table333456789101217[[#This Row],[Company Panel]]-Table333456789101217[[#This Row],[MTD Company]]</f>
        <v>0</v>
      </c>
      <c r="K42" s="7">
        <f>Table333456789101217[[#This Row],[Our panel]]-Table333456789101217[[#This Row],[MTD Panel]]</f>
        <v>0</v>
      </c>
    </row>
    <row r="43" spans="1:11">
      <c r="A43" s="82" t="s">
        <v>122</v>
      </c>
      <c r="B43" s="60" t="s">
        <v>76</v>
      </c>
      <c r="C43" s="69" t="s">
        <v>165</v>
      </c>
      <c r="D43" s="53">
        <v>276.11666666666667</v>
      </c>
      <c r="E43" s="53">
        <v>276.11666666666667</v>
      </c>
      <c r="F43" s="18">
        <f>Table3334567891012112122232425272829303132343637[[#This Row],[MTD Company]]</f>
        <v>276.11666666666667</v>
      </c>
      <c r="G43" s="18">
        <f>Table3334567891012112122232425272829303132343637[[#This Row],[MTD Panel]]</f>
        <v>276.11666666666667</v>
      </c>
      <c r="H43" s="72">
        <f>Table333456789101217[[#This Row],[Company Panel]]-Table333456789101217[[#This Row],[Our panel]]</f>
        <v>0</v>
      </c>
      <c r="I43" s="72">
        <f>Table333456789101217[[#This Row],[MTD Company]]-Table333456789101217[[#This Row],[MTD Panel]]</f>
        <v>0</v>
      </c>
      <c r="J43" s="7">
        <f>Table333456789101217[[#This Row],[Company Panel]]-Table333456789101217[[#This Row],[MTD Company]]</f>
        <v>0</v>
      </c>
      <c r="K43" s="7">
        <f>Table333456789101217[[#This Row],[Our panel]]-Table333456789101217[[#This Row],[MTD Panel]]</f>
        <v>0</v>
      </c>
    </row>
    <row r="44" spans="1:11">
      <c r="A44" s="82" t="s">
        <v>123</v>
      </c>
      <c r="B44" s="60" t="s">
        <v>77</v>
      </c>
      <c r="C44" s="69" t="s">
        <v>166</v>
      </c>
      <c r="D44" s="53">
        <v>0</v>
      </c>
      <c r="E44" s="53">
        <v>0</v>
      </c>
      <c r="F44" s="18">
        <f>Table3334567891012112122232425272829303132343637[[#This Row],[MTD Company]]</f>
        <v>0</v>
      </c>
      <c r="G44" s="18">
        <f>Table3334567891012112122232425272829303132343637[[#This Row],[MTD Panel]]</f>
        <v>0</v>
      </c>
      <c r="H44" s="78">
        <f>Table333456789101217[[#This Row],[Company Panel]]-Table333456789101217[[#This Row],[Our panel]]</f>
        <v>0</v>
      </c>
      <c r="I44" s="78">
        <f>Table333456789101217[[#This Row],[MTD Company]]-Table333456789101217[[#This Row],[MTD Panel]]</f>
        <v>0</v>
      </c>
      <c r="J44" s="7">
        <f>Table333456789101217[[#This Row],[Company Panel]]-Table333456789101217[[#This Row],[MTD Company]]</f>
        <v>0</v>
      </c>
      <c r="K44" s="7">
        <f>Table333456789101217[[#This Row],[Our panel]]-Table333456789101217[[#This Row],[MTD Panel]]</f>
        <v>0</v>
      </c>
    </row>
    <row r="45" spans="1:11">
      <c r="A45" s="82" t="s">
        <v>124</v>
      </c>
      <c r="B45" s="60" t="s">
        <v>78</v>
      </c>
      <c r="C45" s="69" t="s">
        <v>167</v>
      </c>
      <c r="D45" s="53">
        <v>35906.35</v>
      </c>
      <c r="E45" s="53">
        <v>35906.35</v>
      </c>
      <c r="F45" s="18">
        <f>Table3334567891012112122232425272829303132343637[[#This Row],[MTD Company]]</f>
        <v>35906.350000000013</v>
      </c>
      <c r="G45" s="18">
        <f>Table3334567891012112122232425272829303132343637[[#This Row],[MTD Panel]]</f>
        <v>35906.350000000013</v>
      </c>
      <c r="H45" s="72">
        <f>Table333456789101217[[#This Row],[Company Panel]]-Table333456789101217[[#This Row],[Our panel]]</f>
        <v>0</v>
      </c>
      <c r="I45" s="72">
        <f>Table333456789101217[[#This Row],[MTD Company]]-Table333456789101217[[#This Row],[MTD Panel]]</f>
        <v>0</v>
      </c>
      <c r="J45" s="7">
        <f>Table333456789101217[[#This Row],[Company Panel]]-Table333456789101217[[#This Row],[MTD Company]]</f>
        <v>0</v>
      </c>
      <c r="K45" s="7">
        <f>Table333456789101217[[#This Row],[Our panel]]-Table333456789101217[[#This Row],[MTD Panel]]</f>
        <v>0</v>
      </c>
    </row>
    <row r="46" spans="1:11">
      <c r="A46" s="84" t="s">
        <v>125</v>
      </c>
      <c r="B46" s="60" t="s">
        <v>79</v>
      </c>
      <c r="C46" s="6" t="s">
        <v>168</v>
      </c>
      <c r="D46" s="53">
        <v>57969.666666666664</v>
      </c>
      <c r="E46" s="53">
        <v>57969.666666666664</v>
      </c>
      <c r="F46" s="18">
        <f>Table3334567891012112122232425272829303132343637[[#This Row],[MTD Company]]</f>
        <v>57969.666666666672</v>
      </c>
      <c r="G46" s="18">
        <f>Table3334567891012112122232425272829303132343637[[#This Row],[MTD Panel]]</f>
        <v>57969.666666666672</v>
      </c>
      <c r="H46" s="83">
        <f>Table333456789101217[[#This Row],[Company Panel]]-Table333456789101217[[#This Row],[Our panel]]</f>
        <v>0</v>
      </c>
      <c r="I46" s="83">
        <f>Table333456789101217[[#This Row],[MTD Company]]-Table333456789101217[[#This Row],[MTD Panel]]</f>
        <v>0</v>
      </c>
      <c r="J46" s="7">
        <f>Table333456789101217[[#This Row],[Company Panel]]-Table333456789101217[[#This Row],[MTD Company]]</f>
        <v>0</v>
      </c>
      <c r="K46" s="7">
        <f>Table333456789101217[[#This Row],[Our panel]]-Table333456789101217[[#This Row],[MTD Panel]]</f>
        <v>0</v>
      </c>
    </row>
    <row r="47" spans="1:11">
      <c r="A47" s="84" t="s">
        <v>126</v>
      </c>
      <c r="B47" s="60" t="s">
        <v>80</v>
      </c>
      <c r="C47" s="6" t="s">
        <v>169</v>
      </c>
      <c r="D47" s="7">
        <v>0</v>
      </c>
      <c r="E47" s="7">
        <v>0</v>
      </c>
      <c r="F47" s="18">
        <f>Table3334567891012112122232425272829303132343637[[#This Row],[MTD Company]]</f>
        <v>0</v>
      </c>
      <c r="G47" s="18">
        <f>Table3334567891012112122232425272829303132343637[[#This Row],[MTD Panel]]</f>
        <v>0</v>
      </c>
      <c r="H47" s="90">
        <f>Table333456789101217[[#This Row],[Company Panel]]-Table333456789101217[[#This Row],[Our panel]]</f>
        <v>0</v>
      </c>
      <c r="I47" s="90">
        <f>Table333456789101217[[#This Row],[MTD Company]]-Table333456789101217[[#This Row],[MTD Panel]]</f>
        <v>0</v>
      </c>
      <c r="J47" s="7">
        <f>Table333456789101217[[#This Row],[Company Panel]]-Table333456789101217[[#This Row],[MTD Company]]</f>
        <v>0</v>
      </c>
      <c r="K47" s="7">
        <f>Table333456789101217[[#This Row],[Our panel]]-Table333456789101217[[#This Row],[MTD Panel]]</f>
        <v>0</v>
      </c>
    </row>
    <row r="48" spans="1:11">
      <c r="A48" s="84" t="s">
        <v>127</v>
      </c>
      <c r="B48" s="91" t="s">
        <v>81</v>
      </c>
      <c r="C48" s="6" t="s">
        <v>170</v>
      </c>
      <c r="D48" s="7">
        <v>0</v>
      </c>
      <c r="E48" s="7">
        <v>0</v>
      </c>
      <c r="F48" s="18">
        <f>Table3334567891012112122232425272829303132343637[[#This Row],[MTD Company]]</f>
        <v>0</v>
      </c>
      <c r="G48" s="18">
        <f>Table3334567891012112122232425272829303132343637[[#This Row],[MTD Panel]]</f>
        <v>0</v>
      </c>
      <c r="H48" s="90">
        <f>Table333456789101217[[#This Row],[Company Panel]]-Table333456789101217[[#This Row],[Our panel]]</f>
        <v>0</v>
      </c>
      <c r="I48" s="90">
        <f>Table333456789101217[[#This Row],[MTD Company]]-Table333456789101217[[#This Row],[MTD Panel]]</f>
        <v>0</v>
      </c>
      <c r="J48" s="7">
        <f>Table333456789101217[[#This Row],[Company Panel]]-Table333456789101217[[#This Row],[MTD Company]]</f>
        <v>0</v>
      </c>
      <c r="K48" s="7">
        <f>Table333456789101217[[#This Row],[Our panel]]-Table333456789101217[[#This Row],[MTD Panel]]</f>
        <v>0</v>
      </c>
    </row>
    <row r="49" spans="1:11" ht="15.5">
      <c r="A49" s="14" t="s">
        <v>29</v>
      </c>
      <c r="B49" s="14" t="s">
        <v>10</v>
      </c>
      <c r="C49" s="14"/>
      <c r="D49" s="16">
        <f>SUM(D3:D48)</f>
        <v>315936.25</v>
      </c>
      <c r="E49" s="16">
        <f t="shared" ref="E49:K49" si="0">SUM(E3:E48)</f>
        <v>315936.25</v>
      </c>
      <c r="F49" s="16">
        <f t="shared" si="0"/>
        <v>315936.24999999994</v>
      </c>
      <c r="G49" s="16">
        <f t="shared" si="0"/>
        <v>315936.24999999994</v>
      </c>
      <c r="H49" s="16">
        <f t="shared" si="0"/>
        <v>0</v>
      </c>
      <c r="I49" s="16">
        <f t="shared" si="0"/>
        <v>0</v>
      </c>
      <c r="J49" s="16">
        <f t="shared" si="0"/>
        <v>0</v>
      </c>
      <c r="K49" s="16">
        <f t="shared" si="0"/>
        <v>0</v>
      </c>
    </row>
    <row r="51" spans="1:11">
      <c r="G51" s="52"/>
    </row>
    <row r="52" spans="1:11">
      <c r="G52" s="9"/>
    </row>
  </sheetData>
  <conditionalFormatting sqref="H2:I33 H29:H48 H3:K28">
    <cfRule type="cellIs" dxfId="697" priority="18" operator="lessThan">
      <formula>0</formula>
    </cfRule>
  </conditionalFormatting>
  <conditionalFormatting sqref="I3:I33">
    <cfRule type="cellIs" dxfId="696" priority="6" operator="lessThan">
      <formula>0</formula>
    </cfRule>
    <cfRule type="cellIs" dxfId="695" priority="7" operator="lessThan">
      <formula>0</formula>
    </cfRule>
  </conditionalFormatting>
  <conditionalFormatting sqref="H34:I48">
    <cfRule type="cellIs" dxfId="694" priority="4" operator="lessThan">
      <formula>0</formula>
    </cfRule>
  </conditionalFormatting>
  <conditionalFormatting sqref="I34:I48">
    <cfRule type="cellIs" dxfId="693" priority="2" operator="lessThan">
      <formula>0</formula>
    </cfRule>
    <cfRule type="cellIs" dxfId="692" priority="3" operator="lessThan">
      <formula>0</formula>
    </cfRule>
  </conditionalFormatting>
  <conditionalFormatting sqref="J29:K48">
    <cfRule type="cellIs" dxfId="691" priority="1" operator="lessThan">
      <formula>0</formula>
    </cfRule>
  </conditionalFormatting>
  <hyperlinks>
    <hyperlink ref="E1" location="H!A1" display="Home"/>
    <hyperlink ref="D1" location="'31'!D1" display="←"/>
    <hyperlink ref="F1" location="'W1'!F1" display="→"/>
  </hyperlinks>
  <pageMargins left="0.7" right="0.7" top="0.75" bottom="0.75" header="0.3" footer="0.3"/>
  <pageSetup orientation="portrait" r:id="rId1"/>
  <ignoredErrors>
    <ignoredError sqref="F3:G49 H49:K49" calculatedColumn="1"/>
  </ignoredErrors>
  <drawing r:id="rId2"/>
  <tableParts count="1">
    <tablePart r:id="rId3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3"/>
  <sheetViews>
    <sheetView workbookViewId="0">
      <selection activeCell="D49" sqref="D49"/>
    </sheetView>
  </sheetViews>
  <sheetFormatPr defaultRowHeight="14.5"/>
  <cols>
    <col min="1" max="1" width="26.7265625" bestFit="1" customWidth="1"/>
    <col min="2" max="2" width="37" bestFit="1" customWidth="1"/>
    <col min="3" max="3" width="10.453125" customWidth="1"/>
    <col min="4" max="9" width="12.7265625" customWidth="1"/>
  </cols>
  <sheetData>
    <row r="1" spans="1:12" ht="18.5">
      <c r="A1" s="23" t="str">
        <f>H!D7</f>
        <v>22nd April 2025</v>
      </c>
      <c r="B1" s="24"/>
      <c r="C1" s="24"/>
      <c r="D1" s="22" t="s">
        <v>16</v>
      </c>
      <c r="E1" s="22" t="s">
        <v>9</v>
      </c>
      <c r="F1" s="22" t="s">
        <v>17</v>
      </c>
    </row>
    <row r="2" spans="1:12" ht="31">
      <c r="A2" s="1" t="s">
        <v>0</v>
      </c>
      <c r="B2" s="2" t="s">
        <v>1</v>
      </c>
      <c r="C2" s="2" t="s">
        <v>2</v>
      </c>
      <c r="D2" s="2" t="s">
        <v>3</v>
      </c>
      <c r="E2" s="2" t="s">
        <v>11</v>
      </c>
      <c r="F2" s="2" t="s">
        <v>4</v>
      </c>
      <c r="G2" s="4" t="s">
        <v>6</v>
      </c>
      <c r="H2" s="4" t="s">
        <v>7</v>
      </c>
      <c r="I2" s="3" t="s">
        <v>8</v>
      </c>
    </row>
    <row r="3" spans="1:12">
      <c r="A3" s="11" t="str">
        <f>Table333456789101217[[#This Row],[Carrier]]</f>
        <v>Blaze</v>
      </c>
      <c r="B3" s="5" t="str">
        <f>Table333456789101217[[#This Row],[IP]]</f>
        <v>8.12.34.56/48.163.17.845/60.502.86.203/191.45.28.14</v>
      </c>
      <c r="C3" s="6" t="str">
        <f>Table333456789101217[[#This Row],[Carrier Code]]</f>
        <v>BZ</v>
      </c>
      <c r="D3" s="53">
        <v>0</v>
      </c>
      <c r="E3" s="53">
        <v>0</v>
      </c>
      <c r="F3" s="18">
        <f>Table3334567891012112122232425272829[[#This Row],[Company Panel]]+Table33345678910121121222324252728[[#This Row],[MTD Company]]</f>
        <v>0</v>
      </c>
      <c r="G3" s="18">
        <f>Table3334567891012112122232425272829[[#This Row],[Our panel]]+Table33345678910121121222324252728[[#This Row],[MTD Panel]]</f>
        <v>0</v>
      </c>
      <c r="H3" s="13">
        <f>Table3334567891012112122232425272829[[#This Row],[Company Panel]]-Table3334567891012112122232425272829[[#This Row],[Our panel]]</f>
        <v>0</v>
      </c>
      <c r="I3" s="13">
        <f>Table3334567891012112122232425272829[[#This Row],[MTD Company]]-Table3334567891012112122232425272829[[#This Row],[MTD Panel]]</f>
        <v>0</v>
      </c>
    </row>
    <row r="4" spans="1:12">
      <c r="A4" s="11" t="str">
        <f>Table333456789101217[[#This Row],[Carrier]]</f>
        <v>Titan</v>
      </c>
      <c r="B4" s="5" t="str">
        <f>Table333456789101217[[#This Row],[IP]]</f>
        <v>123.45.67.89/123.45.67.93/203.24.101.65</v>
      </c>
      <c r="C4" s="6" t="str">
        <f>Table333456789101217[[#This Row],[Carrier Code]]</f>
        <v>TI</v>
      </c>
      <c r="D4" s="53">
        <v>0.93333333333333335</v>
      </c>
      <c r="E4" s="53">
        <v>0.93333333333333335</v>
      </c>
      <c r="F4" s="18">
        <f>Table3334567891012112122232425272829[[#This Row],[Company Panel]]+Table33345678910121121222324252728[[#This Row],[MTD Company]]</f>
        <v>326.40000000000003</v>
      </c>
      <c r="G4" s="18">
        <f>Table3334567891012112122232425272829[[#This Row],[Our panel]]+Table33345678910121121222324252728[[#This Row],[MTD Panel]]</f>
        <v>326.40000000000003</v>
      </c>
      <c r="H4" s="13">
        <f>Table3334567891012112122232425272829[[#This Row],[Company Panel]]-Table3334567891012112122232425272829[[#This Row],[Our panel]]</f>
        <v>0</v>
      </c>
      <c r="I4" s="13">
        <f>Table3334567891012112122232425272829[[#This Row],[MTD Company]]-Table3334567891012112122232425272829[[#This Row],[MTD Panel]]</f>
        <v>0</v>
      </c>
      <c r="L4" s="9"/>
    </row>
    <row r="5" spans="1:12">
      <c r="A5" s="11" t="str">
        <f>Table333456789101217[[#This Row],[Carrier]]</f>
        <v>Hollow</v>
      </c>
      <c r="B5" s="5" t="str">
        <f>Table333456789101217[[#This Row],[IP]]</f>
        <v>204.56.78.100/204.56.57.169/52.94.101.12</v>
      </c>
      <c r="C5" s="6" t="str">
        <f>Table333456789101217[[#This Row],[Carrier Code]]</f>
        <v>HO</v>
      </c>
      <c r="D5" s="53">
        <v>0</v>
      </c>
      <c r="E5" s="53">
        <v>0</v>
      </c>
      <c r="F5" s="18">
        <f>Table3334567891012112122232425272829[[#This Row],[Company Panel]]+Table33345678910121121222324252728[[#This Row],[MTD Company]]</f>
        <v>0</v>
      </c>
      <c r="G5" s="18">
        <f>Table3334567891012112122232425272829[[#This Row],[Our panel]]+Table33345678910121121222324252728[[#This Row],[MTD Panel]]</f>
        <v>0</v>
      </c>
      <c r="H5" s="13">
        <f>Table3334567891012112122232425272829[[#This Row],[Company Panel]]-Table3334567891012112122232425272829[[#This Row],[Our panel]]</f>
        <v>0</v>
      </c>
      <c r="I5" s="13">
        <f>Table3334567891012112122232425272829[[#This Row],[MTD Company]]-Table3334567891012112122232425272829[[#This Row],[MTD Panel]]</f>
        <v>0</v>
      </c>
    </row>
    <row r="6" spans="1:12">
      <c r="A6" s="11" t="str">
        <f>Table333456789101217[[#This Row],[Carrier]]</f>
        <v>Prism</v>
      </c>
      <c r="B6" s="5" t="str">
        <f>Table333456789101217[[#This Row],[IP]]</f>
        <v>35.118.22.45/137.63.112.25</v>
      </c>
      <c r="C6" s="6" t="str">
        <f>Table333456789101217[[#This Row],[Carrier Code]]</f>
        <v>PS</v>
      </c>
      <c r="D6" s="53">
        <v>726.06666666666672</v>
      </c>
      <c r="E6" s="53">
        <v>726.06666666666672</v>
      </c>
      <c r="F6" s="18">
        <f>Table3334567891012112122232425272829[[#This Row],[Company Panel]]+Table33345678910121121222324252728[[#This Row],[MTD Company]]</f>
        <v>69139.499999999971</v>
      </c>
      <c r="G6" s="18">
        <f>Table3334567891012112122232425272829[[#This Row],[Our panel]]+Table33345678910121121222324252728[[#This Row],[MTD Panel]]</f>
        <v>69139.499999999971</v>
      </c>
      <c r="H6" s="13">
        <f>Table3334567891012112122232425272829[[#This Row],[Company Panel]]-Table3334567891012112122232425272829[[#This Row],[Our panel]]</f>
        <v>0</v>
      </c>
      <c r="I6" s="13">
        <f>Table3334567891012112122232425272829[[#This Row],[MTD Company]]-Table3334567891012112122232425272829[[#This Row],[MTD Panel]]</f>
        <v>0</v>
      </c>
    </row>
    <row r="7" spans="1:12">
      <c r="A7" s="11" t="str">
        <f>Table333456789101217[[#This Row],[Carrier]]</f>
        <v>Echo</v>
      </c>
      <c r="B7" s="5" t="str">
        <f>Table333456789101217[[#This Row],[IP]]</f>
        <v>66.89.101.10/66.89.101.19/66.89.101.23/66.89.101.45/66.89.101.81/85.21.34.99</v>
      </c>
      <c r="C7" s="6" t="str">
        <f>Table333456789101217[[#This Row],[Carrier Code]]</f>
        <v>EC</v>
      </c>
      <c r="D7" s="53">
        <v>10.55</v>
      </c>
      <c r="E7" s="53">
        <v>10.55</v>
      </c>
      <c r="F7" s="18">
        <f>Table3334567891012112122232425272829[[#This Row],[Company Panel]]+Table33345678910121121222324252728[[#This Row],[MTD Company]]</f>
        <v>77.733333333333334</v>
      </c>
      <c r="G7" s="18">
        <f>Table3334567891012112122232425272829[[#This Row],[Our panel]]+Table33345678910121121222324252728[[#This Row],[MTD Panel]]</f>
        <v>77.733333333333334</v>
      </c>
      <c r="H7" s="13">
        <f>Table3334567891012112122232425272829[[#This Row],[Company Panel]]-Table3334567891012112122232425272829[[#This Row],[Our panel]]</f>
        <v>0</v>
      </c>
      <c r="I7" s="13">
        <f>Table3334567891012112122232425272829[[#This Row],[MTD Company]]-Table3334567891012112122232425272829[[#This Row],[MTD Panel]]</f>
        <v>0</v>
      </c>
    </row>
    <row r="8" spans="1:12">
      <c r="A8" s="11" t="str">
        <f>Table333456789101217[[#This Row],[Carrier]]</f>
        <v>Strike</v>
      </c>
      <c r="B8" s="5" t="str">
        <f>Table333456789101217[[#This Row],[IP]]</f>
        <v>100.200.150.3/100.200.165.38/41.102.90.78</v>
      </c>
      <c r="C8" s="6" t="str">
        <f>Table333456789101217[[#This Row],[Carrier Code]]</f>
        <v>ST</v>
      </c>
      <c r="D8" s="53">
        <v>117.75</v>
      </c>
      <c r="E8" s="53">
        <v>117.75</v>
      </c>
      <c r="F8" s="18">
        <f>Table3334567891012112122232425272829[[#This Row],[Company Panel]]+Table33345678910121121222324252728[[#This Row],[MTD Company]]</f>
        <v>2289.5166666666664</v>
      </c>
      <c r="G8" s="18">
        <f>Table3334567891012112122232425272829[[#This Row],[Our panel]]+Table33345678910121121222324252728[[#This Row],[MTD Panel]]</f>
        <v>2289.5166666666664</v>
      </c>
      <c r="H8" s="13">
        <f>Table3334567891012112122232425272829[[#This Row],[Company Panel]]-Table3334567891012112122232425272829[[#This Row],[Our panel]]</f>
        <v>0</v>
      </c>
      <c r="I8" s="13">
        <f>Table3334567891012112122232425272829[[#This Row],[MTD Company]]-Table3334567891012112122232425272829[[#This Row],[MTD Panel]]</f>
        <v>0</v>
      </c>
      <c r="L8" s="9"/>
    </row>
    <row r="9" spans="1:12">
      <c r="A9" s="11" t="str">
        <f>Table333456789101217[[#This Row],[Carrier]]</f>
        <v>Blunt</v>
      </c>
      <c r="B9" s="5" t="str">
        <f>Table333456789101217[[#This Row],[IP]]</f>
        <v>52.28.191.25/52.28.191.38/52.28.191.24/61.110.23.45</v>
      </c>
      <c r="C9" s="6" t="str">
        <f>Table333456789101217[[#This Row],[Carrier Code]]</f>
        <v>BL</v>
      </c>
      <c r="D9" s="53">
        <v>162.53333333333333</v>
      </c>
      <c r="E9" s="53">
        <v>162.53333333333333</v>
      </c>
      <c r="F9" s="18">
        <f>Table3334567891012112122232425272829[[#This Row],[Company Panel]]+Table33345678910121121222324252728[[#This Row],[MTD Company]]</f>
        <v>10392.933333333334</v>
      </c>
      <c r="G9" s="18">
        <f>Table3334567891012112122232425272829[[#This Row],[Our panel]]+Table33345678910121121222324252728[[#This Row],[MTD Panel]]</f>
        <v>10392.933333333334</v>
      </c>
      <c r="H9" s="13">
        <f>Table3334567891012112122232425272829[[#This Row],[Company Panel]]-Table3334567891012112122232425272829[[#This Row],[Our panel]]</f>
        <v>0</v>
      </c>
      <c r="I9" s="13">
        <f>Table3334567891012112122232425272829[[#This Row],[MTD Company]]-Table3334567891012112122232425272829[[#This Row],[MTD Panel]]</f>
        <v>0</v>
      </c>
    </row>
    <row r="10" spans="1:12">
      <c r="A10" s="11" t="str">
        <f>Table333456789101217[[#This Row],[Carrier]]</f>
        <v>Law</v>
      </c>
      <c r="B10" s="5" t="str">
        <f>Table333456789101217[[#This Row],[IP]]</f>
        <v>77.88.99.21/77.88.99.88/77.88.99.94/110.56.211.7</v>
      </c>
      <c r="C10" s="6" t="str">
        <f>Table333456789101217[[#This Row],[Carrier Code]]</f>
        <v>LA</v>
      </c>
      <c r="D10" s="53">
        <v>0</v>
      </c>
      <c r="E10" s="53">
        <v>0</v>
      </c>
      <c r="F10" s="18">
        <f>Table3334567891012112122232425272829[[#This Row],[Company Panel]]+Table33345678910121121222324252728[[#This Row],[MTD Company]]</f>
        <v>0</v>
      </c>
      <c r="G10" s="18">
        <f>Table3334567891012112122232425272829[[#This Row],[Our panel]]+Table33345678910121121222324252728[[#This Row],[MTD Panel]]</f>
        <v>0</v>
      </c>
      <c r="H10" s="13">
        <f>Table3334567891012112122232425272829[[#This Row],[Company Panel]]-Table3334567891012112122232425272829[[#This Row],[Our panel]]</f>
        <v>0</v>
      </c>
      <c r="I10" s="13">
        <f>Table3334567891012112122232425272829[[#This Row],[MTD Company]]-Table3334567891012112122232425272829[[#This Row],[MTD Panel]]</f>
        <v>0</v>
      </c>
    </row>
    <row r="11" spans="1:12">
      <c r="A11" s="11" t="str">
        <f>Table333456789101217[[#This Row],[Carrier]]</f>
        <v>Pulse</v>
      </c>
      <c r="B11" s="5" t="str">
        <f>Table333456789101217[[#This Row],[IP]]</f>
        <v>198.51.100.130/31.725.16.608/66.59.61.503/167.34.122.90</v>
      </c>
      <c r="C11" s="6" t="str">
        <f>Table333456789101217[[#This Row],[Carrier Code]]</f>
        <v>PU</v>
      </c>
      <c r="D11" s="53">
        <v>0</v>
      </c>
      <c r="E11" s="53">
        <v>0</v>
      </c>
      <c r="F11" s="18">
        <f>Table3334567891012112122232425272829[[#This Row],[Company Panel]]+Table33345678910121121222324252728[[#This Row],[MTD Company]]</f>
        <v>0</v>
      </c>
      <c r="G11" s="18">
        <f>Table3334567891012112122232425272829[[#This Row],[Our panel]]+Table33345678910121121222324252728[[#This Row],[MTD Panel]]</f>
        <v>0</v>
      </c>
      <c r="H11" s="13">
        <f>Table3334567891012112122232425272829[[#This Row],[Company Panel]]-Table3334567891012112122232425272829[[#This Row],[Our panel]]</f>
        <v>0</v>
      </c>
      <c r="I11" s="13">
        <f>Table3334567891012112122232425272829[[#This Row],[MTD Company]]-Table3334567891012112122232425272829[[#This Row],[MTD Panel]]</f>
        <v>0</v>
      </c>
    </row>
    <row r="12" spans="1:12">
      <c r="A12" s="11" t="str">
        <f>Table333456789101217[[#This Row],[Carrier]]</f>
        <v>Phantom</v>
      </c>
      <c r="B12" s="5" t="str">
        <f>Table333456789101217[[#This Row],[IP]]</f>
        <v>141.15.210.67/141.15.42.82/179.62.211.4</v>
      </c>
      <c r="C12" s="6" t="str">
        <f>Table333456789101217[[#This Row],[Carrier Code]]</f>
        <v>PH</v>
      </c>
      <c r="D12" s="53">
        <v>11.883333333333333</v>
      </c>
      <c r="E12" s="53">
        <v>11.883333333333333</v>
      </c>
      <c r="F12" s="18">
        <f>Table3334567891012112122232425272829[[#This Row],[Company Panel]]+Table33345678910121121222324252728[[#This Row],[MTD Company]]</f>
        <v>3366.5833333333326</v>
      </c>
      <c r="G12" s="18">
        <f>Table3334567891012112122232425272829[[#This Row],[Our panel]]+Table33345678910121121222324252728[[#This Row],[MTD Panel]]</f>
        <v>3366.5833333333326</v>
      </c>
      <c r="H12" s="13">
        <f>Table3334567891012112122232425272829[[#This Row],[Company Panel]]-Table3334567891012112122232425272829[[#This Row],[Our panel]]</f>
        <v>0</v>
      </c>
      <c r="I12" s="13">
        <f>Table3334567891012112122232425272829[[#This Row],[MTD Company]]-Table3334567891012112122232425272829[[#This Row],[MTD Panel]]</f>
        <v>0</v>
      </c>
    </row>
    <row r="13" spans="1:12">
      <c r="A13" s="11" t="str">
        <f>Table333456789101217[[#This Row],[Carrier]]</f>
        <v>Dragon</v>
      </c>
      <c r="B13" s="5" t="str">
        <f>Table333456789101217[[#This Row],[IP]]</f>
        <v>12.34.56.78/12.34.56.128/200.180.245.18</v>
      </c>
      <c r="C13" s="6" t="str">
        <f>Table333456789101217[[#This Row],[Carrier Code]]</f>
        <v>DG</v>
      </c>
      <c r="D13" s="53">
        <v>0</v>
      </c>
      <c r="E13" s="53">
        <v>0</v>
      </c>
      <c r="F13" s="18">
        <f>Table3334567891012112122232425272829[[#This Row],[Company Panel]]+Table33345678910121121222324252728[[#This Row],[MTD Company]]</f>
        <v>0</v>
      </c>
      <c r="G13" s="18">
        <f>Table3334567891012112122232425272829[[#This Row],[Our panel]]+Table33345678910121121222324252728[[#This Row],[MTD Panel]]</f>
        <v>0</v>
      </c>
      <c r="H13" s="13">
        <f>Table3334567891012112122232425272829[[#This Row],[Company Panel]]-Table3334567891012112122232425272829[[#This Row],[Our panel]]</f>
        <v>0</v>
      </c>
      <c r="I13" s="13">
        <f>Table3334567891012112122232425272829[[#This Row],[MTD Company]]-Table3334567891012112122232425272829[[#This Row],[MTD Panel]]</f>
        <v>0</v>
      </c>
    </row>
    <row r="14" spans="1:12">
      <c r="A14" s="11" t="str">
        <f>Table333456789101217[[#This Row],[Carrier]]</f>
        <v>Tempest</v>
      </c>
      <c r="B14" s="5" t="str">
        <f>Table333456789101217[[#This Row],[IP]]</f>
        <v>59.144.223.88/55.39.99.60</v>
      </c>
      <c r="C14" s="6" t="str">
        <f>Table333456789101217[[#This Row],[Carrier Code]]</f>
        <v>TE</v>
      </c>
      <c r="D14" s="53">
        <v>0</v>
      </c>
      <c r="E14" s="53">
        <v>0</v>
      </c>
      <c r="F14" s="18">
        <f>Table3334567891012112122232425272829[[#This Row],[Company Panel]]+Table33345678910121121222324252728[[#This Row],[MTD Company]]</f>
        <v>0</v>
      </c>
      <c r="G14" s="18">
        <f>Table3334567891012112122232425272829[[#This Row],[Our panel]]+Table33345678910121121222324252728[[#This Row],[MTD Panel]]</f>
        <v>0</v>
      </c>
      <c r="H14" s="13">
        <f>Table3334567891012112122232425272829[[#This Row],[Company Panel]]-Table3334567891012112122232425272829[[#This Row],[Our panel]]</f>
        <v>0</v>
      </c>
      <c r="I14" s="13">
        <f>Table3334567891012112122232425272829[[#This Row],[MTD Company]]-Table3334567891012112122232425272829[[#This Row],[MTD Panel]]</f>
        <v>0</v>
      </c>
    </row>
    <row r="15" spans="1:12">
      <c r="A15" s="11" t="str">
        <f>Table333456789101217[[#This Row],[Carrier]]</f>
        <v>Shadow</v>
      </c>
      <c r="B15" s="5" t="str">
        <f>Table333456789101217[[#This Row],[IP]]</f>
        <v>175.45.112.100/25.851.31.153/39.80.220.100</v>
      </c>
      <c r="C15" s="6" t="str">
        <f>Table333456789101217[[#This Row],[Carrier Code]]</f>
        <v>SH</v>
      </c>
      <c r="D15" s="53">
        <v>0</v>
      </c>
      <c r="E15" s="53">
        <v>0</v>
      </c>
      <c r="F15" s="18">
        <f>Table3334567891012112122232425272829[[#This Row],[Company Panel]]+Table33345678910121121222324252728[[#This Row],[MTD Company]]</f>
        <v>0.1</v>
      </c>
      <c r="G15" s="18">
        <f>Table3334567891012112122232425272829[[#This Row],[Our panel]]+Table33345678910121121222324252728[[#This Row],[MTD Panel]]</f>
        <v>0.1</v>
      </c>
      <c r="H15" s="13">
        <f>Table3334567891012112122232425272829[[#This Row],[Company Panel]]-Table3334567891012112122232425272829[[#This Row],[Our panel]]</f>
        <v>0</v>
      </c>
      <c r="I15" s="13">
        <f>Table3334567891012112122232425272829[[#This Row],[MTD Company]]-Table3334567891012112122232425272829[[#This Row],[MTD Panel]]</f>
        <v>0</v>
      </c>
    </row>
    <row r="16" spans="1:12">
      <c r="A16" s="11" t="str">
        <f>Table333456789101217[[#This Row],[Carrier]]</f>
        <v>Cyclone</v>
      </c>
      <c r="B16" s="5" t="str">
        <f>Table333456789101217[[#This Row],[IP]]</f>
        <v>150.13.75.190/16.160.89.512/72.11.97.34</v>
      </c>
      <c r="C16" s="6" t="str">
        <f>Table333456789101217[[#This Row],[Carrier Code]]</f>
        <v>CY</v>
      </c>
      <c r="D16" s="53">
        <v>0</v>
      </c>
      <c r="E16" s="53">
        <v>0</v>
      </c>
      <c r="F16" s="18">
        <f>Table3334567891012112122232425272829[[#This Row],[Company Panel]]+Table33345678910121121222324252728[[#This Row],[MTD Company]]</f>
        <v>0</v>
      </c>
      <c r="G16" s="18">
        <f>Table3334567891012112122232425272829[[#This Row],[Our panel]]+Table33345678910121121222324252728[[#This Row],[MTD Panel]]</f>
        <v>0</v>
      </c>
      <c r="H16" s="13">
        <f>Table3334567891012112122232425272829[[#This Row],[Company Panel]]-Table3334567891012112122232425272829[[#This Row],[Our panel]]</f>
        <v>0</v>
      </c>
      <c r="I16" s="13">
        <f>Table3334567891012112122232425272829[[#This Row],[MTD Company]]-Table3334567891012112122232425272829[[#This Row],[MTD Panel]]</f>
        <v>0</v>
      </c>
    </row>
    <row r="17" spans="1:9">
      <c r="A17" s="11" t="str">
        <f>Table333456789101217[[#This Row],[Carrier]]</f>
        <v>Reaver</v>
      </c>
      <c r="B17" s="5" t="str">
        <f>Table333456789101217[[#This Row],[IP]]</f>
        <v>203.0.113.44/188.17.56.210</v>
      </c>
      <c r="C17" s="6" t="str">
        <f>Table333456789101217[[#This Row],[Carrier Code]]</f>
        <v>RE</v>
      </c>
      <c r="D17" s="53">
        <v>0</v>
      </c>
      <c r="E17" s="53">
        <v>0</v>
      </c>
      <c r="F17" s="18">
        <f>Table3334567891012112122232425272829[[#This Row],[Company Panel]]+Table33345678910121121222324252728[[#This Row],[MTD Company]]</f>
        <v>0</v>
      </c>
      <c r="G17" s="18">
        <f>Table3334567891012112122232425272829[[#This Row],[Our panel]]+Table33345678910121121222324252728[[#This Row],[MTD Panel]]</f>
        <v>0</v>
      </c>
      <c r="H17" s="13">
        <f>Table3334567891012112122232425272829[[#This Row],[Company Panel]]-Table3334567891012112122232425272829[[#This Row],[Our panel]]</f>
        <v>0</v>
      </c>
      <c r="I17" s="13">
        <f>Table3334567891012112122232425272829[[#This Row],[MTD Company]]-Table3334567891012112122232425272829[[#This Row],[MTD Panel]]</f>
        <v>0</v>
      </c>
    </row>
    <row r="18" spans="1:9">
      <c r="A18" s="11" t="str">
        <f>Table333456789101217[[#This Row],[Carrier]]</f>
        <v>Forge</v>
      </c>
      <c r="B18" s="5" t="str">
        <f>Table333456789101217[[#This Row],[IP]]</f>
        <v>112.54.89.168/112.54.89.138</v>
      </c>
      <c r="C18" s="6" t="str">
        <f>Table333456789101217[[#This Row],[Carrier Code]]</f>
        <v>FO</v>
      </c>
      <c r="D18" s="53">
        <v>20.633333333333333</v>
      </c>
      <c r="E18" s="53">
        <v>20.633333333333333</v>
      </c>
      <c r="F18" s="18">
        <f>Table3334567891012112122232425272829[[#This Row],[Company Panel]]+Table33345678910121121222324252728[[#This Row],[MTD Company]]</f>
        <v>551.75</v>
      </c>
      <c r="G18" s="18">
        <f>Table3334567891012112122232425272829[[#This Row],[Our panel]]+Table33345678910121121222324252728[[#This Row],[MTD Panel]]</f>
        <v>551.75</v>
      </c>
      <c r="H18" s="13">
        <f>Table3334567891012112122232425272829[[#This Row],[Company Panel]]-Table3334567891012112122232425272829[[#This Row],[Our panel]]</f>
        <v>0</v>
      </c>
      <c r="I18" s="13">
        <f>Table3334567891012112122232425272829[[#This Row],[MTD Company]]-Table3334567891012112122232425272829[[#This Row],[MTD Panel]]</f>
        <v>0</v>
      </c>
    </row>
    <row r="19" spans="1:9">
      <c r="A19" s="11" t="str">
        <f>Table333456789101217[[#This Row],[Carrier]]</f>
        <v>Ember</v>
      </c>
      <c r="B19" s="5" t="str">
        <f>Table333456789101217[[#This Row],[IP]]</f>
        <v>78.34.90.24/328.56.122.44/142.150.75.22</v>
      </c>
      <c r="C19" s="6" t="str">
        <f>Table333456789101217[[#This Row],[Carrier Code]]</f>
        <v>EM</v>
      </c>
      <c r="D19" s="53">
        <v>0</v>
      </c>
      <c r="E19" s="53">
        <v>0</v>
      </c>
      <c r="F19" s="18">
        <f>Table3334567891012112122232425272829[[#This Row],[Company Panel]]+Table33345678910121121222324252728[[#This Row],[MTD Company]]</f>
        <v>0</v>
      </c>
      <c r="G19" s="18">
        <f>Table3334567891012112122232425272829[[#This Row],[Our panel]]+Table33345678910121121222324252728[[#This Row],[MTD Panel]]</f>
        <v>0</v>
      </c>
      <c r="H19" s="13">
        <f>Table3334567891012112122232425272829[[#This Row],[Company Panel]]-Table3334567891012112122232425272829[[#This Row],[Our panel]]</f>
        <v>0</v>
      </c>
      <c r="I19" s="13">
        <f>Table3334567891012112122232425272829[[#This Row],[MTD Company]]-Table3334567891012112122232425272829[[#This Row],[MTD Panel]]</f>
        <v>0</v>
      </c>
    </row>
    <row r="20" spans="1:9">
      <c r="A20" s="11" t="str">
        <f>Table333456789101217[[#This Row],[Carrier]]</f>
        <v>Specter</v>
      </c>
      <c r="B20" s="5" t="str">
        <f>Table333456789101217[[#This Row],[IP]]</f>
        <v>205.60.34.150</v>
      </c>
      <c r="C20" s="6" t="str">
        <f>Table333456789101217[[#This Row],[Carrier Code]]</f>
        <v>SP</v>
      </c>
      <c r="D20" s="53">
        <v>0</v>
      </c>
      <c r="E20" s="53">
        <v>0</v>
      </c>
      <c r="F20" s="18">
        <f>Table3334567891012112122232425272829[[#This Row],[Company Panel]]+Table33345678910121121222324252728[[#This Row],[MTD Company]]</f>
        <v>11.950000000000003</v>
      </c>
      <c r="G20" s="18">
        <f>Table3334567891012112122232425272829[[#This Row],[Our panel]]+Table33345678910121121222324252728[[#This Row],[MTD Panel]]</f>
        <v>11.950000000000003</v>
      </c>
      <c r="H20" s="13">
        <f>Table3334567891012112122232425272829[[#This Row],[Company Panel]]-Table3334567891012112122232425272829[[#This Row],[Our panel]]</f>
        <v>0</v>
      </c>
      <c r="I20" s="13">
        <f>Table3334567891012112122232425272829[[#This Row],[MTD Company]]-Table3334567891012112122232425272829[[#This Row],[MTD Panel]]</f>
        <v>0</v>
      </c>
    </row>
    <row r="21" spans="1:9">
      <c r="A21" s="11" t="str">
        <f>Table333456789101217[[#This Row],[Carrier]]</f>
        <v>Throne</v>
      </c>
      <c r="B21" s="5" t="str">
        <f>Table333456789101217[[#This Row],[IP]]</f>
        <v>54.32.11.90/27.758.27.201/125.150.58.20</v>
      </c>
      <c r="C21" s="6" t="str">
        <f>Table333456789101217[[#This Row],[Carrier Code]]</f>
        <v>TH</v>
      </c>
      <c r="D21" s="53">
        <v>0</v>
      </c>
      <c r="E21" s="53">
        <v>0</v>
      </c>
      <c r="F21" s="18">
        <f>Table3334567891012112122232425272829[[#This Row],[Company Panel]]+Table33345678910121121222324252728[[#This Row],[MTD Company]]</f>
        <v>0</v>
      </c>
      <c r="G21" s="18">
        <f>Table3334567891012112122232425272829[[#This Row],[Our panel]]+Table33345678910121121222324252728[[#This Row],[MTD Panel]]</f>
        <v>0</v>
      </c>
      <c r="H21" s="13">
        <f>Table3334567891012112122232425272829[[#This Row],[Company Panel]]-Table3334567891012112122232425272829[[#This Row],[Our panel]]</f>
        <v>0</v>
      </c>
      <c r="I21" s="13">
        <f>Table3334567891012112122232425272829[[#This Row],[MTD Company]]-Table3334567891012112122232425272829[[#This Row],[MTD Panel]]</f>
        <v>0</v>
      </c>
    </row>
    <row r="22" spans="1:9">
      <c r="A22" s="11" t="str">
        <f>Table333456789101217[[#This Row],[Carrier]]</f>
        <v>Arcane</v>
      </c>
      <c r="B22" s="5" t="str">
        <f>Table333456789101217[[#This Row],[IP]]</f>
        <v>212.100.25.78/212.100.25.87</v>
      </c>
      <c r="C22" s="6" t="str">
        <f>Table333456789101217[[#This Row],[Carrier Code]]</f>
        <v>AR</v>
      </c>
      <c r="D22" s="53">
        <v>0</v>
      </c>
      <c r="E22" s="53">
        <v>0</v>
      </c>
      <c r="F22" s="18">
        <f>Table3334567891012112122232425272829[[#This Row],[Company Panel]]+Table33345678910121121222324252728[[#This Row],[MTD Company]]</f>
        <v>80.75</v>
      </c>
      <c r="G22" s="18">
        <f>Table3334567891012112122232425272829[[#This Row],[Our panel]]+Table33345678910121121222324252728[[#This Row],[MTD Panel]]</f>
        <v>80.75</v>
      </c>
      <c r="H22" s="13">
        <f>Table3334567891012112122232425272829[[#This Row],[Company Panel]]-Table3334567891012112122232425272829[[#This Row],[Our panel]]</f>
        <v>0</v>
      </c>
      <c r="I22" s="13">
        <f>Table3334567891012112122232425272829[[#This Row],[MTD Company]]-Table3334567891012112122232425272829[[#This Row],[MTD Panel]]</f>
        <v>0</v>
      </c>
    </row>
    <row r="23" spans="1:9">
      <c r="A23" s="11" t="str">
        <f>Table333456789101217[[#This Row],[Carrier]]</f>
        <v>Glitch</v>
      </c>
      <c r="B23" s="5" t="str">
        <f>Table333456789101217[[#This Row],[IP]]</f>
        <v>198.204.100.12/198.204.100.34/198.204.100.51</v>
      </c>
      <c r="C23" s="6" t="str">
        <f>Table333456789101217[[#This Row],[Carrier Code]]</f>
        <v>GL</v>
      </c>
      <c r="D23" s="53">
        <v>0</v>
      </c>
      <c r="E23" s="53">
        <v>0</v>
      </c>
      <c r="F23" s="18">
        <f>Table3334567891012112122232425272829[[#This Row],[Company Panel]]+Table33345678910121121222324252728[[#This Row],[MTD Company]]</f>
        <v>0</v>
      </c>
      <c r="G23" s="18">
        <f>Table3334567891012112122232425272829[[#This Row],[Our panel]]+Table33345678910121121222324252728[[#This Row],[MTD Panel]]</f>
        <v>0</v>
      </c>
      <c r="H23" s="13">
        <f>Table3334567891012112122232425272829[[#This Row],[Company Panel]]-Table3334567891012112122232425272829[[#This Row],[Our panel]]</f>
        <v>0</v>
      </c>
      <c r="I23" s="13">
        <f>Table3334567891012112122232425272829[[#This Row],[MTD Company]]-Table3334567891012112122232425272829[[#This Row],[MTD Panel]]</f>
        <v>0</v>
      </c>
    </row>
    <row r="24" spans="1:9">
      <c r="A24" s="11" t="str">
        <f>Table333456789101217[[#This Row],[Carrier]]</f>
        <v>Nitro</v>
      </c>
      <c r="B24" s="5" t="str">
        <f>Table333456789101217[[#This Row],[IP]]</f>
        <v>15.150.200.33/119.82.200.100</v>
      </c>
      <c r="C24" s="6" t="str">
        <f>Table333456789101217[[#This Row],[Carrier Code]]</f>
        <v>NI</v>
      </c>
      <c r="D24" s="53">
        <v>0</v>
      </c>
      <c r="E24" s="53">
        <v>0</v>
      </c>
      <c r="F24" s="18">
        <f>Table3334567891012112122232425272829[[#This Row],[Company Panel]]+Table33345678910121121222324252728[[#This Row],[MTD Company]]</f>
        <v>0</v>
      </c>
      <c r="G24" s="18">
        <f>Table3334567891012112122232425272829[[#This Row],[Our panel]]+Table33345678910121121222324252728[[#This Row],[MTD Panel]]</f>
        <v>0</v>
      </c>
      <c r="H24" s="13">
        <f>Table3334567891012112122232425272829[[#This Row],[Company Panel]]-Table3334567891012112122232425272829[[#This Row],[Our panel]]</f>
        <v>0</v>
      </c>
      <c r="I24" s="13">
        <f>Table3334567891012112122232425272829[[#This Row],[MTD Company]]-Table3334567891012112122232425272829[[#This Row],[MTD Panel]]</f>
        <v>0</v>
      </c>
    </row>
    <row r="25" spans="1:9">
      <c r="A25" s="11" t="str">
        <f>Table333456789101217[[#This Row],[Carrier]]</f>
        <v>Drip</v>
      </c>
      <c r="B25" s="5" t="str">
        <f>Table333456789101217[[#This Row],[IP]]</f>
        <v>84.13.76.190/90.945.80.11/198.160.234.5</v>
      </c>
      <c r="C25" s="6" t="str">
        <f>Table333456789101217[[#This Row],[Carrier Code]]</f>
        <v>DR</v>
      </c>
      <c r="D25" s="53">
        <v>0</v>
      </c>
      <c r="E25" s="53">
        <v>0</v>
      </c>
      <c r="F25" s="18">
        <f>Table3334567891012112122232425272829[[#This Row],[Company Panel]]+Table33345678910121121222324252728[[#This Row],[MTD Company]]</f>
        <v>0</v>
      </c>
      <c r="G25" s="18">
        <f>Table3334567891012112122232425272829[[#This Row],[Our panel]]+Table33345678910121121222324252728[[#This Row],[MTD Panel]]</f>
        <v>0</v>
      </c>
      <c r="H25" s="13">
        <f>Table3334567891012112122232425272829[[#This Row],[Company Panel]]-Table3334567891012112122232425272829[[#This Row],[Our panel]]</f>
        <v>0</v>
      </c>
      <c r="I25" s="13">
        <f>Table3334567891012112122232425272829[[#This Row],[MTD Company]]-Table3334567891012112122232425272829[[#This Row],[MTD Panel]]</f>
        <v>0</v>
      </c>
    </row>
    <row r="26" spans="1:9">
      <c r="A26" s="11" t="str">
        <f>Table333456789101217[[#This Row],[Carrier]]</f>
        <v>Glide</v>
      </c>
      <c r="B26" s="5" t="str">
        <f>Table333456789101217[[#This Row],[IP]]</f>
        <v>120.45.12.25/85.739.221.80/85.739.221.93</v>
      </c>
      <c r="C26" s="6" t="str">
        <f>Table333456789101217[[#This Row],[Carrier Code]]</f>
        <v>GI</v>
      </c>
      <c r="D26" s="53">
        <v>0</v>
      </c>
      <c r="E26" s="53">
        <v>0</v>
      </c>
      <c r="F26" s="18">
        <f>Table3334567891012112122232425272829[[#This Row],[Company Panel]]+Table33345678910121121222324252728[[#This Row],[MTD Company]]</f>
        <v>0</v>
      </c>
      <c r="G26" s="18">
        <f>Table3334567891012112122232425272829[[#This Row],[Our panel]]+Table33345678910121121222324252728[[#This Row],[MTD Panel]]</f>
        <v>0</v>
      </c>
      <c r="H26" s="13">
        <f>Table3334567891012112122232425272829[[#This Row],[Company Panel]]-Table3334567891012112122232425272829[[#This Row],[Our panel]]</f>
        <v>0</v>
      </c>
      <c r="I26" s="13">
        <f>Table3334567891012112122232425272829[[#This Row],[MTD Company]]-Table3334567891012112122232425272829[[#This Row],[MTD Panel]]</f>
        <v>0</v>
      </c>
    </row>
    <row r="27" spans="1:9">
      <c r="A27" s="11" t="str">
        <f>Table333456789101217[[#This Row],[Carrier]]</f>
        <v>Orbit</v>
      </c>
      <c r="B27" s="5" t="str">
        <f>Table333456789101217[[#This Row],[IP]]</f>
        <v>176.98.54.112/60.110.154.91/60.110.155.162</v>
      </c>
      <c r="C27" s="6" t="str">
        <f>Table333456789101217[[#This Row],[Carrier Code]]</f>
        <v>OR</v>
      </c>
      <c r="D27" s="53">
        <v>0</v>
      </c>
      <c r="E27" s="53">
        <v>0</v>
      </c>
      <c r="F27" s="18">
        <f>Table3334567891012112122232425272829[[#This Row],[Company Panel]]+Table33345678910121121222324252728[[#This Row],[MTD Company]]</f>
        <v>0</v>
      </c>
      <c r="G27" s="18">
        <f>Table3334567891012112122232425272829[[#This Row],[Our panel]]+Table33345678910121121222324252728[[#This Row],[MTD Panel]]</f>
        <v>0</v>
      </c>
      <c r="H27" s="13">
        <f>Table3334567891012112122232425272829[[#This Row],[Company Panel]]-Table3334567891012112122232425272829[[#This Row],[Our panel]]</f>
        <v>0</v>
      </c>
      <c r="I27" s="13">
        <f>Table3334567891012112122232425272829[[#This Row],[MTD Company]]-Table3334567891012112122232425272829[[#This Row],[MTD Panel]]</f>
        <v>0</v>
      </c>
    </row>
    <row r="28" spans="1:9">
      <c r="A28" s="11" t="str">
        <f>Table333456789101217[[#This Row],[Carrier]]</f>
        <v>Thunder</v>
      </c>
      <c r="B28" s="5" t="str">
        <f>Table333456789101217[[#This Row],[IP]]</f>
        <v>67.102.200.9/81.905.48.847/143.235.100.34</v>
      </c>
      <c r="C28" s="6" t="str">
        <f>Table333456789101217[[#This Row],[Carrier Code]]</f>
        <v>TU</v>
      </c>
      <c r="D28" s="53">
        <v>4.6833333333333336</v>
      </c>
      <c r="E28" s="53">
        <v>4.6833333333333336</v>
      </c>
      <c r="F28" s="18">
        <f>Table3334567891012112122232425272829[[#This Row],[Company Panel]]+Table33345678910121121222324252728[[#This Row],[MTD Company]]</f>
        <v>551.14999999999986</v>
      </c>
      <c r="G28" s="18">
        <f>Table3334567891012112122232425272829[[#This Row],[Our panel]]+Table33345678910121121222324252728[[#This Row],[MTD Panel]]</f>
        <v>551.14999999999986</v>
      </c>
      <c r="H28" s="13">
        <f>Table3334567891012112122232425272829[[#This Row],[Company Panel]]-Table3334567891012112122232425272829[[#This Row],[Our panel]]</f>
        <v>0</v>
      </c>
      <c r="I28" s="13">
        <f>Table3334567891012112122232425272829[[#This Row],[MTD Company]]-Table3334567891012112122232425272829[[#This Row],[MTD Panel]]</f>
        <v>0</v>
      </c>
    </row>
    <row r="29" spans="1:9">
      <c r="A29" s="11" t="str">
        <f>Table333456789101217[[#This Row],[Carrier]]</f>
        <v>Glimmer</v>
      </c>
      <c r="B29" s="5" t="str">
        <f>Table333456789101217[[#This Row],[IP]]</f>
        <v>99.22.211.100/71.54.85.344/71.54.85.218</v>
      </c>
      <c r="C29" s="6" t="str">
        <f>Table333456789101217[[#This Row],[Carrier Code]]</f>
        <v>GM</v>
      </c>
      <c r="D29" s="53">
        <v>0</v>
      </c>
      <c r="E29" s="53">
        <v>0</v>
      </c>
      <c r="F29" s="18">
        <f>Table3334567891012112122232425272829[[#This Row],[Company Panel]]+Table33345678910121121222324252728[[#This Row],[MTD Company]]</f>
        <v>0</v>
      </c>
      <c r="G29" s="18">
        <f>Table3334567891012112122232425272829[[#This Row],[Our panel]]+Table33345678910121121222324252728[[#This Row],[MTD Panel]]</f>
        <v>0</v>
      </c>
      <c r="H29" s="13">
        <f>Table3334567891012112122232425272829[[#This Row],[Company Panel]]-Table3334567891012112122232425272829[[#This Row],[Our panel]]</f>
        <v>0</v>
      </c>
      <c r="I29" s="13">
        <f>Table3334567891012112122232425272829[[#This Row],[MTD Company]]-Table3334567891012112122232425272829[[#This Row],[MTD Panel]]</f>
        <v>0</v>
      </c>
    </row>
    <row r="30" spans="1:9">
      <c r="A30" s="11" t="str">
        <f>Table333456789101217[[#This Row],[Carrier]]</f>
        <v>Fragment</v>
      </c>
      <c r="B30" s="5" t="str">
        <f>Table333456789101217[[#This Row],[IP]]</f>
        <v>203.0.113.56/195.56.101.10</v>
      </c>
      <c r="C30" s="6" t="str">
        <f>Table333456789101217[[#This Row],[Carrier Code]]</f>
        <v>FR</v>
      </c>
      <c r="D30" s="53">
        <v>0</v>
      </c>
      <c r="E30" s="53">
        <v>0</v>
      </c>
      <c r="F30" s="18">
        <f>Table3334567891012112122232425272829[[#This Row],[Company Panel]]+Table33345678910121121222324252728[[#This Row],[MTD Company]]</f>
        <v>0</v>
      </c>
      <c r="G30" s="18">
        <f>Table3334567891012112122232425272829[[#This Row],[Our panel]]+Table33345678910121121222324252728[[#This Row],[MTD Panel]]</f>
        <v>0</v>
      </c>
      <c r="H30" s="13">
        <f>Table3334567891012112122232425272829[[#This Row],[Company Panel]]-Table3334567891012112122232425272829[[#This Row],[Our panel]]</f>
        <v>0</v>
      </c>
      <c r="I30" s="13">
        <f>Table3334567891012112122232425272829[[#This Row],[MTD Company]]-Table3334567891012112122232425272829[[#This Row],[MTD Panel]]</f>
        <v>0</v>
      </c>
    </row>
    <row r="31" spans="1:9">
      <c r="A31" s="11" t="str">
        <f>Table333456789101217[[#This Row],[Carrier]]</f>
        <v>Dusk</v>
      </c>
      <c r="B31" s="5" t="str">
        <f>Table333456789101217[[#This Row],[IP]]</f>
        <v>33.44.55.66/33.44.55.84/33.44.55.122/214.68.90.122</v>
      </c>
      <c r="C31" s="6" t="str">
        <f>Table333456789101217[[#This Row],[Carrier Code]]</f>
        <v>DK</v>
      </c>
      <c r="D31" s="53">
        <v>0</v>
      </c>
      <c r="E31" s="53">
        <v>0</v>
      </c>
      <c r="F31" s="18">
        <f>Table3334567891012112122232425272829[[#This Row],[Company Panel]]+Table33345678910121121222324252728[[#This Row],[MTD Company]]</f>
        <v>0</v>
      </c>
      <c r="G31" s="18">
        <f>Table3334567891012112122232425272829[[#This Row],[Our panel]]+Table33345678910121121222324252728[[#This Row],[MTD Panel]]</f>
        <v>0</v>
      </c>
      <c r="H31" s="13">
        <f>Table3334567891012112122232425272829[[#This Row],[Company Panel]]-Table3334567891012112122232425272829[[#This Row],[Our panel]]</f>
        <v>0</v>
      </c>
      <c r="I31" s="13">
        <f>Table3334567891012112122232425272829[[#This Row],[MTD Company]]-Table3334567891012112122232425272829[[#This Row],[MTD Panel]]</f>
        <v>0</v>
      </c>
    </row>
    <row r="32" spans="1:9">
      <c r="A32" s="11" t="str">
        <f>Table333456789101217[[#This Row],[Carrier]]</f>
        <v>Breeze</v>
      </c>
      <c r="B32" s="5" t="str">
        <f>Table333456789101217[[#This Row],[IP]]</f>
        <v>199.123.87.45/199.123.34.52/77.189.22.56</v>
      </c>
      <c r="C32" s="6" t="str">
        <f>Table333456789101217[[#This Row],[Carrier Code]]</f>
        <v>BR</v>
      </c>
      <c r="D32" s="53">
        <v>0</v>
      </c>
      <c r="E32" s="53">
        <v>0</v>
      </c>
      <c r="F32" s="18">
        <f>Table3334567891012112122232425272829[[#This Row],[Company Panel]]+Table33345678910121121222324252728[[#This Row],[MTD Company]]</f>
        <v>0</v>
      </c>
      <c r="G32" s="18">
        <f>Table3334567891012112122232425272829[[#This Row],[Our panel]]+Table33345678910121121222324252728[[#This Row],[MTD Panel]]</f>
        <v>0</v>
      </c>
      <c r="H32" s="13">
        <f>Table3334567891012112122232425272829[[#This Row],[Company Panel]]-Table3334567891012112122232425272829[[#This Row],[Our panel]]</f>
        <v>0</v>
      </c>
      <c r="I32" s="13">
        <f>Table3334567891012112122232425272829[[#This Row],[MTD Company]]-Table3334567891012112122232425272829[[#This Row],[MTD Panel]]</f>
        <v>0</v>
      </c>
    </row>
    <row r="33" spans="1:9">
      <c r="A33" s="11" t="str">
        <f>Table333456789101217[[#This Row],[Carrier]]</f>
        <v>Clutch</v>
      </c>
      <c r="B33" s="5" t="str">
        <f>Table333456789101217[[#This Row],[IP]]</f>
        <v>55.66.77.88/84.126.79.28/152.233.45.11</v>
      </c>
      <c r="C33" s="6" t="str">
        <f>Table333456789101217[[#This Row],[Carrier Code]]</f>
        <v>CL</v>
      </c>
      <c r="D33" s="53">
        <v>0</v>
      </c>
      <c r="E33" s="53">
        <v>0</v>
      </c>
      <c r="F33" s="18">
        <f>Table3334567891012112122232425272829[[#This Row],[Company Panel]]+Table33345678910121121222324252728[[#This Row],[MTD Company]]</f>
        <v>0</v>
      </c>
      <c r="G33" s="18">
        <f>Table3334567891012112122232425272829[[#This Row],[Our panel]]+Table33345678910121121222324252728[[#This Row],[MTD Panel]]</f>
        <v>0</v>
      </c>
      <c r="H33" s="13">
        <f>Table3334567891012112122232425272829[[#This Row],[Company Panel]]-Table3334567891012112122232425272829[[#This Row],[Our panel]]</f>
        <v>0</v>
      </c>
      <c r="I33" s="13">
        <f>Table3334567891012112122232425272829[[#This Row],[MTD Company]]-Table3334567891012112122232425272829[[#This Row],[MTD Panel]]</f>
        <v>0</v>
      </c>
    </row>
    <row r="34" spans="1:9">
      <c r="A34" s="11" t="str">
        <f>Table333456789101217[[#This Row],[Carrier]]</f>
        <v>Haze</v>
      </c>
      <c r="B34" s="5" t="str">
        <f>Table333456789101217[[#This Row],[IP]]</f>
        <v>230.111.44.56</v>
      </c>
      <c r="C34" s="6" t="str">
        <f>Table333456789101217[[#This Row],[Carrier Code]]</f>
        <v>HZ</v>
      </c>
      <c r="D34" s="53">
        <v>10086.049999999999</v>
      </c>
      <c r="E34" s="53">
        <v>10086.049999999999</v>
      </c>
      <c r="F34" s="18">
        <f>Table3334567891012112122232425272829[[#This Row],[Company Panel]]+Table33345678910121121222324252728[[#This Row],[MTD Company]]</f>
        <v>12847.65</v>
      </c>
      <c r="G34" s="18">
        <f>Table3334567891012112122232425272829[[#This Row],[Our panel]]+Table33345678910121121222324252728[[#This Row],[MTD Panel]]</f>
        <v>12847.65</v>
      </c>
      <c r="H34" s="68">
        <f>Table3334567891012112122232425272829[[#This Row],[Company Panel]]-Table3334567891012112122232425272829[[#This Row],[Our panel]]</f>
        <v>0</v>
      </c>
      <c r="I34" s="68">
        <f>Table3334567891012112122232425272829[[#This Row],[MTD Company]]-Table3334567891012112122232425272829[[#This Row],[MTD Panel]]</f>
        <v>0</v>
      </c>
    </row>
    <row r="35" spans="1:9">
      <c r="A35" s="11" t="str">
        <f>Table333456789101217[[#This Row],[Carrier]]</f>
        <v>Vault</v>
      </c>
      <c r="B35" s="5" t="str">
        <f>Table333456789101217[[#This Row],[IP]]</f>
        <v>213.189.94.5/213.189.94.7/111.180.64.222</v>
      </c>
      <c r="C35" s="6" t="str">
        <f>Table333456789101217[[#This Row],[Carrier Code]]</f>
        <v>VA</v>
      </c>
      <c r="D35" s="53">
        <v>0</v>
      </c>
      <c r="E35" s="53">
        <v>0</v>
      </c>
      <c r="F35" s="18">
        <f>Table3334567891012112122232425272829[[#This Row],[Company Panel]]+Table33345678910121121222324252728[[#This Row],[MTD Company]]</f>
        <v>0</v>
      </c>
      <c r="G35" s="18">
        <f>Table3334567891012112122232425272829[[#This Row],[Our panel]]+Table33345678910121121222324252728[[#This Row],[MTD Panel]]</f>
        <v>0</v>
      </c>
      <c r="H35" s="68">
        <f>Table3334567891012112122232425272829[[#This Row],[Company Panel]]-Table3334567891012112122232425272829[[#This Row],[Our panel]]</f>
        <v>0</v>
      </c>
      <c r="I35" s="68">
        <f>Table3334567891012112122232425272829[[#This Row],[MTD Company]]-Table3334567891012112122232425272829[[#This Row],[MTD Panel]]</f>
        <v>0</v>
      </c>
    </row>
    <row r="36" spans="1:9">
      <c r="A36" s="11" t="str">
        <f>Table333456789101217[[#This Row],[Carrier]]</f>
        <v>Scatter</v>
      </c>
      <c r="B36" s="5" t="str">
        <f>Table333456789101217[[#This Row],[IP]]</f>
        <v>14.123.45.67/168.251.90.15</v>
      </c>
      <c r="C36" s="6" t="str">
        <f>Table333456789101217[[#This Row],[Carrier Code]]</f>
        <v>SC</v>
      </c>
      <c r="D36" s="53">
        <v>108.33333333333333</v>
      </c>
      <c r="E36" s="53">
        <v>108.33333333333333</v>
      </c>
      <c r="F36" s="18">
        <f>Table3334567891012112122232425272829[[#This Row],[Company Panel]]+Table33345678910121121222324252728[[#This Row],[MTD Company]]</f>
        <v>1273.1999999999998</v>
      </c>
      <c r="G36" s="18">
        <f>Table3334567891012112122232425272829[[#This Row],[Our panel]]+Table33345678910121121222324252728[[#This Row],[MTD Panel]]</f>
        <v>1273.1999999999998</v>
      </c>
      <c r="H36" s="68">
        <f>Table3334567891012112122232425272829[[#This Row],[Company Panel]]-Table3334567891012112122232425272829[[#This Row],[Our panel]]</f>
        <v>0</v>
      </c>
      <c r="I36" s="68">
        <f>Table3334567891012112122232425272829[[#This Row],[MTD Company]]-Table3334567891012112122232425272829[[#This Row],[MTD Panel]]</f>
        <v>0</v>
      </c>
    </row>
    <row r="37" spans="1:9">
      <c r="A37" s="11" t="str">
        <f>Table333456789101217[[#This Row],[Carrier]]</f>
        <v>Hammer</v>
      </c>
      <c r="B37" s="5" t="str">
        <f>Table333456789101217[[#This Row],[IP]]</f>
        <v>200.111.78.9/200.111.236.62/200.111.823.89/137.79.48.56</v>
      </c>
      <c r="C37" s="6"/>
      <c r="D37" s="53">
        <v>0</v>
      </c>
      <c r="E37" s="53">
        <v>0</v>
      </c>
      <c r="F37" s="18">
        <f>Table3334567891012112122232425272829[[#This Row],[Company Panel]]+Table33345678910121121222324252728[[#This Row],[MTD Company]]</f>
        <v>0</v>
      </c>
      <c r="G37" s="18">
        <f>Table3334567891012112122232425272829[[#This Row],[Our panel]]+Table33345678910121121222324252728[[#This Row],[MTD Panel]]</f>
        <v>0</v>
      </c>
      <c r="H37" s="72">
        <f>Table3334567891012112122232425272829[[#This Row],[Company Panel]]-Table3334567891012112122232425272829[[#This Row],[Our panel]]</f>
        <v>0</v>
      </c>
      <c r="I37" s="72">
        <f>Table3334567891012112122232425272829[[#This Row],[MTD Company]]-Table3334567891012112122232425272829[[#This Row],[MTD Panel]]</f>
        <v>0</v>
      </c>
    </row>
    <row r="38" spans="1:9">
      <c r="A38" s="11" t="str">
        <f>Table333456789101217[[#This Row],[Carrier]]</f>
        <v>Smudge</v>
      </c>
      <c r="B38" s="5" t="str">
        <f>Table333456789101217[[#This Row],[IP]]</f>
        <v>88.99.233.56/54.71.99.234</v>
      </c>
      <c r="C38" s="6" t="str">
        <f>Table333456789101217[[#This Row],[Carrier Code]]</f>
        <v>SM</v>
      </c>
      <c r="D38" s="53">
        <v>26.716666666666665</v>
      </c>
      <c r="E38" s="53">
        <v>26.716666666666665</v>
      </c>
      <c r="F38" s="18">
        <f>Table3334567891012112122232425272829[[#This Row],[Company Panel]]+Table33345678910121121222324252728[[#This Row],[MTD Company]]</f>
        <v>371.96666666666664</v>
      </c>
      <c r="G38" s="18">
        <f>Table3334567891012112122232425272829[[#This Row],[Our panel]]+Table33345678910121121222324252728[[#This Row],[MTD Panel]]</f>
        <v>371.96666666666664</v>
      </c>
      <c r="H38" s="72">
        <f>Table3334567891012112122232425272829[[#This Row],[Company Panel]]-Table3334567891012112122232425272829[[#This Row],[Our panel]]</f>
        <v>0</v>
      </c>
      <c r="I38" s="72">
        <f>Table3334567891012112122232425272829[[#This Row],[MTD Company]]-Table3334567891012112122232425272829[[#This Row],[MTD Panel]]</f>
        <v>0</v>
      </c>
    </row>
    <row r="39" spans="1:9">
      <c r="A39" s="11" t="str">
        <f>Table333456789101217[[#This Row],[Carrier]]</f>
        <v>Quirk</v>
      </c>
      <c r="B39" s="5" t="str">
        <f>Table333456789101217[[#This Row],[IP]]</f>
        <v>62.45.100.31/62.45.100.15/62.45.100.65/211.95.102.6</v>
      </c>
      <c r="C39" s="6" t="str">
        <f>Table333456789101217[[#This Row],[Carrier Code]]</f>
        <v>QU</v>
      </c>
      <c r="D39" s="53">
        <v>2016.6166666666666</v>
      </c>
      <c r="E39" s="53">
        <v>2016.6166666666666</v>
      </c>
      <c r="F39" s="18">
        <f>Table3334567891012112122232425272829[[#This Row],[Company Panel]]+Table33345678910121121222324252728[[#This Row],[MTD Company]]</f>
        <v>37845.583333333321</v>
      </c>
      <c r="G39" s="18">
        <f>Table3334567891012112122232425272829[[#This Row],[Our panel]]+Table33345678910121121222324252728[[#This Row],[MTD Panel]]</f>
        <v>37845.583333333321</v>
      </c>
      <c r="H39" s="72">
        <f>Table3334567891012112122232425272829[[#This Row],[Company Panel]]-Table3334567891012112122232425272829[[#This Row],[Our panel]]</f>
        <v>0</v>
      </c>
      <c r="I39" s="72">
        <f>Table3334567891012112122232425272829[[#This Row],[MTD Company]]-Table3334567891012112122232425272829[[#This Row],[MTD Panel]]</f>
        <v>0</v>
      </c>
    </row>
    <row r="40" spans="1:9">
      <c r="A40" s="11" t="str">
        <f>Table333456789101217[[#This Row],[Carrier]]</f>
        <v>Vortex</v>
      </c>
      <c r="B40" s="5" t="str">
        <f>Table333456789101217[[#This Row],[IP]]</f>
        <v>179.250.91.8/29.540.67.457/94.25.34.78/183.144.27.18</v>
      </c>
      <c r="C40" s="6" t="str">
        <f>Table333456789101217[[#This Row],[Carrier Code]]</f>
        <v>VT</v>
      </c>
      <c r="D40" s="53">
        <v>0</v>
      </c>
      <c r="E40" s="53">
        <v>0</v>
      </c>
      <c r="F40" s="18">
        <f>Table3334567891012112122232425272829[[#This Row],[Company Panel]]+Table33345678910121121222324252728[[#This Row],[MTD Company]]</f>
        <v>0</v>
      </c>
      <c r="G40" s="18">
        <f>Table3334567891012112122232425272829[[#This Row],[Our panel]]+Table33345678910121121222324252728[[#This Row],[MTD Panel]]</f>
        <v>0</v>
      </c>
      <c r="H40" s="72">
        <f>Table3334567891012112122232425272829[[#This Row],[Company Panel]]-Table3334567891012112122232425272829[[#This Row],[Our panel]]</f>
        <v>0</v>
      </c>
      <c r="I40" s="72">
        <f>Table3334567891012112122232425272829[[#This Row],[MTD Company]]-Table3334567891012112122232425272829[[#This Row],[MTD Panel]]</f>
        <v>0</v>
      </c>
    </row>
    <row r="41" spans="1:9">
      <c r="A41" s="11" t="str">
        <f>Table333456789101217[[#This Row],[Carrier]]</f>
        <v>Void</v>
      </c>
      <c r="B41" s="5" t="str">
        <f>Table333456789101217[[#This Row],[IP]]</f>
        <v>156.34.123.11/156.34.123.25/156.34.123.62/92.44.233.110</v>
      </c>
      <c r="C41" s="6" t="str">
        <f>Table333456789101217[[#This Row],[Carrier Code]]</f>
        <v>VO</v>
      </c>
      <c r="D41" s="53">
        <v>19.75</v>
      </c>
      <c r="E41" s="53">
        <v>19.75</v>
      </c>
      <c r="F41" s="18">
        <f>Table3334567891012112122232425272829[[#This Row],[Company Panel]]+Table33345678910121121222324252728[[#This Row],[MTD Company]]</f>
        <v>885.98333333333323</v>
      </c>
      <c r="G41" s="18">
        <f>Table3334567891012112122232425272829[[#This Row],[Our panel]]+Table33345678910121121222324252728[[#This Row],[MTD Panel]]</f>
        <v>885.98333333333323</v>
      </c>
      <c r="H41" s="72">
        <f>Table3334567891012112122232425272829[[#This Row],[Company Panel]]-Table3334567891012112122232425272829[[#This Row],[Our panel]]</f>
        <v>0</v>
      </c>
      <c r="I41" s="72">
        <f>Table3334567891012112122232425272829[[#This Row],[MTD Company]]-Table3334567891012112122232425272829[[#This Row],[MTD Panel]]</f>
        <v>0</v>
      </c>
    </row>
    <row r="42" spans="1:9">
      <c r="A42" s="11" t="str">
        <f>Table333456789101217[[#This Row],[Carrier]]</f>
        <v>Midnight</v>
      </c>
      <c r="B42" s="5" t="str">
        <f>Table333456789101217[[#This Row],[IP]]</f>
        <v>134.77.22.4/23.97.150.8</v>
      </c>
      <c r="C42" s="6" t="str">
        <f>Table333456789101217[[#This Row],[Carrier Code]]</f>
        <v>MI</v>
      </c>
      <c r="D42" s="53">
        <v>275.33333333333331</v>
      </c>
      <c r="E42" s="53">
        <v>275.33333333333331</v>
      </c>
      <c r="F42" s="18">
        <f>Table3334567891012112122232425272829[[#This Row],[Company Panel]]+Table33345678910121121222324252728[[#This Row],[MTD Company]]</f>
        <v>7109.55</v>
      </c>
      <c r="G42" s="18">
        <f>Table3334567891012112122232425272829[[#This Row],[Our panel]]+Table33345678910121121222324252728[[#This Row],[MTD Panel]]</f>
        <v>7109.55</v>
      </c>
      <c r="H42" s="72">
        <f>Table3334567891012112122232425272829[[#This Row],[Company Panel]]-Table3334567891012112122232425272829[[#This Row],[Our panel]]</f>
        <v>0</v>
      </c>
      <c r="I42" s="72">
        <f>Table3334567891012112122232425272829[[#This Row],[MTD Company]]-Table3334567891012112122232425272829[[#This Row],[MTD Panel]]</f>
        <v>0</v>
      </c>
    </row>
    <row r="43" spans="1:9">
      <c r="A43" s="11" t="str">
        <f>Table333456789101217[[#This Row],[Carrier]]</f>
        <v>Autumn</v>
      </c>
      <c r="B43" s="5" t="str">
        <f>Table333456789101217[[#This Row],[IP]]</f>
        <v>202.54.210.88/12.331.94.73/64.19.28.175</v>
      </c>
      <c r="C43" s="6" t="str">
        <f>Table333456789101217[[#This Row],[Carrier Code]]</f>
        <v>AU</v>
      </c>
      <c r="D43" s="53">
        <v>4.0999999999999996</v>
      </c>
      <c r="E43" s="53">
        <v>4.0999999999999996</v>
      </c>
      <c r="F43" s="18">
        <f>Table3334567891012112122232425272829[[#This Row],[Company Panel]]+Table33345678910121121222324252728[[#This Row],[MTD Company]]</f>
        <v>262.41666666666669</v>
      </c>
      <c r="G43" s="18">
        <f>Table3334567891012112122232425272829[[#This Row],[Our panel]]+Table33345678910121121222324252728[[#This Row],[MTD Panel]]</f>
        <v>262.41666666666669</v>
      </c>
      <c r="H43" s="72">
        <f>Table3334567891012112122232425272829[[#This Row],[Company Panel]]-Table3334567891012112122232425272829[[#This Row],[Our panel]]</f>
        <v>0</v>
      </c>
      <c r="I43" s="72">
        <f>Table3334567891012112122232425272829[[#This Row],[MTD Company]]-Table3334567891012112122232425272829[[#This Row],[MTD Panel]]</f>
        <v>0</v>
      </c>
    </row>
    <row r="44" spans="1:9">
      <c r="A44" s="11" t="str">
        <f>Table333456789101217[[#This Row],[Carrier]]</f>
        <v>Mystic</v>
      </c>
      <c r="B44" s="5" t="str">
        <f>Table333456789101217[[#This Row],[IP]]</f>
        <v>51.233.21.76/82.115.35.60/82.115.35.85</v>
      </c>
      <c r="C44" s="6" t="str">
        <f>Table333456789101217[[#This Row],[Carrier Code]]</f>
        <v>MY</v>
      </c>
      <c r="D44" s="53">
        <v>0</v>
      </c>
      <c r="E44" s="53">
        <v>0</v>
      </c>
      <c r="F44" s="18">
        <f>Table3334567891012112122232425272829[[#This Row],[Company Panel]]+Table33345678910121121222324252728[[#This Row],[MTD Company]]</f>
        <v>0</v>
      </c>
      <c r="G44" s="18">
        <f>Table3334567891012112122232425272829[[#This Row],[Our panel]]+Table33345678910121121222324252728[[#This Row],[MTD Panel]]</f>
        <v>0</v>
      </c>
      <c r="H44" s="72">
        <f>Table3334567891012112122232425272829[[#This Row],[Company Panel]]-Table3334567891012112122232425272829[[#This Row],[Our panel]]</f>
        <v>0</v>
      </c>
      <c r="I44" s="72">
        <f>Table3334567891012112122232425272829[[#This Row],[MTD Company]]-Table3334567891012112122232425272829[[#This Row],[MTD Panel]]</f>
        <v>0</v>
      </c>
    </row>
    <row r="45" spans="1:9">
      <c r="A45" s="11" t="str">
        <f>Table333456789101217[[#This Row],[Carrier]]</f>
        <v>Clover</v>
      </c>
      <c r="B45" s="5" t="str">
        <f>Table333456789101217[[#This Row],[IP]]</f>
        <v>210.150.12.45/84.50.212.66/135.113.88.9</v>
      </c>
      <c r="C45" s="6" t="str">
        <f>Table333456789101217[[#This Row],[Carrier Code]]</f>
        <v>CO</v>
      </c>
      <c r="D45" s="53">
        <v>205</v>
      </c>
      <c r="E45" s="53">
        <v>205</v>
      </c>
      <c r="F45" s="18">
        <f>Table3334567891012112122232425272829[[#This Row],[Company Panel]]+Table33345678910121121222324252728[[#This Row],[MTD Company]]</f>
        <v>34910.05000000001</v>
      </c>
      <c r="G45" s="18">
        <f>Table3334567891012112122232425272829[[#This Row],[Our panel]]+Table33345678910121121222324252728[[#This Row],[MTD Panel]]</f>
        <v>34910.05000000001</v>
      </c>
      <c r="H45" s="13">
        <f>Table3334567891012112122232425272829[[#This Row],[Company Panel]]-Table3334567891012112122232425272829[[#This Row],[Our panel]]</f>
        <v>0</v>
      </c>
      <c r="I45" s="13">
        <f>Table3334567891012112122232425272829[[#This Row],[MTD Company]]-Table3334567891012112122232425272829[[#This Row],[MTD Panel]]</f>
        <v>0</v>
      </c>
    </row>
    <row r="46" spans="1:9">
      <c r="A46" s="11" t="str">
        <f>Table333456789101217[[#This Row],[Carrier]]</f>
        <v>Hunter</v>
      </c>
      <c r="B46" s="5" t="str">
        <f>Table333456789101217[[#This Row],[IP]]</f>
        <v>170.199.20.87/13.693.39.280/78.30.123.47</v>
      </c>
      <c r="C46" s="6" t="str">
        <f>Table333456789101217[[#This Row],[Carrier Code]]</f>
        <v>HU</v>
      </c>
      <c r="D46" s="53">
        <v>269.01666666666665</v>
      </c>
      <c r="E46" s="53">
        <v>269.01666666666665</v>
      </c>
      <c r="F46" s="18">
        <f>Table3334567891012112122232425272829[[#This Row],[Company Panel]]+Table33345678910121121222324252728[[#This Row],[MTD Company]]</f>
        <v>16652.3</v>
      </c>
      <c r="G46" s="18">
        <f>Table3334567891012112122232425272829[[#This Row],[Our panel]]+Table33345678910121121222324252728[[#This Row],[MTD Panel]]</f>
        <v>16652.3</v>
      </c>
      <c r="H46" s="13">
        <f>Table3334567891012112122232425272829[[#This Row],[Company Panel]]-Table3334567891012112122232425272829[[#This Row],[Our panel]]</f>
        <v>0</v>
      </c>
      <c r="I46" s="13">
        <f>Table3334567891012112122232425272829[[#This Row],[MTD Company]]-Table3334567891012112122232425272829[[#This Row],[MTD Panel]]</f>
        <v>0</v>
      </c>
    </row>
    <row r="47" spans="1:9">
      <c r="A47" s="11" t="str">
        <f>Table333456789101217[[#This Row],[Carrier]]</f>
        <v>Invaded</v>
      </c>
      <c r="B47" s="5" t="str">
        <f>Table333456789101217[[#This Row],[IP]]</f>
        <v>182.67.99.120/80.518.230.410/26.847.95.107/188.12.67.92</v>
      </c>
      <c r="C47" s="6" t="str">
        <f>Table333456789101217[[#This Row],[Carrier Code]]</f>
        <v>ID</v>
      </c>
      <c r="D47" s="7">
        <v>0</v>
      </c>
      <c r="E47" s="7">
        <v>0</v>
      </c>
      <c r="F47" s="18">
        <f>Table3334567891012112122232425272829[[#This Row],[Company Panel]]+Table33345678910121121222324252728[[#This Row],[MTD Company]]</f>
        <v>0</v>
      </c>
      <c r="G47" s="18">
        <f>Table3334567891012112122232425272829[[#This Row],[Our panel]]+Table33345678910121121222324252728[[#This Row],[MTD Panel]]</f>
        <v>0</v>
      </c>
      <c r="H47" s="13">
        <f>Table3334567891012112122232425272829[[#This Row],[Company Panel]]-Table3334567891012112122232425272829[[#This Row],[Our panel]]</f>
        <v>0</v>
      </c>
      <c r="I47" s="13">
        <f>Table3334567891012112122232425272829[[#This Row],[MTD Company]]-Table3334567891012112122232425272829[[#This Row],[MTD Panel]]</f>
        <v>0</v>
      </c>
    </row>
    <row r="48" spans="1:9">
      <c r="A48" s="11" t="str">
        <f>Table333456789101217[[#This Row],[Carrier]]</f>
        <v>Delusion</v>
      </c>
      <c r="B48" s="5" t="str">
        <f>Table333456789101217[[#This Row],[IP]]</f>
        <v>198.51.100.72/69.887.74.738/39.153.110.645</v>
      </c>
      <c r="C48" s="6" t="str">
        <f>Table333456789101217[[#This Row],[Carrier Code]]</f>
        <v>DU</v>
      </c>
      <c r="D48" s="7">
        <v>0</v>
      </c>
      <c r="E48" s="7">
        <v>0</v>
      </c>
      <c r="F48" s="18">
        <f>Table3334567891012112122232425272829[[#This Row],[Company Panel]]+Table33345678910121121222324252728[[#This Row],[MTD Company]]</f>
        <v>0</v>
      </c>
      <c r="G48" s="18">
        <f>Table3334567891012112122232425272829[[#This Row],[Our panel]]+Table33345678910121121222324252728[[#This Row],[MTD Panel]]</f>
        <v>0</v>
      </c>
      <c r="H48" s="13">
        <f>Table3334567891012112122232425272829[[#This Row],[Company Panel]]-Table3334567891012112122232425272829[[#This Row],[Our panel]]</f>
        <v>0</v>
      </c>
      <c r="I48" s="13">
        <f>Table3334567891012112122232425272829[[#This Row],[MTD Company]]-Table3334567891012112122232425272829[[#This Row],[MTD Panel]]</f>
        <v>0</v>
      </c>
    </row>
    <row r="49" spans="1:9" ht="15.5">
      <c r="A49" s="11" t="str">
        <f>Table333456789101217[[#This Row],[Carrier]]</f>
        <v>Total</v>
      </c>
      <c r="B49" s="14"/>
      <c r="C49" s="15"/>
      <c r="D49" s="16">
        <f>SUM(D3:D48)</f>
        <v>14065.95</v>
      </c>
      <c r="E49" s="16">
        <f t="shared" ref="E49:I49" si="0">SUM(E3:E48)</f>
        <v>14065.95</v>
      </c>
      <c r="F49" s="16">
        <f t="shared" si="0"/>
        <v>198947.06666666659</v>
      </c>
      <c r="G49" s="16">
        <f t="shared" si="0"/>
        <v>198947.06666666659</v>
      </c>
      <c r="H49" s="16">
        <f t="shared" si="0"/>
        <v>0</v>
      </c>
      <c r="I49" s="16">
        <f t="shared" si="0"/>
        <v>0</v>
      </c>
    </row>
    <row r="52" spans="1:9">
      <c r="F52" s="52"/>
      <c r="G52" s="9"/>
    </row>
    <row r="53" spans="1:9">
      <c r="F53" s="9"/>
    </row>
  </sheetData>
  <conditionalFormatting sqref="H2:I48">
    <cfRule type="cellIs" dxfId="167" priority="12" operator="lessThan">
      <formula>0</formula>
    </cfRule>
  </conditionalFormatting>
  <conditionalFormatting sqref="I3:I48">
    <cfRule type="cellIs" dxfId="166" priority="1" operator="lessThan">
      <formula>0</formula>
    </cfRule>
    <cfRule type="cellIs" dxfId="165" priority="2" operator="lessThan">
      <formula>0</formula>
    </cfRule>
  </conditionalFormatting>
  <hyperlinks>
    <hyperlink ref="E1" location="H!A1" display="Home"/>
    <hyperlink ref="D1" location="'21'!D1" display="←"/>
    <hyperlink ref="F1" location="'23'!F1" display="→"/>
  </hyperlink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2"/>
  <sheetViews>
    <sheetView zoomScaleNormal="100" workbookViewId="0">
      <selection activeCell="D49" sqref="D49"/>
    </sheetView>
  </sheetViews>
  <sheetFormatPr defaultRowHeight="14.5"/>
  <cols>
    <col min="1" max="1" width="26.7265625" bestFit="1" customWidth="1"/>
    <col min="2" max="2" width="37" bestFit="1" customWidth="1"/>
    <col min="3" max="3" width="10.453125" customWidth="1"/>
    <col min="4" max="9" width="12.7265625" customWidth="1"/>
  </cols>
  <sheetData>
    <row r="1" spans="1:12" ht="18.5">
      <c r="A1" s="23" t="str">
        <f>H!D8</f>
        <v>23rd April 2025</v>
      </c>
      <c r="B1" s="24"/>
      <c r="C1" s="24"/>
      <c r="D1" s="22" t="s">
        <v>16</v>
      </c>
      <c r="E1" s="22" t="s">
        <v>9</v>
      </c>
      <c r="F1" s="22" t="s">
        <v>17</v>
      </c>
    </row>
    <row r="2" spans="1:12" ht="31">
      <c r="A2" s="1" t="s">
        <v>0</v>
      </c>
      <c r="B2" s="2" t="s">
        <v>1</v>
      </c>
      <c r="C2" s="2" t="s">
        <v>2</v>
      </c>
      <c r="D2" s="2" t="s">
        <v>3</v>
      </c>
      <c r="E2" s="2" t="s">
        <v>11</v>
      </c>
      <c r="F2" s="2" t="s">
        <v>4</v>
      </c>
      <c r="G2" s="4" t="s">
        <v>6</v>
      </c>
      <c r="H2" s="4" t="s">
        <v>7</v>
      </c>
      <c r="I2" s="3" t="s">
        <v>8</v>
      </c>
    </row>
    <row r="3" spans="1:12">
      <c r="A3" s="11" t="str">
        <f>Table333456789101217[[#This Row],[Carrier]]</f>
        <v>Blaze</v>
      </c>
      <c r="B3" s="5" t="str">
        <f>Table333456789101217[[#This Row],[IP]]</f>
        <v>8.12.34.56/48.163.17.845/60.502.86.203/191.45.28.14</v>
      </c>
      <c r="C3" s="6" t="str">
        <f>Table333456789101217[[#This Row],[Carrier Code]]</f>
        <v>BZ</v>
      </c>
      <c r="D3" s="53">
        <v>0</v>
      </c>
      <c r="E3" s="53">
        <v>0</v>
      </c>
      <c r="F3" s="18">
        <f>Table333456789101211212223242527282930[[#This Row],[Company Panel]]+Table3334567891012112122232425272829[[#This Row],[MTD Company]]</f>
        <v>0</v>
      </c>
      <c r="G3" s="18">
        <f>Table333456789101211212223242527282930[[#This Row],[Our panel]]+Table3334567891012112122232425272829[[#This Row],[MTD Panel]]</f>
        <v>0</v>
      </c>
      <c r="H3" s="13">
        <f>Table333456789101211212223242527282930[[#This Row],[Company Panel]]-Table333456789101211212223242527282930[[#This Row],[Our panel]]</f>
        <v>0</v>
      </c>
      <c r="I3" s="13">
        <f>Table333456789101211212223242527282930[[#This Row],[MTD Company]]-Table333456789101211212223242527282930[[#This Row],[MTD Panel]]</f>
        <v>0</v>
      </c>
    </row>
    <row r="4" spans="1:12">
      <c r="A4" s="11" t="str">
        <f>Table333456789101217[[#This Row],[Carrier]]</f>
        <v>Titan</v>
      </c>
      <c r="B4" s="5" t="str">
        <f>Table333456789101217[[#This Row],[IP]]</f>
        <v>123.45.67.89/123.45.67.93/203.24.101.65</v>
      </c>
      <c r="C4" s="6" t="str">
        <f>Table333456789101217[[#This Row],[Carrier Code]]</f>
        <v>TI</v>
      </c>
      <c r="D4" s="53">
        <v>6.6666666666666666E-2</v>
      </c>
      <c r="E4" s="53">
        <v>6.6666666666666666E-2</v>
      </c>
      <c r="F4" s="18">
        <f>Table333456789101211212223242527282930[[#This Row],[Company Panel]]+Table3334567891012112122232425272829[[#This Row],[MTD Company]]</f>
        <v>326.4666666666667</v>
      </c>
      <c r="G4" s="18">
        <f>Table333456789101211212223242527282930[[#This Row],[Our panel]]+Table3334567891012112122232425272829[[#This Row],[MTD Panel]]</f>
        <v>326.4666666666667</v>
      </c>
      <c r="H4" s="13">
        <f>Table333456789101211212223242527282930[[#This Row],[Company Panel]]-Table333456789101211212223242527282930[[#This Row],[Our panel]]</f>
        <v>0</v>
      </c>
      <c r="I4" s="13">
        <f>Table333456789101211212223242527282930[[#This Row],[MTD Company]]-Table333456789101211212223242527282930[[#This Row],[MTD Panel]]</f>
        <v>0</v>
      </c>
      <c r="L4" s="9"/>
    </row>
    <row r="5" spans="1:12">
      <c r="A5" s="11" t="str">
        <f>Table333456789101217[[#This Row],[Carrier]]</f>
        <v>Hollow</v>
      </c>
      <c r="B5" s="5" t="str">
        <f>Table333456789101217[[#This Row],[IP]]</f>
        <v>204.56.78.100/204.56.57.169/52.94.101.12</v>
      </c>
      <c r="C5" s="6" t="str">
        <f>Table333456789101217[[#This Row],[Carrier Code]]</f>
        <v>HO</v>
      </c>
      <c r="D5" s="53">
        <v>0</v>
      </c>
      <c r="E5" s="53">
        <v>0</v>
      </c>
      <c r="F5" s="18">
        <f>Table333456789101211212223242527282930[[#This Row],[Company Panel]]+Table3334567891012112122232425272829[[#This Row],[MTD Company]]</f>
        <v>0</v>
      </c>
      <c r="G5" s="18">
        <f>Table333456789101211212223242527282930[[#This Row],[Our panel]]+Table3334567891012112122232425272829[[#This Row],[MTD Panel]]</f>
        <v>0</v>
      </c>
      <c r="H5" s="13">
        <f>Table333456789101211212223242527282930[[#This Row],[Company Panel]]-Table333456789101211212223242527282930[[#This Row],[Our panel]]</f>
        <v>0</v>
      </c>
      <c r="I5" s="13">
        <f>Table333456789101211212223242527282930[[#This Row],[MTD Company]]-Table333456789101211212223242527282930[[#This Row],[MTD Panel]]</f>
        <v>0</v>
      </c>
    </row>
    <row r="6" spans="1:12">
      <c r="A6" s="11" t="str">
        <f>Table333456789101217[[#This Row],[Carrier]]</f>
        <v>Prism</v>
      </c>
      <c r="B6" s="5" t="str">
        <f>Table333456789101217[[#This Row],[IP]]</f>
        <v>35.118.22.45/137.63.112.25</v>
      </c>
      <c r="C6" s="6" t="str">
        <f>Table333456789101217[[#This Row],[Carrier Code]]</f>
        <v>PS</v>
      </c>
      <c r="D6" s="53">
        <v>2146.2166666666667</v>
      </c>
      <c r="E6" s="53">
        <v>2146.2166666666667</v>
      </c>
      <c r="F6" s="18">
        <f>Table333456789101211212223242527282930[[#This Row],[Company Panel]]+Table3334567891012112122232425272829[[#This Row],[MTD Company]]</f>
        <v>71285.716666666631</v>
      </c>
      <c r="G6" s="18">
        <f>Table333456789101211212223242527282930[[#This Row],[Our panel]]+Table3334567891012112122232425272829[[#This Row],[MTD Panel]]</f>
        <v>71285.716666666631</v>
      </c>
      <c r="H6" s="13">
        <f>Table333456789101211212223242527282930[[#This Row],[Company Panel]]-Table333456789101211212223242527282930[[#This Row],[Our panel]]</f>
        <v>0</v>
      </c>
      <c r="I6" s="13">
        <f>Table333456789101211212223242527282930[[#This Row],[MTD Company]]-Table333456789101211212223242527282930[[#This Row],[MTD Panel]]</f>
        <v>0</v>
      </c>
    </row>
    <row r="7" spans="1:12">
      <c r="A7" s="11" t="str">
        <f>Table333456789101217[[#This Row],[Carrier]]</f>
        <v>Echo</v>
      </c>
      <c r="B7" s="5" t="str">
        <f>Table333456789101217[[#This Row],[IP]]</f>
        <v>66.89.101.10/66.89.101.19/66.89.101.23/66.89.101.45/66.89.101.81/85.21.34.99</v>
      </c>
      <c r="C7" s="6" t="str">
        <f>Table333456789101217[[#This Row],[Carrier Code]]</f>
        <v>EC</v>
      </c>
      <c r="D7" s="53">
        <v>8.35</v>
      </c>
      <c r="E7" s="53">
        <v>8.35</v>
      </c>
      <c r="F7" s="18">
        <f>Table333456789101211212223242527282930[[#This Row],[Company Panel]]+Table3334567891012112122232425272829[[#This Row],[MTD Company]]</f>
        <v>86.083333333333329</v>
      </c>
      <c r="G7" s="18">
        <f>Table333456789101211212223242527282930[[#This Row],[Our panel]]+Table3334567891012112122232425272829[[#This Row],[MTD Panel]]</f>
        <v>86.083333333333329</v>
      </c>
      <c r="H7" s="13">
        <f>Table333456789101211212223242527282930[[#This Row],[Company Panel]]-Table333456789101211212223242527282930[[#This Row],[Our panel]]</f>
        <v>0</v>
      </c>
      <c r="I7" s="13">
        <f>Table333456789101211212223242527282930[[#This Row],[MTD Company]]-Table333456789101211212223242527282930[[#This Row],[MTD Panel]]</f>
        <v>0</v>
      </c>
    </row>
    <row r="8" spans="1:12">
      <c r="A8" s="11" t="str">
        <f>Table333456789101217[[#This Row],[Carrier]]</f>
        <v>Strike</v>
      </c>
      <c r="B8" s="5" t="str">
        <f>Table333456789101217[[#This Row],[IP]]</f>
        <v>100.200.150.3/100.200.165.38/41.102.90.78</v>
      </c>
      <c r="C8" s="6" t="str">
        <f>Table333456789101217[[#This Row],[Carrier Code]]</f>
        <v>ST</v>
      </c>
      <c r="D8" s="53">
        <v>161.93333333333334</v>
      </c>
      <c r="E8" s="53">
        <v>161.93333333333334</v>
      </c>
      <c r="F8" s="18">
        <f>Table333456789101211212223242527282930[[#This Row],[Company Panel]]+Table3334567891012112122232425272829[[#This Row],[MTD Company]]</f>
        <v>2451.4499999999998</v>
      </c>
      <c r="G8" s="18">
        <f>Table333456789101211212223242527282930[[#This Row],[Our panel]]+Table3334567891012112122232425272829[[#This Row],[MTD Panel]]</f>
        <v>2451.4499999999998</v>
      </c>
      <c r="H8" s="13">
        <f>Table333456789101211212223242527282930[[#This Row],[Company Panel]]-Table333456789101211212223242527282930[[#This Row],[Our panel]]</f>
        <v>0</v>
      </c>
      <c r="I8" s="13">
        <f>Table333456789101211212223242527282930[[#This Row],[MTD Company]]-Table333456789101211212223242527282930[[#This Row],[MTD Panel]]</f>
        <v>0</v>
      </c>
      <c r="L8" s="9"/>
    </row>
    <row r="9" spans="1:12">
      <c r="A9" s="11" t="str">
        <f>Table333456789101217[[#This Row],[Carrier]]</f>
        <v>Blunt</v>
      </c>
      <c r="B9" s="5" t="str">
        <f>Table333456789101217[[#This Row],[IP]]</f>
        <v>52.28.191.25/52.28.191.38/52.28.191.24/61.110.23.45</v>
      </c>
      <c r="C9" s="6" t="str">
        <f>Table333456789101217[[#This Row],[Carrier Code]]</f>
        <v>BL</v>
      </c>
      <c r="D9" s="53">
        <v>126.45</v>
      </c>
      <c r="E9" s="53">
        <v>126.45</v>
      </c>
      <c r="F9" s="18">
        <f>Table333456789101211212223242527282930[[#This Row],[Company Panel]]+Table3334567891012112122232425272829[[#This Row],[MTD Company]]</f>
        <v>10519.383333333335</v>
      </c>
      <c r="G9" s="18">
        <f>Table333456789101211212223242527282930[[#This Row],[Our panel]]+Table3334567891012112122232425272829[[#This Row],[MTD Panel]]</f>
        <v>10519.383333333335</v>
      </c>
      <c r="H9" s="13">
        <f>Table333456789101211212223242527282930[[#This Row],[Company Panel]]-Table333456789101211212223242527282930[[#This Row],[Our panel]]</f>
        <v>0</v>
      </c>
      <c r="I9" s="13">
        <f>Table333456789101211212223242527282930[[#This Row],[MTD Company]]-Table333456789101211212223242527282930[[#This Row],[MTD Panel]]</f>
        <v>0</v>
      </c>
    </row>
    <row r="10" spans="1:12">
      <c r="A10" s="11" t="str">
        <f>Table333456789101217[[#This Row],[Carrier]]</f>
        <v>Law</v>
      </c>
      <c r="B10" s="5" t="str">
        <f>Table333456789101217[[#This Row],[IP]]</f>
        <v>77.88.99.21/77.88.99.88/77.88.99.94/110.56.211.7</v>
      </c>
      <c r="C10" s="6" t="str">
        <f>Table333456789101217[[#This Row],[Carrier Code]]</f>
        <v>LA</v>
      </c>
      <c r="D10" s="53">
        <v>0</v>
      </c>
      <c r="E10" s="53">
        <v>0</v>
      </c>
      <c r="F10" s="18">
        <f>Table333456789101211212223242527282930[[#This Row],[Company Panel]]+Table3334567891012112122232425272829[[#This Row],[MTD Company]]</f>
        <v>0</v>
      </c>
      <c r="G10" s="18">
        <f>Table333456789101211212223242527282930[[#This Row],[Our panel]]+Table3334567891012112122232425272829[[#This Row],[MTD Panel]]</f>
        <v>0</v>
      </c>
      <c r="H10" s="13">
        <f>Table333456789101211212223242527282930[[#This Row],[Company Panel]]-Table333456789101211212223242527282930[[#This Row],[Our panel]]</f>
        <v>0</v>
      </c>
      <c r="I10" s="13">
        <f>Table333456789101211212223242527282930[[#This Row],[MTD Company]]-Table333456789101211212223242527282930[[#This Row],[MTD Panel]]</f>
        <v>0</v>
      </c>
    </row>
    <row r="11" spans="1:12">
      <c r="A11" s="11" t="str">
        <f>Table333456789101217[[#This Row],[Carrier]]</f>
        <v>Pulse</v>
      </c>
      <c r="B11" s="5" t="str">
        <f>Table333456789101217[[#This Row],[IP]]</f>
        <v>198.51.100.130/31.725.16.608/66.59.61.503/167.34.122.90</v>
      </c>
      <c r="C11" s="6" t="str">
        <f>Table333456789101217[[#This Row],[Carrier Code]]</f>
        <v>PU</v>
      </c>
      <c r="D11" s="53">
        <v>0</v>
      </c>
      <c r="E11" s="53">
        <v>0</v>
      </c>
      <c r="F11" s="18">
        <f>Table333456789101211212223242527282930[[#This Row],[Company Panel]]+Table3334567891012112122232425272829[[#This Row],[MTD Company]]</f>
        <v>0</v>
      </c>
      <c r="G11" s="18">
        <f>Table333456789101211212223242527282930[[#This Row],[Our panel]]+Table3334567891012112122232425272829[[#This Row],[MTD Panel]]</f>
        <v>0</v>
      </c>
      <c r="H11" s="13">
        <f>Table333456789101211212223242527282930[[#This Row],[Company Panel]]-Table333456789101211212223242527282930[[#This Row],[Our panel]]</f>
        <v>0</v>
      </c>
      <c r="I11" s="13">
        <f>Table333456789101211212223242527282930[[#This Row],[MTD Company]]-Table333456789101211212223242527282930[[#This Row],[MTD Panel]]</f>
        <v>0</v>
      </c>
    </row>
    <row r="12" spans="1:12">
      <c r="A12" s="11" t="str">
        <f>Table333456789101217[[#This Row],[Carrier]]</f>
        <v>Phantom</v>
      </c>
      <c r="B12" s="5" t="str">
        <f>Table333456789101217[[#This Row],[IP]]</f>
        <v>141.15.210.67/141.15.42.82/179.62.211.4</v>
      </c>
      <c r="C12" s="6" t="str">
        <f>Table333456789101217[[#This Row],[Carrier Code]]</f>
        <v>PH</v>
      </c>
      <c r="D12" s="53">
        <v>1.65</v>
      </c>
      <c r="E12" s="53">
        <v>1.65</v>
      </c>
      <c r="F12" s="18">
        <f>Table333456789101211212223242527282930[[#This Row],[Company Panel]]+Table3334567891012112122232425272829[[#This Row],[MTD Company]]</f>
        <v>3368.2333333333327</v>
      </c>
      <c r="G12" s="18">
        <f>Table333456789101211212223242527282930[[#This Row],[Our panel]]+Table3334567891012112122232425272829[[#This Row],[MTD Panel]]</f>
        <v>3368.2333333333327</v>
      </c>
      <c r="H12" s="13">
        <f>Table333456789101211212223242527282930[[#This Row],[Company Panel]]-Table333456789101211212223242527282930[[#This Row],[Our panel]]</f>
        <v>0</v>
      </c>
      <c r="I12" s="13">
        <f>Table333456789101211212223242527282930[[#This Row],[MTD Company]]-Table333456789101211212223242527282930[[#This Row],[MTD Panel]]</f>
        <v>0</v>
      </c>
    </row>
    <row r="13" spans="1:12">
      <c r="A13" s="11" t="str">
        <f>Table333456789101217[[#This Row],[Carrier]]</f>
        <v>Dragon</v>
      </c>
      <c r="B13" s="5" t="str">
        <f>Table333456789101217[[#This Row],[IP]]</f>
        <v>12.34.56.78/12.34.56.128/200.180.245.18</v>
      </c>
      <c r="C13" s="6" t="str">
        <f>Table333456789101217[[#This Row],[Carrier Code]]</f>
        <v>DG</v>
      </c>
      <c r="D13" s="53">
        <v>0</v>
      </c>
      <c r="E13" s="53">
        <v>0</v>
      </c>
      <c r="F13" s="18">
        <f>Table333456789101211212223242527282930[[#This Row],[Company Panel]]+Table3334567891012112122232425272829[[#This Row],[MTD Company]]</f>
        <v>0</v>
      </c>
      <c r="G13" s="18">
        <f>Table333456789101211212223242527282930[[#This Row],[Our panel]]+Table3334567891012112122232425272829[[#This Row],[MTD Panel]]</f>
        <v>0</v>
      </c>
      <c r="H13" s="13">
        <f>Table333456789101211212223242527282930[[#This Row],[Company Panel]]-Table333456789101211212223242527282930[[#This Row],[Our panel]]</f>
        <v>0</v>
      </c>
      <c r="I13" s="13">
        <f>Table333456789101211212223242527282930[[#This Row],[MTD Company]]-Table333456789101211212223242527282930[[#This Row],[MTD Panel]]</f>
        <v>0</v>
      </c>
    </row>
    <row r="14" spans="1:12">
      <c r="A14" s="11" t="str">
        <f>Table333456789101217[[#This Row],[Carrier]]</f>
        <v>Tempest</v>
      </c>
      <c r="B14" s="5" t="str">
        <f>Table333456789101217[[#This Row],[IP]]</f>
        <v>59.144.223.88/55.39.99.60</v>
      </c>
      <c r="C14" s="6" t="str">
        <f>Table333456789101217[[#This Row],[Carrier Code]]</f>
        <v>TE</v>
      </c>
      <c r="D14" s="53">
        <v>0</v>
      </c>
      <c r="E14" s="53">
        <v>0</v>
      </c>
      <c r="F14" s="18">
        <f>Table333456789101211212223242527282930[[#This Row],[Company Panel]]+Table3334567891012112122232425272829[[#This Row],[MTD Company]]</f>
        <v>0</v>
      </c>
      <c r="G14" s="18">
        <f>Table333456789101211212223242527282930[[#This Row],[Our panel]]+Table3334567891012112122232425272829[[#This Row],[MTD Panel]]</f>
        <v>0</v>
      </c>
      <c r="H14" s="13">
        <f>Table333456789101211212223242527282930[[#This Row],[Company Panel]]-Table333456789101211212223242527282930[[#This Row],[Our panel]]</f>
        <v>0</v>
      </c>
      <c r="I14" s="13">
        <f>Table333456789101211212223242527282930[[#This Row],[MTD Company]]-Table333456789101211212223242527282930[[#This Row],[MTD Panel]]</f>
        <v>0</v>
      </c>
    </row>
    <row r="15" spans="1:12">
      <c r="A15" s="11" t="str">
        <f>Table333456789101217[[#This Row],[Carrier]]</f>
        <v>Shadow</v>
      </c>
      <c r="B15" s="5" t="str">
        <f>Table333456789101217[[#This Row],[IP]]</f>
        <v>175.45.112.100/25.851.31.153/39.80.220.100</v>
      </c>
      <c r="C15" s="6" t="str">
        <f>Table333456789101217[[#This Row],[Carrier Code]]</f>
        <v>SH</v>
      </c>
      <c r="D15" s="53">
        <v>0</v>
      </c>
      <c r="E15" s="53">
        <v>0</v>
      </c>
      <c r="F15" s="18">
        <f>Table333456789101211212223242527282930[[#This Row],[Company Panel]]+Table3334567891012112122232425272829[[#This Row],[MTD Company]]</f>
        <v>0.1</v>
      </c>
      <c r="G15" s="18">
        <f>Table333456789101211212223242527282930[[#This Row],[Our panel]]+Table3334567891012112122232425272829[[#This Row],[MTD Panel]]</f>
        <v>0.1</v>
      </c>
      <c r="H15" s="13">
        <f>Table333456789101211212223242527282930[[#This Row],[Company Panel]]-Table333456789101211212223242527282930[[#This Row],[Our panel]]</f>
        <v>0</v>
      </c>
      <c r="I15" s="13">
        <f>Table333456789101211212223242527282930[[#This Row],[MTD Company]]-Table333456789101211212223242527282930[[#This Row],[MTD Panel]]</f>
        <v>0</v>
      </c>
    </row>
    <row r="16" spans="1:12">
      <c r="A16" s="11" t="str">
        <f>Table333456789101217[[#This Row],[Carrier]]</f>
        <v>Cyclone</v>
      </c>
      <c r="B16" s="5" t="str">
        <f>Table333456789101217[[#This Row],[IP]]</f>
        <v>150.13.75.190/16.160.89.512/72.11.97.34</v>
      </c>
      <c r="C16" s="6" t="str">
        <f>Table333456789101217[[#This Row],[Carrier Code]]</f>
        <v>CY</v>
      </c>
      <c r="D16" s="53">
        <v>0</v>
      </c>
      <c r="E16" s="53">
        <v>0</v>
      </c>
      <c r="F16" s="18">
        <f>Table333456789101211212223242527282930[[#This Row],[Company Panel]]+Table3334567891012112122232425272829[[#This Row],[MTD Company]]</f>
        <v>0</v>
      </c>
      <c r="G16" s="18">
        <f>Table333456789101211212223242527282930[[#This Row],[Our panel]]+Table3334567891012112122232425272829[[#This Row],[MTD Panel]]</f>
        <v>0</v>
      </c>
      <c r="H16" s="13">
        <f>Table333456789101211212223242527282930[[#This Row],[Company Panel]]-Table333456789101211212223242527282930[[#This Row],[Our panel]]</f>
        <v>0</v>
      </c>
      <c r="I16" s="13">
        <f>Table333456789101211212223242527282930[[#This Row],[MTD Company]]-Table333456789101211212223242527282930[[#This Row],[MTD Panel]]</f>
        <v>0</v>
      </c>
    </row>
    <row r="17" spans="1:9">
      <c r="A17" s="11" t="str">
        <f>Table333456789101217[[#This Row],[Carrier]]</f>
        <v>Reaver</v>
      </c>
      <c r="B17" s="5" t="str">
        <f>Table333456789101217[[#This Row],[IP]]</f>
        <v>203.0.113.44/188.17.56.210</v>
      </c>
      <c r="C17" s="6" t="str">
        <f>Table333456789101217[[#This Row],[Carrier Code]]</f>
        <v>RE</v>
      </c>
      <c r="D17" s="53">
        <v>0</v>
      </c>
      <c r="E17" s="53">
        <v>0</v>
      </c>
      <c r="F17" s="18">
        <f>Table333456789101211212223242527282930[[#This Row],[Company Panel]]+Table3334567891012112122232425272829[[#This Row],[MTD Company]]</f>
        <v>0</v>
      </c>
      <c r="G17" s="18">
        <f>Table333456789101211212223242527282930[[#This Row],[Our panel]]+Table3334567891012112122232425272829[[#This Row],[MTD Panel]]</f>
        <v>0</v>
      </c>
      <c r="H17" s="13">
        <f>Table333456789101211212223242527282930[[#This Row],[Company Panel]]-Table333456789101211212223242527282930[[#This Row],[Our panel]]</f>
        <v>0</v>
      </c>
      <c r="I17" s="13">
        <f>Table333456789101211212223242527282930[[#This Row],[MTD Company]]-Table333456789101211212223242527282930[[#This Row],[MTD Panel]]</f>
        <v>0</v>
      </c>
    </row>
    <row r="18" spans="1:9">
      <c r="A18" s="11" t="str">
        <f>Table333456789101217[[#This Row],[Carrier]]</f>
        <v>Forge</v>
      </c>
      <c r="B18" s="5" t="str">
        <f>Table333456789101217[[#This Row],[IP]]</f>
        <v>112.54.89.168/112.54.89.138</v>
      </c>
      <c r="C18" s="6" t="str">
        <f>Table333456789101217[[#This Row],[Carrier Code]]</f>
        <v>FO</v>
      </c>
      <c r="D18" s="53">
        <v>35.466666666666669</v>
      </c>
      <c r="E18" s="53">
        <v>35.466666666666669</v>
      </c>
      <c r="F18" s="18">
        <f>Table333456789101211212223242527282930[[#This Row],[Company Panel]]+Table3334567891012112122232425272829[[#This Row],[MTD Company]]</f>
        <v>587.2166666666667</v>
      </c>
      <c r="G18" s="18">
        <f>Table333456789101211212223242527282930[[#This Row],[Our panel]]+Table3334567891012112122232425272829[[#This Row],[MTD Panel]]</f>
        <v>587.2166666666667</v>
      </c>
      <c r="H18" s="13">
        <f>Table333456789101211212223242527282930[[#This Row],[Company Panel]]-Table333456789101211212223242527282930[[#This Row],[Our panel]]</f>
        <v>0</v>
      </c>
      <c r="I18" s="13">
        <f>Table333456789101211212223242527282930[[#This Row],[MTD Company]]-Table333456789101211212223242527282930[[#This Row],[MTD Panel]]</f>
        <v>0</v>
      </c>
    </row>
    <row r="19" spans="1:9">
      <c r="A19" s="11" t="str">
        <f>Table333456789101217[[#This Row],[Carrier]]</f>
        <v>Ember</v>
      </c>
      <c r="B19" s="5" t="str">
        <f>Table333456789101217[[#This Row],[IP]]</f>
        <v>78.34.90.24/328.56.122.44/142.150.75.22</v>
      </c>
      <c r="C19" s="6" t="str">
        <f>Table333456789101217[[#This Row],[Carrier Code]]</f>
        <v>EM</v>
      </c>
      <c r="D19" s="53">
        <v>0</v>
      </c>
      <c r="E19" s="53">
        <v>0</v>
      </c>
      <c r="F19" s="18">
        <f>Table333456789101211212223242527282930[[#This Row],[Company Panel]]+Table3334567891012112122232425272829[[#This Row],[MTD Company]]</f>
        <v>0</v>
      </c>
      <c r="G19" s="18">
        <f>Table333456789101211212223242527282930[[#This Row],[Our panel]]+Table3334567891012112122232425272829[[#This Row],[MTD Panel]]</f>
        <v>0</v>
      </c>
      <c r="H19" s="13">
        <f>Table333456789101211212223242527282930[[#This Row],[Company Panel]]-Table333456789101211212223242527282930[[#This Row],[Our panel]]</f>
        <v>0</v>
      </c>
      <c r="I19" s="13">
        <f>Table333456789101211212223242527282930[[#This Row],[MTD Company]]-Table333456789101211212223242527282930[[#This Row],[MTD Panel]]</f>
        <v>0</v>
      </c>
    </row>
    <row r="20" spans="1:9">
      <c r="A20" s="11" t="str">
        <f>Table333456789101217[[#This Row],[Carrier]]</f>
        <v>Specter</v>
      </c>
      <c r="B20" s="5" t="str">
        <f>Table333456789101217[[#This Row],[IP]]</f>
        <v>205.60.34.150</v>
      </c>
      <c r="C20" s="6" t="str">
        <f>Table333456789101217[[#This Row],[Carrier Code]]</f>
        <v>SP</v>
      </c>
      <c r="D20" s="53">
        <v>0</v>
      </c>
      <c r="E20" s="53">
        <v>0</v>
      </c>
      <c r="F20" s="18">
        <f>Table333456789101211212223242527282930[[#This Row],[Company Panel]]+Table3334567891012112122232425272829[[#This Row],[MTD Company]]</f>
        <v>11.950000000000003</v>
      </c>
      <c r="G20" s="18">
        <f>Table333456789101211212223242527282930[[#This Row],[Our panel]]+Table3334567891012112122232425272829[[#This Row],[MTD Panel]]</f>
        <v>11.950000000000003</v>
      </c>
      <c r="H20" s="13">
        <f>Table333456789101211212223242527282930[[#This Row],[Company Panel]]-Table333456789101211212223242527282930[[#This Row],[Our panel]]</f>
        <v>0</v>
      </c>
      <c r="I20" s="13">
        <f>Table333456789101211212223242527282930[[#This Row],[MTD Company]]-Table333456789101211212223242527282930[[#This Row],[MTD Panel]]</f>
        <v>0</v>
      </c>
    </row>
    <row r="21" spans="1:9">
      <c r="A21" s="11" t="str">
        <f>Table333456789101217[[#This Row],[Carrier]]</f>
        <v>Throne</v>
      </c>
      <c r="B21" s="5" t="str">
        <f>Table333456789101217[[#This Row],[IP]]</f>
        <v>54.32.11.90/27.758.27.201/125.150.58.20</v>
      </c>
      <c r="C21" s="6" t="str">
        <f>Table333456789101217[[#This Row],[Carrier Code]]</f>
        <v>TH</v>
      </c>
      <c r="D21" s="53">
        <v>0</v>
      </c>
      <c r="E21" s="53">
        <v>0</v>
      </c>
      <c r="F21" s="18">
        <f>Table333456789101211212223242527282930[[#This Row],[Company Panel]]+Table3334567891012112122232425272829[[#This Row],[MTD Company]]</f>
        <v>0</v>
      </c>
      <c r="G21" s="18">
        <f>Table333456789101211212223242527282930[[#This Row],[Our panel]]+Table3334567891012112122232425272829[[#This Row],[MTD Panel]]</f>
        <v>0</v>
      </c>
      <c r="H21" s="13">
        <f>Table333456789101211212223242527282930[[#This Row],[Company Panel]]-Table333456789101211212223242527282930[[#This Row],[Our panel]]</f>
        <v>0</v>
      </c>
      <c r="I21" s="13">
        <f>Table333456789101211212223242527282930[[#This Row],[MTD Company]]-Table333456789101211212223242527282930[[#This Row],[MTD Panel]]</f>
        <v>0</v>
      </c>
    </row>
    <row r="22" spans="1:9">
      <c r="A22" s="11" t="str">
        <f>Table333456789101217[[#This Row],[Carrier]]</f>
        <v>Arcane</v>
      </c>
      <c r="B22" s="5" t="str">
        <f>Table333456789101217[[#This Row],[IP]]</f>
        <v>212.100.25.78/212.100.25.87</v>
      </c>
      <c r="C22" s="6" t="str">
        <f>Table333456789101217[[#This Row],[Carrier Code]]</f>
        <v>AR</v>
      </c>
      <c r="D22" s="53">
        <v>0</v>
      </c>
      <c r="E22" s="53">
        <v>0</v>
      </c>
      <c r="F22" s="18">
        <f>Table333456789101211212223242527282930[[#This Row],[Company Panel]]+Table3334567891012112122232425272829[[#This Row],[MTD Company]]</f>
        <v>80.75</v>
      </c>
      <c r="G22" s="18">
        <f>Table333456789101211212223242527282930[[#This Row],[Our panel]]+Table3334567891012112122232425272829[[#This Row],[MTD Panel]]</f>
        <v>80.75</v>
      </c>
      <c r="H22" s="13">
        <f>Table333456789101211212223242527282930[[#This Row],[Company Panel]]-Table333456789101211212223242527282930[[#This Row],[Our panel]]</f>
        <v>0</v>
      </c>
      <c r="I22" s="13">
        <f>Table333456789101211212223242527282930[[#This Row],[MTD Company]]-Table333456789101211212223242527282930[[#This Row],[MTD Panel]]</f>
        <v>0</v>
      </c>
    </row>
    <row r="23" spans="1:9">
      <c r="A23" s="11" t="str">
        <f>Table333456789101217[[#This Row],[Carrier]]</f>
        <v>Glitch</v>
      </c>
      <c r="B23" s="5" t="str">
        <f>Table333456789101217[[#This Row],[IP]]</f>
        <v>198.204.100.12/198.204.100.34/198.204.100.51</v>
      </c>
      <c r="C23" s="6" t="str">
        <f>Table333456789101217[[#This Row],[Carrier Code]]</f>
        <v>GL</v>
      </c>
      <c r="D23" s="53">
        <v>0</v>
      </c>
      <c r="E23" s="53">
        <v>0</v>
      </c>
      <c r="F23" s="18">
        <f>Table333456789101211212223242527282930[[#This Row],[Company Panel]]+Table3334567891012112122232425272829[[#This Row],[MTD Company]]</f>
        <v>0</v>
      </c>
      <c r="G23" s="18">
        <f>Table333456789101211212223242527282930[[#This Row],[Our panel]]+Table3334567891012112122232425272829[[#This Row],[MTD Panel]]</f>
        <v>0</v>
      </c>
      <c r="H23" s="13">
        <f>Table333456789101211212223242527282930[[#This Row],[Company Panel]]-Table333456789101211212223242527282930[[#This Row],[Our panel]]</f>
        <v>0</v>
      </c>
      <c r="I23" s="13">
        <f>Table333456789101211212223242527282930[[#This Row],[MTD Company]]-Table333456789101211212223242527282930[[#This Row],[MTD Panel]]</f>
        <v>0</v>
      </c>
    </row>
    <row r="24" spans="1:9">
      <c r="A24" s="11" t="str">
        <f>Table333456789101217[[#This Row],[Carrier]]</f>
        <v>Nitro</v>
      </c>
      <c r="B24" s="5" t="str">
        <f>Table333456789101217[[#This Row],[IP]]</f>
        <v>15.150.200.33/119.82.200.100</v>
      </c>
      <c r="C24" s="6" t="str">
        <f>Table333456789101217[[#This Row],[Carrier Code]]</f>
        <v>NI</v>
      </c>
      <c r="D24" s="53">
        <v>0</v>
      </c>
      <c r="E24" s="53">
        <v>0</v>
      </c>
      <c r="F24" s="18">
        <f>Table333456789101211212223242527282930[[#This Row],[Company Panel]]+Table3334567891012112122232425272829[[#This Row],[MTD Company]]</f>
        <v>0</v>
      </c>
      <c r="G24" s="18">
        <f>Table333456789101211212223242527282930[[#This Row],[Our panel]]+Table3334567891012112122232425272829[[#This Row],[MTD Panel]]</f>
        <v>0</v>
      </c>
      <c r="H24" s="13">
        <f>Table333456789101211212223242527282930[[#This Row],[Company Panel]]-Table333456789101211212223242527282930[[#This Row],[Our panel]]</f>
        <v>0</v>
      </c>
      <c r="I24" s="13">
        <f>Table333456789101211212223242527282930[[#This Row],[MTD Company]]-Table333456789101211212223242527282930[[#This Row],[MTD Panel]]</f>
        <v>0</v>
      </c>
    </row>
    <row r="25" spans="1:9">
      <c r="A25" s="11" t="str">
        <f>Table333456789101217[[#This Row],[Carrier]]</f>
        <v>Drip</v>
      </c>
      <c r="B25" s="5" t="str">
        <f>Table333456789101217[[#This Row],[IP]]</f>
        <v>84.13.76.190/90.945.80.11/198.160.234.5</v>
      </c>
      <c r="C25" s="6" t="str">
        <f>Table333456789101217[[#This Row],[Carrier Code]]</f>
        <v>DR</v>
      </c>
      <c r="D25" s="53">
        <v>0</v>
      </c>
      <c r="E25" s="53">
        <v>0</v>
      </c>
      <c r="F25" s="18">
        <f>Table333456789101211212223242527282930[[#This Row],[Company Panel]]+Table3334567891012112122232425272829[[#This Row],[MTD Company]]</f>
        <v>0</v>
      </c>
      <c r="G25" s="18">
        <f>Table333456789101211212223242527282930[[#This Row],[Our panel]]+Table3334567891012112122232425272829[[#This Row],[MTD Panel]]</f>
        <v>0</v>
      </c>
      <c r="H25" s="13">
        <f>Table333456789101211212223242527282930[[#This Row],[Company Panel]]-Table333456789101211212223242527282930[[#This Row],[Our panel]]</f>
        <v>0</v>
      </c>
      <c r="I25" s="13">
        <f>Table333456789101211212223242527282930[[#This Row],[MTD Company]]-Table333456789101211212223242527282930[[#This Row],[MTD Panel]]</f>
        <v>0</v>
      </c>
    </row>
    <row r="26" spans="1:9">
      <c r="A26" s="11" t="str">
        <f>Table333456789101217[[#This Row],[Carrier]]</f>
        <v>Glide</v>
      </c>
      <c r="B26" s="5" t="str">
        <f>Table333456789101217[[#This Row],[IP]]</f>
        <v>120.45.12.25/85.739.221.80/85.739.221.93</v>
      </c>
      <c r="C26" s="6" t="str">
        <f>Table333456789101217[[#This Row],[Carrier Code]]</f>
        <v>GI</v>
      </c>
      <c r="D26" s="53">
        <v>0</v>
      </c>
      <c r="E26" s="53">
        <v>0</v>
      </c>
      <c r="F26" s="18">
        <f>Table333456789101211212223242527282930[[#This Row],[Company Panel]]+Table3334567891012112122232425272829[[#This Row],[MTD Company]]</f>
        <v>0</v>
      </c>
      <c r="G26" s="18">
        <f>Table333456789101211212223242527282930[[#This Row],[Our panel]]+Table3334567891012112122232425272829[[#This Row],[MTD Panel]]</f>
        <v>0</v>
      </c>
      <c r="H26" s="13">
        <f>Table333456789101211212223242527282930[[#This Row],[Company Panel]]-Table333456789101211212223242527282930[[#This Row],[Our panel]]</f>
        <v>0</v>
      </c>
      <c r="I26" s="13">
        <f>Table333456789101211212223242527282930[[#This Row],[MTD Company]]-Table333456789101211212223242527282930[[#This Row],[MTD Panel]]</f>
        <v>0</v>
      </c>
    </row>
    <row r="27" spans="1:9">
      <c r="A27" s="11" t="str">
        <f>Table333456789101217[[#This Row],[Carrier]]</f>
        <v>Orbit</v>
      </c>
      <c r="B27" s="5" t="str">
        <f>Table333456789101217[[#This Row],[IP]]</f>
        <v>176.98.54.112/60.110.154.91/60.110.155.162</v>
      </c>
      <c r="C27" s="6" t="str">
        <f>Table333456789101217[[#This Row],[Carrier Code]]</f>
        <v>OR</v>
      </c>
      <c r="D27" s="53">
        <v>0</v>
      </c>
      <c r="E27" s="53">
        <v>0</v>
      </c>
      <c r="F27" s="18">
        <f>Table333456789101211212223242527282930[[#This Row],[Company Panel]]+Table3334567891012112122232425272829[[#This Row],[MTD Company]]</f>
        <v>0</v>
      </c>
      <c r="G27" s="18">
        <f>Table333456789101211212223242527282930[[#This Row],[Our panel]]+Table3334567891012112122232425272829[[#This Row],[MTD Panel]]</f>
        <v>0</v>
      </c>
      <c r="H27" s="13">
        <f>Table333456789101211212223242527282930[[#This Row],[Company Panel]]-Table333456789101211212223242527282930[[#This Row],[Our panel]]</f>
        <v>0</v>
      </c>
      <c r="I27" s="13">
        <f>Table333456789101211212223242527282930[[#This Row],[MTD Company]]-Table333456789101211212223242527282930[[#This Row],[MTD Panel]]</f>
        <v>0</v>
      </c>
    </row>
    <row r="28" spans="1:9">
      <c r="A28" s="11" t="str">
        <f>Table333456789101217[[#This Row],[Carrier]]</f>
        <v>Thunder</v>
      </c>
      <c r="B28" s="5" t="str">
        <f>Table333456789101217[[#This Row],[IP]]</f>
        <v>67.102.200.9/81.905.48.847/143.235.100.34</v>
      </c>
      <c r="C28" s="6" t="str">
        <f>Table333456789101217[[#This Row],[Carrier Code]]</f>
        <v>TU</v>
      </c>
      <c r="D28" s="53">
        <v>10.55</v>
      </c>
      <c r="E28" s="53">
        <v>10.55</v>
      </c>
      <c r="F28" s="18">
        <f>Table333456789101211212223242527282930[[#This Row],[Company Panel]]+Table3334567891012112122232425272829[[#This Row],[MTD Company]]</f>
        <v>561.69999999999982</v>
      </c>
      <c r="G28" s="18">
        <f>Table333456789101211212223242527282930[[#This Row],[Our panel]]+Table3334567891012112122232425272829[[#This Row],[MTD Panel]]</f>
        <v>561.69999999999982</v>
      </c>
      <c r="H28" s="13">
        <f>Table333456789101211212223242527282930[[#This Row],[Company Panel]]-Table333456789101211212223242527282930[[#This Row],[Our panel]]</f>
        <v>0</v>
      </c>
      <c r="I28" s="13">
        <f>Table333456789101211212223242527282930[[#This Row],[MTD Company]]-Table333456789101211212223242527282930[[#This Row],[MTD Panel]]</f>
        <v>0</v>
      </c>
    </row>
    <row r="29" spans="1:9">
      <c r="A29" s="11" t="str">
        <f>Table333456789101217[[#This Row],[Carrier]]</f>
        <v>Glimmer</v>
      </c>
      <c r="B29" s="5" t="str">
        <f>Table333456789101217[[#This Row],[IP]]</f>
        <v>99.22.211.100/71.54.85.344/71.54.85.218</v>
      </c>
      <c r="C29" s="6" t="str">
        <f>Table333456789101217[[#This Row],[Carrier Code]]</f>
        <v>GM</v>
      </c>
      <c r="D29" s="53">
        <v>0</v>
      </c>
      <c r="E29" s="53">
        <v>0</v>
      </c>
      <c r="F29" s="18">
        <f>Table333456789101211212223242527282930[[#This Row],[Company Panel]]+Table3334567891012112122232425272829[[#This Row],[MTD Company]]</f>
        <v>0</v>
      </c>
      <c r="G29" s="18">
        <f>Table333456789101211212223242527282930[[#This Row],[Our panel]]+Table3334567891012112122232425272829[[#This Row],[MTD Panel]]</f>
        <v>0</v>
      </c>
      <c r="H29" s="13">
        <f>Table333456789101211212223242527282930[[#This Row],[Company Panel]]-Table333456789101211212223242527282930[[#This Row],[Our panel]]</f>
        <v>0</v>
      </c>
      <c r="I29" s="13">
        <f>Table333456789101211212223242527282930[[#This Row],[MTD Company]]-Table333456789101211212223242527282930[[#This Row],[MTD Panel]]</f>
        <v>0</v>
      </c>
    </row>
    <row r="30" spans="1:9">
      <c r="A30" s="11" t="str">
        <f>Table333456789101217[[#This Row],[Carrier]]</f>
        <v>Fragment</v>
      </c>
      <c r="B30" s="5" t="str">
        <f>Table333456789101217[[#This Row],[IP]]</f>
        <v>203.0.113.56/195.56.101.10</v>
      </c>
      <c r="C30" s="6" t="str">
        <f>Table333456789101217[[#This Row],[Carrier Code]]</f>
        <v>FR</v>
      </c>
      <c r="D30" s="53">
        <v>0</v>
      </c>
      <c r="E30" s="53">
        <v>0</v>
      </c>
      <c r="F30" s="18">
        <f>Table333456789101211212223242527282930[[#This Row],[Company Panel]]+Table3334567891012112122232425272829[[#This Row],[MTD Company]]</f>
        <v>0</v>
      </c>
      <c r="G30" s="18">
        <f>Table333456789101211212223242527282930[[#This Row],[Our panel]]+Table3334567891012112122232425272829[[#This Row],[MTD Panel]]</f>
        <v>0</v>
      </c>
      <c r="H30" s="13">
        <f>Table333456789101211212223242527282930[[#This Row],[Company Panel]]-Table333456789101211212223242527282930[[#This Row],[Our panel]]</f>
        <v>0</v>
      </c>
      <c r="I30" s="13">
        <f>Table333456789101211212223242527282930[[#This Row],[MTD Company]]-Table333456789101211212223242527282930[[#This Row],[MTD Panel]]</f>
        <v>0</v>
      </c>
    </row>
    <row r="31" spans="1:9">
      <c r="A31" s="11" t="str">
        <f>Table333456789101217[[#This Row],[Carrier]]</f>
        <v>Dusk</v>
      </c>
      <c r="B31" s="5" t="str">
        <f>Table333456789101217[[#This Row],[IP]]</f>
        <v>33.44.55.66/33.44.55.84/33.44.55.122/214.68.90.122</v>
      </c>
      <c r="C31" s="54" t="str">
        <f>Table333456789101217[[#This Row],[Carrier Code]]</f>
        <v>DK</v>
      </c>
      <c r="D31" s="53">
        <v>0</v>
      </c>
      <c r="E31" s="53">
        <v>0</v>
      </c>
      <c r="F31" s="18">
        <f>Table333456789101211212223242527282930[[#This Row],[Company Panel]]+Table3334567891012112122232425272829[[#This Row],[MTD Company]]</f>
        <v>0</v>
      </c>
      <c r="G31" s="18">
        <f>Table333456789101211212223242527282930[[#This Row],[Our panel]]+Table3334567891012112122232425272829[[#This Row],[MTD Panel]]</f>
        <v>0</v>
      </c>
      <c r="H31" s="13">
        <f>Table333456789101211212223242527282930[[#This Row],[Company Panel]]-Table333456789101211212223242527282930[[#This Row],[Our panel]]</f>
        <v>0</v>
      </c>
      <c r="I31" s="13">
        <f>Table333456789101211212223242527282930[[#This Row],[MTD Company]]-Table333456789101211212223242527282930[[#This Row],[MTD Panel]]</f>
        <v>0</v>
      </c>
    </row>
    <row r="32" spans="1:9">
      <c r="A32" s="11" t="str">
        <f>Table333456789101217[[#This Row],[Carrier]]</f>
        <v>Breeze</v>
      </c>
      <c r="B32" s="5" t="str">
        <f>Table333456789101217[[#This Row],[IP]]</f>
        <v>199.123.87.45/199.123.34.52/77.189.22.56</v>
      </c>
      <c r="C32" s="54" t="str">
        <f>Table333456789101217[[#This Row],[Carrier Code]]</f>
        <v>BR</v>
      </c>
      <c r="D32" s="53">
        <v>0</v>
      </c>
      <c r="E32" s="53">
        <v>0</v>
      </c>
      <c r="F32" s="18">
        <f>Table333456789101211212223242527282930[[#This Row],[Company Panel]]+Table3334567891012112122232425272829[[#This Row],[MTD Company]]</f>
        <v>0</v>
      </c>
      <c r="G32" s="18">
        <f>Table333456789101211212223242527282930[[#This Row],[Our panel]]+Table3334567891012112122232425272829[[#This Row],[MTD Panel]]</f>
        <v>0</v>
      </c>
      <c r="H32" s="13">
        <f>Table333456789101211212223242527282930[[#This Row],[Company Panel]]-Table333456789101211212223242527282930[[#This Row],[Our panel]]</f>
        <v>0</v>
      </c>
      <c r="I32" s="13">
        <f>Table333456789101211212223242527282930[[#This Row],[MTD Company]]-Table333456789101211212223242527282930[[#This Row],[MTD Panel]]</f>
        <v>0</v>
      </c>
    </row>
    <row r="33" spans="1:9">
      <c r="A33" s="11" t="str">
        <f>Table333456789101217[[#This Row],[Carrier]]</f>
        <v>Clutch</v>
      </c>
      <c r="B33" s="5" t="str">
        <f>Table333456789101217[[#This Row],[IP]]</f>
        <v>55.66.77.88/84.126.79.28/152.233.45.11</v>
      </c>
      <c r="C33" s="54" t="str">
        <f>Table333456789101217[[#This Row],[Carrier Code]]</f>
        <v>CL</v>
      </c>
      <c r="D33" s="53">
        <v>0</v>
      </c>
      <c r="E33" s="53">
        <v>0</v>
      </c>
      <c r="F33" s="18">
        <f>Table333456789101211212223242527282930[[#This Row],[Company Panel]]+Table3334567891012112122232425272829[[#This Row],[MTD Company]]</f>
        <v>0</v>
      </c>
      <c r="G33" s="18">
        <f>Table333456789101211212223242527282930[[#This Row],[Our panel]]+Table3334567891012112122232425272829[[#This Row],[MTD Panel]]</f>
        <v>0</v>
      </c>
      <c r="H33" s="13">
        <f>Table333456789101211212223242527282930[[#This Row],[Company Panel]]-Table333456789101211212223242527282930[[#This Row],[Our panel]]</f>
        <v>0</v>
      </c>
      <c r="I33" s="13">
        <f>Table333456789101211212223242527282930[[#This Row],[MTD Company]]-Table333456789101211212223242527282930[[#This Row],[MTD Panel]]</f>
        <v>0</v>
      </c>
    </row>
    <row r="34" spans="1:9">
      <c r="A34" s="11" t="str">
        <f>Table333456789101217[[#This Row],[Carrier]]</f>
        <v>Haze</v>
      </c>
      <c r="B34" s="5" t="str">
        <f>Table333456789101217[[#This Row],[IP]]</f>
        <v>230.111.44.56</v>
      </c>
      <c r="C34" s="67" t="str">
        <f>Table333456789101217[[#This Row],[Carrier Code]]</f>
        <v>HZ</v>
      </c>
      <c r="D34" s="53">
        <v>14119.983333333334</v>
      </c>
      <c r="E34" s="53">
        <v>14119.983333333334</v>
      </c>
      <c r="F34" s="18">
        <f>Table333456789101211212223242527282930[[#This Row],[Company Panel]]+Table3334567891012112122232425272829[[#This Row],[MTD Company]]</f>
        <v>26967.633333333331</v>
      </c>
      <c r="G34" s="18">
        <f>Table333456789101211212223242527282930[[#This Row],[Our panel]]+Table3334567891012112122232425272829[[#This Row],[MTD Panel]]</f>
        <v>26967.633333333331</v>
      </c>
      <c r="H34" s="68">
        <f>Table333456789101211212223242527282930[[#This Row],[Company Panel]]-Table333456789101211212223242527282930[[#This Row],[Our panel]]</f>
        <v>0</v>
      </c>
      <c r="I34" s="68">
        <f>Table333456789101211212223242527282930[[#This Row],[MTD Company]]-Table333456789101211212223242527282930[[#This Row],[MTD Panel]]</f>
        <v>0</v>
      </c>
    </row>
    <row r="35" spans="1:9">
      <c r="A35" s="11" t="str">
        <f>Table333456789101217[[#This Row],[Carrier]]</f>
        <v>Vault</v>
      </c>
      <c r="B35" s="5" t="str">
        <f>Table333456789101217[[#This Row],[IP]]</f>
        <v>213.189.94.5/213.189.94.7/111.180.64.222</v>
      </c>
      <c r="C35" s="67" t="str">
        <f>Table333456789101217[[#This Row],[Carrier Code]]</f>
        <v>VA</v>
      </c>
      <c r="D35" s="53">
        <v>0</v>
      </c>
      <c r="E35" s="53">
        <v>0</v>
      </c>
      <c r="F35" s="18">
        <f>Table333456789101211212223242527282930[[#This Row],[Company Panel]]+Table3334567891012112122232425272829[[#This Row],[MTD Company]]</f>
        <v>0</v>
      </c>
      <c r="G35" s="18">
        <f>Table333456789101211212223242527282930[[#This Row],[Our panel]]+Table3334567891012112122232425272829[[#This Row],[MTD Panel]]</f>
        <v>0</v>
      </c>
      <c r="H35" s="68">
        <f>Table333456789101211212223242527282930[[#This Row],[Company Panel]]-Table333456789101211212223242527282930[[#This Row],[Our panel]]</f>
        <v>0</v>
      </c>
      <c r="I35" s="68">
        <f>Table333456789101211212223242527282930[[#This Row],[MTD Company]]-Table333456789101211212223242527282930[[#This Row],[MTD Panel]]</f>
        <v>0</v>
      </c>
    </row>
    <row r="36" spans="1:9">
      <c r="A36" s="11" t="str">
        <f>Table333456789101217[[#This Row],[Carrier]]</f>
        <v>Scatter</v>
      </c>
      <c r="B36" s="5" t="str">
        <f>Table333456789101217[[#This Row],[IP]]</f>
        <v>14.123.45.67/168.251.90.15</v>
      </c>
      <c r="C36" s="67" t="str">
        <f>Table333456789101217[[#This Row],[Carrier Code]]</f>
        <v>SC</v>
      </c>
      <c r="D36" s="53">
        <v>102.8</v>
      </c>
      <c r="E36" s="53">
        <v>102.8</v>
      </c>
      <c r="F36" s="18">
        <f>Table333456789101211212223242527282930[[#This Row],[Company Panel]]+Table3334567891012112122232425272829[[#This Row],[MTD Company]]</f>
        <v>1375.9999999999998</v>
      </c>
      <c r="G36" s="18">
        <f>Table333456789101211212223242527282930[[#This Row],[Our panel]]+Table3334567891012112122232425272829[[#This Row],[MTD Panel]]</f>
        <v>1375.9999999999998</v>
      </c>
      <c r="H36" s="68">
        <f>Table333456789101211212223242527282930[[#This Row],[Company Panel]]-Table333456789101211212223242527282930[[#This Row],[Our panel]]</f>
        <v>0</v>
      </c>
      <c r="I36" s="68">
        <f>Table333456789101211212223242527282930[[#This Row],[MTD Company]]-Table333456789101211212223242527282930[[#This Row],[MTD Panel]]</f>
        <v>0</v>
      </c>
    </row>
    <row r="37" spans="1:9">
      <c r="A37" s="11" t="str">
        <f>Table333456789101217[[#This Row],[Carrier]]</f>
        <v>Hammer</v>
      </c>
      <c r="B37" s="5" t="str">
        <f>Table333456789101217[[#This Row],[IP]]</f>
        <v>200.111.78.9/200.111.236.62/200.111.823.89/137.79.48.56</v>
      </c>
      <c r="C37" s="67" t="str">
        <f>Table333456789101217[[#This Row],[Carrier Code]]</f>
        <v>HA</v>
      </c>
      <c r="D37" s="53">
        <v>0</v>
      </c>
      <c r="E37" s="53">
        <v>0</v>
      </c>
      <c r="F37" s="18">
        <f>Table333456789101211212223242527282930[[#This Row],[Company Panel]]+Table3334567891012112122232425272829[[#This Row],[MTD Company]]</f>
        <v>0</v>
      </c>
      <c r="G37" s="18">
        <f>Table333456789101211212223242527282930[[#This Row],[Our panel]]+Table3334567891012112122232425272829[[#This Row],[MTD Panel]]</f>
        <v>0</v>
      </c>
      <c r="H37" s="72">
        <f>Table333456789101211212223242527282930[[#This Row],[Company Panel]]-Table333456789101211212223242527282930[[#This Row],[Our panel]]</f>
        <v>0</v>
      </c>
      <c r="I37" s="72">
        <f>Table333456789101211212223242527282930[[#This Row],[MTD Company]]-Table333456789101211212223242527282930[[#This Row],[MTD Panel]]</f>
        <v>0</v>
      </c>
    </row>
    <row r="38" spans="1:9">
      <c r="A38" s="11" t="str">
        <f>Table333456789101217[[#This Row],[Carrier]]</f>
        <v>Smudge</v>
      </c>
      <c r="B38" s="5" t="str">
        <f>Table333456789101217[[#This Row],[IP]]</f>
        <v>88.99.233.56/54.71.99.234</v>
      </c>
      <c r="C38" s="67" t="str">
        <f>Table333456789101217[[#This Row],[Carrier Code]]</f>
        <v>SM</v>
      </c>
      <c r="D38" s="53">
        <v>9.4499999999999993</v>
      </c>
      <c r="E38" s="53">
        <v>9.4499999999999993</v>
      </c>
      <c r="F38" s="18">
        <f>Table333456789101211212223242527282930[[#This Row],[Company Panel]]+Table3334567891012112122232425272829[[#This Row],[MTD Company]]</f>
        <v>381.41666666666663</v>
      </c>
      <c r="G38" s="18">
        <f>Table333456789101211212223242527282930[[#This Row],[Our panel]]+Table3334567891012112122232425272829[[#This Row],[MTD Panel]]</f>
        <v>381.41666666666663</v>
      </c>
      <c r="H38" s="72">
        <f>Table333456789101211212223242527282930[[#This Row],[Company Panel]]-Table333456789101211212223242527282930[[#This Row],[Our panel]]</f>
        <v>0</v>
      </c>
      <c r="I38" s="72">
        <f>Table333456789101211212223242527282930[[#This Row],[MTD Company]]-Table333456789101211212223242527282930[[#This Row],[MTD Panel]]</f>
        <v>0</v>
      </c>
    </row>
    <row r="39" spans="1:9">
      <c r="A39" s="11" t="str">
        <f>Table333456789101217[[#This Row],[Carrier]]</f>
        <v>Quirk</v>
      </c>
      <c r="B39" s="5" t="str">
        <f>Table333456789101217[[#This Row],[IP]]</f>
        <v>62.45.100.31/62.45.100.15/62.45.100.65/211.95.102.6</v>
      </c>
      <c r="C39" s="67" t="str">
        <f>Table333456789101217[[#This Row],[Carrier Code]]</f>
        <v>QU</v>
      </c>
      <c r="D39" s="53">
        <v>1571.2666666666667</v>
      </c>
      <c r="E39" s="53">
        <v>1571.2666666666667</v>
      </c>
      <c r="F39" s="18">
        <f>Table333456789101211212223242527282930[[#This Row],[Company Panel]]+Table3334567891012112122232425272829[[#This Row],[MTD Company]]</f>
        <v>39416.849999999991</v>
      </c>
      <c r="G39" s="18">
        <f>Table333456789101211212223242527282930[[#This Row],[Our panel]]+Table3334567891012112122232425272829[[#This Row],[MTD Panel]]</f>
        <v>39416.849999999991</v>
      </c>
      <c r="H39" s="72">
        <f>Table333456789101211212223242527282930[[#This Row],[Company Panel]]-Table333456789101211212223242527282930[[#This Row],[Our panel]]</f>
        <v>0</v>
      </c>
      <c r="I39" s="72">
        <f>Table333456789101211212223242527282930[[#This Row],[MTD Company]]-Table333456789101211212223242527282930[[#This Row],[MTD Panel]]</f>
        <v>0</v>
      </c>
    </row>
    <row r="40" spans="1:9">
      <c r="A40" s="11" t="str">
        <f>Table333456789101217[[#This Row],[Carrier]]</f>
        <v>Vortex</v>
      </c>
      <c r="B40" s="5" t="str">
        <f>Table333456789101217[[#This Row],[IP]]</f>
        <v>179.250.91.8/29.540.67.457/94.25.34.78/183.144.27.18</v>
      </c>
      <c r="C40" s="67" t="str">
        <f>Table333456789101217[[#This Row],[Carrier Code]]</f>
        <v>VT</v>
      </c>
      <c r="D40" s="53">
        <v>0.95</v>
      </c>
      <c r="E40" s="53">
        <v>0.95</v>
      </c>
      <c r="F40" s="18">
        <f>Table333456789101211212223242527282930[[#This Row],[Company Panel]]+Table3334567891012112122232425272829[[#This Row],[MTD Company]]</f>
        <v>0.95</v>
      </c>
      <c r="G40" s="18">
        <f>Table333456789101211212223242527282930[[#This Row],[Our panel]]+Table3334567891012112122232425272829[[#This Row],[MTD Panel]]</f>
        <v>0.95</v>
      </c>
      <c r="H40" s="72">
        <f>Table333456789101211212223242527282930[[#This Row],[Company Panel]]-Table333456789101211212223242527282930[[#This Row],[Our panel]]</f>
        <v>0</v>
      </c>
      <c r="I40" s="72">
        <f>Table333456789101211212223242527282930[[#This Row],[MTD Company]]-Table333456789101211212223242527282930[[#This Row],[MTD Panel]]</f>
        <v>0</v>
      </c>
    </row>
    <row r="41" spans="1:9">
      <c r="A41" s="11" t="str">
        <f>Table333456789101217[[#This Row],[Carrier]]</f>
        <v>Void</v>
      </c>
      <c r="B41" s="5" t="str">
        <f>Table333456789101217[[#This Row],[IP]]</f>
        <v>156.34.123.11/156.34.123.25/156.34.123.62/92.44.233.110</v>
      </c>
      <c r="C41" s="67" t="str">
        <f>Table333456789101217[[#This Row],[Carrier Code]]</f>
        <v>VO</v>
      </c>
      <c r="D41" s="53">
        <v>21.766666666666666</v>
      </c>
      <c r="E41" s="53">
        <v>21.766666666666666</v>
      </c>
      <c r="F41" s="18">
        <f>Table333456789101211212223242527282930[[#This Row],[Company Panel]]+Table3334567891012112122232425272829[[#This Row],[MTD Company]]</f>
        <v>907.74999999999989</v>
      </c>
      <c r="G41" s="18">
        <f>Table333456789101211212223242527282930[[#This Row],[Our panel]]+Table3334567891012112122232425272829[[#This Row],[MTD Panel]]</f>
        <v>907.74999999999989</v>
      </c>
      <c r="H41" s="72">
        <f>Table333456789101211212223242527282930[[#This Row],[Company Panel]]-Table333456789101211212223242527282930[[#This Row],[Our panel]]</f>
        <v>0</v>
      </c>
      <c r="I41" s="72">
        <f>Table333456789101211212223242527282930[[#This Row],[MTD Company]]-Table333456789101211212223242527282930[[#This Row],[MTD Panel]]</f>
        <v>0</v>
      </c>
    </row>
    <row r="42" spans="1:9">
      <c r="A42" s="11" t="str">
        <f>Table333456789101217[[#This Row],[Carrier]]</f>
        <v>Midnight</v>
      </c>
      <c r="B42" s="5" t="str">
        <f>Table333456789101217[[#This Row],[IP]]</f>
        <v>134.77.22.4/23.97.150.8</v>
      </c>
      <c r="C42" s="67" t="str">
        <f>Table333456789101217[[#This Row],[Carrier Code]]</f>
        <v>MI</v>
      </c>
      <c r="D42" s="53">
        <v>251.2</v>
      </c>
      <c r="E42" s="53">
        <v>251.2</v>
      </c>
      <c r="F42" s="18">
        <f>Table333456789101211212223242527282930[[#This Row],[Company Panel]]+Table3334567891012112122232425272829[[#This Row],[MTD Company]]</f>
        <v>7360.75</v>
      </c>
      <c r="G42" s="18">
        <f>Table333456789101211212223242527282930[[#This Row],[Our panel]]+Table3334567891012112122232425272829[[#This Row],[MTD Panel]]</f>
        <v>7360.75</v>
      </c>
      <c r="H42" s="72">
        <f>Table333456789101211212223242527282930[[#This Row],[Company Panel]]-Table333456789101211212223242527282930[[#This Row],[Our panel]]</f>
        <v>0</v>
      </c>
      <c r="I42" s="72">
        <f>Table333456789101211212223242527282930[[#This Row],[MTD Company]]-Table333456789101211212223242527282930[[#This Row],[MTD Panel]]</f>
        <v>0</v>
      </c>
    </row>
    <row r="43" spans="1:9">
      <c r="A43" s="11" t="str">
        <f>Table333456789101217[[#This Row],[Carrier]]</f>
        <v>Autumn</v>
      </c>
      <c r="B43" s="5" t="str">
        <f>Table333456789101217[[#This Row],[IP]]</f>
        <v>202.54.210.88/12.331.94.73/64.19.28.175</v>
      </c>
      <c r="C43" s="67" t="str">
        <f>Table333456789101217[[#This Row],[Carrier Code]]</f>
        <v>AU</v>
      </c>
      <c r="D43" s="53">
        <v>0</v>
      </c>
      <c r="E43" s="53">
        <v>0</v>
      </c>
      <c r="F43" s="18">
        <f>Table333456789101211212223242527282930[[#This Row],[Company Panel]]+Table3334567891012112122232425272829[[#This Row],[MTD Company]]</f>
        <v>262.41666666666669</v>
      </c>
      <c r="G43" s="18">
        <f>Table333456789101211212223242527282930[[#This Row],[Our panel]]+Table3334567891012112122232425272829[[#This Row],[MTD Panel]]</f>
        <v>262.41666666666669</v>
      </c>
      <c r="H43" s="72">
        <f>Table333456789101211212223242527282930[[#This Row],[Company Panel]]-Table333456789101211212223242527282930[[#This Row],[Our panel]]</f>
        <v>0</v>
      </c>
      <c r="I43" s="72">
        <f>Table333456789101211212223242527282930[[#This Row],[MTD Company]]-Table333456789101211212223242527282930[[#This Row],[MTD Panel]]</f>
        <v>0</v>
      </c>
    </row>
    <row r="44" spans="1:9">
      <c r="A44" s="11" t="str">
        <f>Table333456789101217[[#This Row],[Carrier]]</f>
        <v>Mystic</v>
      </c>
      <c r="B44" s="5" t="str">
        <f>Table333456789101217[[#This Row],[IP]]</f>
        <v>51.233.21.76/82.115.35.60/82.115.35.85</v>
      </c>
      <c r="C44" s="67" t="str">
        <f>Table333456789101217[[#This Row],[Carrier Code]]</f>
        <v>MY</v>
      </c>
      <c r="D44" s="53">
        <v>0</v>
      </c>
      <c r="E44" s="53">
        <v>0</v>
      </c>
      <c r="F44" s="18">
        <f>Table333456789101211212223242527282930[[#This Row],[Company Panel]]+Table3334567891012112122232425272829[[#This Row],[MTD Company]]</f>
        <v>0</v>
      </c>
      <c r="G44" s="18">
        <f>Table333456789101211212223242527282930[[#This Row],[Our panel]]+Table3334567891012112122232425272829[[#This Row],[MTD Panel]]</f>
        <v>0</v>
      </c>
      <c r="H44" s="72">
        <f>Table333456789101211212223242527282930[[#This Row],[Company Panel]]-Table333456789101211212223242527282930[[#This Row],[Our panel]]</f>
        <v>0</v>
      </c>
      <c r="I44" s="72">
        <f>Table333456789101211212223242527282930[[#This Row],[MTD Company]]-Table333456789101211212223242527282930[[#This Row],[MTD Panel]]</f>
        <v>0</v>
      </c>
    </row>
    <row r="45" spans="1:9">
      <c r="A45" s="11" t="str">
        <f>Table333456789101217[[#This Row],[Carrier]]</f>
        <v>Clover</v>
      </c>
      <c r="B45" s="5" t="str">
        <f>Table333456789101217[[#This Row],[IP]]</f>
        <v>210.150.12.45/84.50.212.66/135.113.88.9</v>
      </c>
      <c r="C45" s="67" t="str">
        <f>Table333456789101217[[#This Row],[Carrier Code]]</f>
        <v>CO</v>
      </c>
      <c r="D45" s="53">
        <v>95.083333333333329</v>
      </c>
      <c r="E45" s="53">
        <v>95.083333333333329</v>
      </c>
      <c r="F45" s="18">
        <f>Table333456789101211212223242527282930[[#This Row],[Company Panel]]+Table3334567891012112122232425272829[[#This Row],[MTD Company]]</f>
        <v>35005.133333333346</v>
      </c>
      <c r="G45" s="18">
        <f>Table333456789101211212223242527282930[[#This Row],[Our panel]]+Table3334567891012112122232425272829[[#This Row],[MTD Panel]]</f>
        <v>35005.133333333346</v>
      </c>
      <c r="H45" s="13">
        <f>Table333456789101211212223242527282930[[#This Row],[Company Panel]]-Table333456789101211212223242527282930[[#This Row],[Our panel]]</f>
        <v>0</v>
      </c>
      <c r="I45" s="13">
        <f>Table333456789101211212223242527282930[[#This Row],[MTD Company]]-Table333456789101211212223242527282930[[#This Row],[MTD Panel]]</f>
        <v>0</v>
      </c>
    </row>
    <row r="46" spans="1:9">
      <c r="A46" s="11" t="str">
        <f>Table333456789101217[[#This Row],[Carrier]]</f>
        <v>Hunter</v>
      </c>
      <c r="B46" s="5" t="str">
        <f>Table333456789101217[[#This Row],[IP]]</f>
        <v>170.199.20.87/13.693.39.280/78.30.123.47</v>
      </c>
      <c r="C46" s="67" t="str">
        <f>Table333456789101217[[#This Row],[Carrier Code]]</f>
        <v>HU</v>
      </c>
      <c r="D46" s="53">
        <v>282.95</v>
      </c>
      <c r="E46" s="53">
        <v>282.95</v>
      </c>
      <c r="F46" s="18">
        <f>Table333456789101211212223242527282930[[#This Row],[Company Panel]]+Table3334567891012112122232425272829[[#This Row],[MTD Company]]</f>
        <v>16935.25</v>
      </c>
      <c r="G46" s="18">
        <f>Table333456789101211212223242527282930[[#This Row],[Our panel]]+Table3334567891012112122232425272829[[#This Row],[MTD Panel]]</f>
        <v>16935.25</v>
      </c>
      <c r="H46" s="13">
        <f>Table333456789101211212223242527282930[[#This Row],[Company Panel]]-Table333456789101211212223242527282930[[#This Row],[Our panel]]</f>
        <v>0</v>
      </c>
      <c r="I46" s="13">
        <f>Table333456789101211212223242527282930[[#This Row],[MTD Company]]-Table333456789101211212223242527282930[[#This Row],[MTD Panel]]</f>
        <v>0</v>
      </c>
    </row>
    <row r="47" spans="1:9">
      <c r="A47" s="11" t="str">
        <f>Table333456789101217[[#This Row],[Carrier]]</f>
        <v>Invaded</v>
      </c>
      <c r="B47" s="5" t="str">
        <f>Table333456789101217[[#This Row],[IP]]</f>
        <v>182.67.99.120/80.518.230.410/26.847.95.107/188.12.67.92</v>
      </c>
      <c r="C47" s="67" t="str">
        <f>Table333456789101217[[#This Row],[Carrier Code]]</f>
        <v>ID</v>
      </c>
      <c r="D47" s="7">
        <v>0</v>
      </c>
      <c r="E47" s="7">
        <v>0</v>
      </c>
      <c r="F47" s="18">
        <f>Table333456789101211212223242527282930[[#This Row],[Company Panel]]+Table3334567891012112122232425272829[[#This Row],[MTD Company]]</f>
        <v>0</v>
      </c>
      <c r="G47" s="18">
        <f>Table333456789101211212223242527282930[[#This Row],[Our panel]]+Table3334567891012112122232425272829[[#This Row],[MTD Panel]]</f>
        <v>0</v>
      </c>
      <c r="H47" s="13">
        <f>Table333456789101211212223242527282930[[#This Row],[Company Panel]]-Table333456789101211212223242527282930[[#This Row],[Our panel]]</f>
        <v>0</v>
      </c>
      <c r="I47" s="13">
        <f>Table333456789101211212223242527282930[[#This Row],[MTD Company]]-Table333456789101211212223242527282930[[#This Row],[MTD Panel]]</f>
        <v>0</v>
      </c>
    </row>
    <row r="48" spans="1:9">
      <c r="A48" s="11" t="str">
        <f>Table333456789101217[[#This Row],[Carrier]]</f>
        <v>Delusion</v>
      </c>
      <c r="B48" s="5" t="str">
        <f>Table333456789101217[[#This Row],[IP]]</f>
        <v>198.51.100.72/69.887.74.738/39.153.110.645</v>
      </c>
      <c r="C48" s="67" t="str">
        <f>Table333456789101217[[#This Row],[Carrier Code]]</f>
        <v>DU</v>
      </c>
      <c r="D48" s="7">
        <v>0</v>
      </c>
      <c r="E48" s="7">
        <v>0</v>
      </c>
      <c r="F48" s="18">
        <f>Table333456789101211212223242527282930[[#This Row],[Company Panel]]+Table3334567891012112122232425272829[[#This Row],[MTD Company]]</f>
        <v>0</v>
      </c>
      <c r="G48" s="18">
        <f>Table333456789101211212223242527282930[[#This Row],[Our panel]]+Table3334567891012112122232425272829[[#This Row],[MTD Panel]]</f>
        <v>0</v>
      </c>
      <c r="H48" s="13">
        <f>Table333456789101211212223242527282930[[#This Row],[Company Panel]]-Table333456789101211212223242527282930[[#This Row],[Our panel]]</f>
        <v>0</v>
      </c>
      <c r="I48" s="13">
        <f>Table333456789101211212223242527282930[[#This Row],[MTD Company]]-Table333456789101211212223242527282930[[#This Row],[MTD Panel]]</f>
        <v>0</v>
      </c>
    </row>
    <row r="49" spans="1:9" ht="15.5">
      <c r="A49" s="11" t="str">
        <f>Table333456789101217[[#This Row],[Carrier]]</f>
        <v>Total</v>
      </c>
      <c r="B49" s="14"/>
      <c r="C49" s="15"/>
      <c r="D49" s="16">
        <f>SUM(D3:D48)</f>
        <v>18946.133333333335</v>
      </c>
      <c r="E49" s="16">
        <f t="shared" ref="E49:I49" si="0">SUM(E3:E48)</f>
        <v>18946.133333333335</v>
      </c>
      <c r="F49" s="16">
        <f t="shared" si="0"/>
        <v>217893.19999999995</v>
      </c>
      <c r="G49" s="16">
        <f t="shared" si="0"/>
        <v>217893.19999999995</v>
      </c>
      <c r="H49" s="16">
        <f t="shared" si="0"/>
        <v>0</v>
      </c>
      <c r="I49" s="16">
        <f t="shared" si="0"/>
        <v>0</v>
      </c>
    </row>
    <row r="52" spans="1:9">
      <c r="F52" s="9"/>
    </row>
  </sheetData>
  <conditionalFormatting sqref="H2:I48">
    <cfRule type="cellIs" dxfId="151" priority="12" operator="lessThan">
      <formula>0</formula>
    </cfRule>
  </conditionalFormatting>
  <conditionalFormatting sqref="I30:I48">
    <cfRule type="cellIs" dxfId="150" priority="11" operator="lessThan">
      <formula>0</formula>
    </cfRule>
  </conditionalFormatting>
  <conditionalFormatting sqref="H3:I48">
    <cfRule type="cellIs" dxfId="149" priority="10" operator="lessThan">
      <formula>0</formula>
    </cfRule>
  </conditionalFormatting>
  <conditionalFormatting sqref="I30:I48">
    <cfRule type="cellIs" dxfId="148" priority="9" operator="lessThan">
      <formula>0</formula>
    </cfRule>
  </conditionalFormatting>
  <conditionalFormatting sqref="I3:I48">
    <cfRule type="cellIs" dxfId="147" priority="1" operator="lessThan">
      <formula>0</formula>
    </cfRule>
    <cfRule type="cellIs" dxfId="146" priority="2" operator="lessThan">
      <formula>0</formula>
    </cfRule>
  </conditionalFormatting>
  <hyperlinks>
    <hyperlink ref="F1" location="'24'!F1" display="→"/>
    <hyperlink ref="D1" location="'22'!D1" display="←"/>
    <hyperlink ref="E1" location="H!A1" display="Home"/>
  </hyperlink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"/>
  <sheetViews>
    <sheetView workbookViewId="0">
      <selection activeCell="D49" sqref="D49"/>
    </sheetView>
  </sheetViews>
  <sheetFormatPr defaultRowHeight="14.5"/>
  <cols>
    <col min="1" max="1" width="26.7265625" bestFit="1" customWidth="1"/>
    <col min="2" max="2" width="37" bestFit="1" customWidth="1"/>
    <col min="3" max="3" width="10.453125" customWidth="1"/>
    <col min="4" max="9" width="12.7265625" customWidth="1"/>
  </cols>
  <sheetData>
    <row r="1" spans="1:12" ht="18.5">
      <c r="A1" s="23" t="str">
        <f>H!D9</f>
        <v>24th April 2025</v>
      </c>
      <c r="B1" s="24"/>
      <c r="C1" s="24"/>
      <c r="D1" s="22" t="s">
        <v>16</v>
      </c>
      <c r="E1" s="22" t="s">
        <v>9</v>
      </c>
      <c r="F1" s="22" t="s">
        <v>17</v>
      </c>
    </row>
    <row r="2" spans="1:12" ht="31">
      <c r="A2" s="1" t="s">
        <v>0</v>
      </c>
      <c r="B2" s="2" t="s">
        <v>1</v>
      </c>
      <c r="C2" s="2" t="s">
        <v>2</v>
      </c>
      <c r="D2" s="2" t="s">
        <v>3</v>
      </c>
      <c r="E2" s="2" t="s">
        <v>11</v>
      </c>
      <c r="F2" s="2" t="s">
        <v>4</v>
      </c>
      <c r="G2" s="4" t="s">
        <v>6</v>
      </c>
      <c r="H2" s="4" t="s">
        <v>7</v>
      </c>
      <c r="I2" s="3" t="s">
        <v>8</v>
      </c>
    </row>
    <row r="3" spans="1:12">
      <c r="A3" s="11" t="str">
        <f>Table333456789101217[[#This Row],[Carrier]]</f>
        <v>Blaze</v>
      </c>
      <c r="B3" s="5" t="str">
        <f>Table333456789101217[[#This Row],[IP]]</f>
        <v>8.12.34.56/48.163.17.845/60.502.86.203/191.45.28.14</v>
      </c>
      <c r="C3" s="6" t="str">
        <f>Table333456789101217[[#This Row],[Carrier Code]]</f>
        <v>BZ</v>
      </c>
      <c r="D3" s="53">
        <v>0</v>
      </c>
      <c r="E3" s="53">
        <v>0</v>
      </c>
      <c r="F3" s="18">
        <f>Table33345678910121121222324252728293031[[#This Row],[Company Panel]]+Table333456789101211212223242527282930[[#This Row],[MTD Company]]</f>
        <v>0</v>
      </c>
      <c r="G3" s="18">
        <f>Table33345678910121121222324252728293031[[#This Row],[Our panel]]+Table333456789101211212223242527282930[[#This Row],[MTD Panel]]</f>
        <v>0</v>
      </c>
      <c r="H3" s="13">
        <f>Table33345678910121121222324252728293031[[#This Row],[Company Panel]]-Table33345678910121121222324252728293031[[#This Row],[Our panel]]</f>
        <v>0</v>
      </c>
      <c r="I3" s="13">
        <f>Table33345678910121121222324252728293031[[#This Row],[MTD Company]]-Table33345678910121121222324252728293031[[#This Row],[MTD Panel]]</f>
        <v>0</v>
      </c>
    </row>
    <row r="4" spans="1:12">
      <c r="A4" s="11" t="str">
        <f>Table333456789101217[[#This Row],[Carrier]]</f>
        <v>Titan</v>
      </c>
      <c r="B4" s="5" t="str">
        <f>Table333456789101217[[#This Row],[IP]]</f>
        <v>123.45.67.89/123.45.67.93/203.24.101.65</v>
      </c>
      <c r="C4" s="6" t="str">
        <f>Table333456789101217[[#This Row],[Carrier Code]]</f>
        <v>TI</v>
      </c>
      <c r="D4" s="53">
        <v>1.35</v>
      </c>
      <c r="E4" s="53">
        <v>1.35</v>
      </c>
      <c r="F4" s="18">
        <f>Table33345678910121121222324252728293031[[#This Row],[Company Panel]]+Table333456789101211212223242527282930[[#This Row],[MTD Company]]</f>
        <v>327.81666666666672</v>
      </c>
      <c r="G4" s="18">
        <f>Table33345678910121121222324252728293031[[#This Row],[Our panel]]+Table333456789101211212223242527282930[[#This Row],[MTD Panel]]</f>
        <v>327.81666666666672</v>
      </c>
      <c r="H4" s="13">
        <f>Table33345678910121121222324252728293031[[#This Row],[Company Panel]]-Table33345678910121121222324252728293031[[#This Row],[Our panel]]</f>
        <v>0</v>
      </c>
      <c r="I4" s="13">
        <f>Table33345678910121121222324252728293031[[#This Row],[MTD Company]]-Table33345678910121121222324252728293031[[#This Row],[MTD Panel]]</f>
        <v>0</v>
      </c>
      <c r="L4" s="9"/>
    </row>
    <row r="5" spans="1:12">
      <c r="A5" s="11" t="str">
        <f>Table333456789101217[[#This Row],[Carrier]]</f>
        <v>Hollow</v>
      </c>
      <c r="B5" s="5" t="str">
        <f>Table333456789101217[[#This Row],[IP]]</f>
        <v>204.56.78.100/204.56.57.169/52.94.101.12</v>
      </c>
      <c r="C5" s="6" t="str">
        <f>Table333456789101217[[#This Row],[Carrier Code]]</f>
        <v>HO</v>
      </c>
      <c r="D5" s="53">
        <v>0</v>
      </c>
      <c r="E5" s="53">
        <v>0</v>
      </c>
      <c r="F5" s="18">
        <f>Table33345678910121121222324252728293031[[#This Row],[Company Panel]]+Table333456789101211212223242527282930[[#This Row],[MTD Company]]</f>
        <v>0</v>
      </c>
      <c r="G5" s="18">
        <f>Table33345678910121121222324252728293031[[#This Row],[Our panel]]+Table333456789101211212223242527282930[[#This Row],[MTD Panel]]</f>
        <v>0</v>
      </c>
      <c r="H5" s="13">
        <f>Table33345678910121121222324252728293031[[#This Row],[Company Panel]]-Table33345678910121121222324252728293031[[#This Row],[Our panel]]</f>
        <v>0</v>
      </c>
      <c r="I5" s="13">
        <f>Table33345678910121121222324252728293031[[#This Row],[MTD Company]]-Table33345678910121121222324252728293031[[#This Row],[MTD Panel]]</f>
        <v>0</v>
      </c>
    </row>
    <row r="6" spans="1:12">
      <c r="A6" s="11" t="str">
        <f>Table333456789101217[[#This Row],[Carrier]]</f>
        <v>Prism</v>
      </c>
      <c r="B6" s="5" t="str">
        <f>Table333456789101217[[#This Row],[IP]]</f>
        <v>35.118.22.45/137.63.112.25</v>
      </c>
      <c r="C6" s="6" t="str">
        <f>Table333456789101217[[#This Row],[Carrier Code]]</f>
        <v>PS</v>
      </c>
      <c r="D6" s="53">
        <v>887.56666666666672</v>
      </c>
      <c r="E6" s="53">
        <v>887.56666666666672</v>
      </c>
      <c r="F6" s="18">
        <f>Table33345678910121121222324252728293031[[#This Row],[Company Panel]]+Table333456789101211212223242527282930[[#This Row],[MTD Company]]</f>
        <v>72173.283333333296</v>
      </c>
      <c r="G6" s="18">
        <f>Table33345678910121121222324252728293031[[#This Row],[Our panel]]+Table333456789101211212223242527282930[[#This Row],[MTD Panel]]</f>
        <v>72173.283333333296</v>
      </c>
      <c r="H6" s="13">
        <f>Table33345678910121121222324252728293031[[#This Row],[Company Panel]]-Table33345678910121121222324252728293031[[#This Row],[Our panel]]</f>
        <v>0</v>
      </c>
      <c r="I6" s="13">
        <f>Table33345678910121121222324252728293031[[#This Row],[MTD Company]]-Table33345678910121121222324252728293031[[#This Row],[MTD Panel]]</f>
        <v>0</v>
      </c>
    </row>
    <row r="7" spans="1:12">
      <c r="A7" s="11" t="str">
        <f>Table333456789101217[[#This Row],[Carrier]]</f>
        <v>Echo</v>
      </c>
      <c r="B7" s="5" t="str">
        <f>Table333456789101217[[#This Row],[IP]]</f>
        <v>66.89.101.10/66.89.101.19/66.89.101.23/66.89.101.45/66.89.101.81/85.21.34.99</v>
      </c>
      <c r="C7" s="6" t="str">
        <f>Table333456789101217[[#This Row],[Carrier Code]]</f>
        <v>EC</v>
      </c>
      <c r="D7" s="53">
        <v>2.9833333333333334</v>
      </c>
      <c r="E7" s="53">
        <v>2.9833333333333334</v>
      </c>
      <c r="F7" s="18">
        <f>Table33345678910121121222324252728293031[[#This Row],[Company Panel]]+Table333456789101211212223242527282930[[#This Row],[MTD Company]]</f>
        <v>89.066666666666663</v>
      </c>
      <c r="G7" s="18">
        <f>Table33345678910121121222324252728293031[[#This Row],[Our panel]]+Table333456789101211212223242527282930[[#This Row],[MTD Panel]]</f>
        <v>89.066666666666663</v>
      </c>
      <c r="H7" s="13">
        <f>Table33345678910121121222324252728293031[[#This Row],[Company Panel]]-Table33345678910121121222324252728293031[[#This Row],[Our panel]]</f>
        <v>0</v>
      </c>
      <c r="I7" s="13">
        <f>Table33345678910121121222324252728293031[[#This Row],[MTD Company]]-Table33345678910121121222324252728293031[[#This Row],[MTD Panel]]</f>
        <v>0</v>
      </c>
    </row>
    <row r="8" spans="1:12">
      <c r="A8" s="11" t="str">
        <f>Table333456789101217[[#This Row],[Carrier]]</f>
        <v>Strike</v>
      </c>
      <c r="B8" s="5" t="str">
        <f>Table333456789101217[[#This Row],[IP]]</f>
        <v>100.200.150.3/100.200.165.38/41.102.90.78</v>
      </c>
      <c r="C8" s="6" t="str">
        <f>Table333456789101217[[#This Row],[Carrier Code]]</f>
        <v>ST</v>
      </c>
      <c r="D8" s="53">
        <v>153.16666666666666</v>
      </c>
      <c r="E8" s="53">
        <v>153.16666666666666</v>
      </c>
      <c r="F8" s="18">
        <f>Table33345678910121121222324252728293031[[#This Row],[Company Panel]]+Table333456789101211212223242527282930[[#This Row],[MTD Company]]</f>
        <v>2604.6166666666663</v>
      </c>
      <c r="G8" s="18">
        <f>Table33345678910121121222324252728293031[[#This Row],[Our panel]]+Table333456789101211212223242527282930[[#This Row],[MTD Panel]]</f>
        <v>2604.6166666666663</v>
      </c>
      <c r="H8" s="13">
        <f>Table33345678910121121222324252728293031[[#This Row],[Company Panel]]-Table33345678910121121222324252728293031[[#This Row],[Our panel]]</f>
        <v>0</v>
      </c>
      <c r="I8" s="13">
        <f>Table33345678910121121222324252728293031[[#This Row],[MTD Company]]-Table33345678910121121222324252728293031[[#This Row],[MTD Panel]]</f>
        <v>0</v>
      </c>
      <c r="L8" s="9"/>
    </row>
    <row r="9" spans="1:12">
      <c r="A9" s="11" t="str">
        <f>Table333456789101217[[#This Row],[Carrier]]</f>
        <v>Blunt</v>
      </c>
      <c r="B9" s="5" t="str">
        <f>Table333456789101217[[#This Row],[IP]]</f>
        <v>52.28.191.25/52.28.191.38/52.28.191.24/61.110.23.45</v>
      </c>
      <c r="C9" s="6" t="str">
        <f>Table333456789101217[[#This Row],[Carrier Code]]</f>
        <v>BL</v>
      </c>
      <c r="D9" s="53">
        <v>110.35</v>
      </c>
      <c r="E9" s="53">
        <v>110.35</v>
      </c>
      <c r="F9" s="18">
        <f>Table33345678910121121222324252728293031[[#This Row],[Company Panel]]+Table333456789101211212223242527282930[[#This Row],[MTD Company]]</f>
        <v>10629.733333333335</v>
      </c>
      <c r="G9" s="18">
        <f>Table33345678910121121222324252728293031[[#This Row],[Our panel]]+Table333456789101211212223242527282930[[#This Row],[MTD Panel]]</f>
        <v>10629.733333333335</v>
      </c>
      <c r="H9" s="13">
        <f>Table33345678910121121222324252728293031[[#This Row],[Company Panel]]-Table33345678910121121222324252728293031[[#This Row],[Our panel]]</f>
        <v>0</v>
      </c>
      <c r="I9" s="13">
        <f>Table33345678910121121222324252728293031[[#This Row],[MTD Company]]-Table33345678910121121222324252728293031[[#This Row],[MTD Panel]]</f>
        <v>0</v>
      </c>
    </row>
    <row r="10" spans="1:12">
      <c r="A10" s="11" t="str">
        <f>Table333456789101217[[#This Row],[Carrier]]</f>
        <v>Law</v>
      </c>
      <c r="B10" s="5" t="str">
        <f>Table333456789101217[[#This Row],[IP]]</f>
        <v>77.88.99.21/77.88.99.88/77.88.99.94/110.56.211.7</v>
      </c>
      <c r="C10" s="6" t="str">
        <f>Table333456789101217[[#This Row],[Carrier Code]]</f>
        <v>LA</v>
      </c>
      <c r="D10" s="53">
        <v>0</v>
      </c>
      <c r="E10" s="53">
        <v>0</v>
      </c>
      <c r="F10" s="18">
        <f>Table33345678910121121222324252728293031[[#This Row],[Company Panel]]+Table333456789101211212223242527282930[[#This Row],[MTD Company]]</f>
        <v>0</v>
      </c>
      <c r="G10" s="18">
        <f>Table33345678910121121222324252728293031[[#This Row],[Our panel]]+Table333456789101211212223242527282930[[#This Row],[MTD Panel]]</f>
        <v>0</v>
      </c>
      <c r="H10" s="13">
        <f>Table33345678910121121222324252728293031[[#This Row],[Company Panel]]-Table33345678910121121222324252728293031[[#This Row],[Our panel]]</f>
        <v>0</v>
      </c>
      <c r="I10" s="13">
        <f>Table33345678910121121222324252728293031[[#This Row],[MTD Company]]-Table33345678910121121222324252728293031[[#This Row],[MTD Panel]]</f>
        <v>0</v>
      </c>
    </row>
    <row r="11" spans="1:12">
      <c r="A11" s="11" t="str">
        <f>Table333456789101217[[#This Row],[Carrier]]</f>
        <v>Pulse</v>
      </c>
      <c r="B11" s="5" t="str">
        <f>Table333456789101217[[#This Row],[IP]]</f>
        <v>198.51.100.130/31.725.16.608/66.59.61.503/167.34.122.90</v>
      </c>
      <c r="C11" s="6" t="str">
        <f>Table333456789101217[[#This Row],[Carrier Code]]</f>
        <v>PU</v>
      </c>
      <c r="D11" s="53">
        <v>0</v>
      </c>
      <c r="E11" s="53">
        <v>0</v>
      </c>
      <c r="F11" s="18">
        <f>Table33345678910121121222324252728293031[[#This Row],[Company Panel]]+Table333456789101211212223242527282930[[#This Row],[MTD Company]]</f>
        <v>0</v>
      </c>
      <c r="G11" s="18">
        <f>Table33345678910121121222324252728293031[[#This Row],[Our panel]]+Table333456789101211212223242527282930[[#This Row],[MTD Panel]]</f>
        <v>0</v>
      </c>
      <c r="H11" s="13">
        <f>Table33345678910121121222324252728293031[[#This Row],[Company Panel]]-Table33345678910121121222324252728293031[[#This Row],[Our panel]]</f>
        <v>0</v>
      </c>
      <c r="I11" s="13">
        <f>Table33345678910121121222324252728293031[[#This Row],[MTD Company]]-Table33345678910121121222324252728293031[[#This Row],[MTD Panel]]</f>
        <v>0</v>
      </c>
    </row>
    <row r="12" spans="1:12">
      <c r="A12" s="11" t="str">
        <f>Table333456789101217[[#This Row],[Carrier]]</f>
        <v>Phantom</v>
      </c>
      <c r="B12" s="5" t="str">
        <f>Table333456789101217[[#This Row],[IP]]</f>
        <v>141.15.210.67/141.15.42.82/179.62.211.4</v>
      </c>
      <c r="C12" s="6" t="str">
        <f>Table333456789101217[[#This Row],[Carrier Code]]</f>
        <v>PH</v>
      </c>
      <c r="D12" s="53">
        <v>1.7333333333333334</v>
      </c>
      <c r="E12" s="53">
        <v>1.7333333333333334</v>
      </c>
      <c r="F12" s="18">
        <f>Table33345678910121121222324252728293031[[#This Row],[Company Panel]]+Table333456789101211212223242527282930[[#This Row],[MTD Company]]</f>
        <v>3369.9666666666658</v>
      </c>
      <c r="G12" s="18">
        <f>Table33345678910121121222324252728293031[[#This Row],[Our panel]]+Table333456789101211212223242527282930[[#This Row],[MTD Panel]]</f>
        <v>3369.9666666666658</v>
      </c>
      <c r="H12" s="13">
        <f>Table33345678910121121222324252728293031[[#This Row],[Company Panel]]-Table33345678910121121222324252728293031[[#This Row],[Our panel]]</f>
        <v>0</v>
      </c>
      <c r="I12" s="13">
        <f>Table33345678910121121222324252728293031[[#This Row],[MTD Company]]-Table33345678910121121222324252728293031[[#This Row],[MTD Panel]]</f>
        <v>0</v>
      </c>
    </row>
    <row r="13" spans="1:12">
      <c r="A13" s="11" t="str">
        <f>Table333456789101217[[#This Row],[Carrier]]</f>
        <v>Dragon</v>
      </c>
      <c r="B13" s="5" t="str">
        <f>Table333456789101217[[#This Row],[IP]]</f>
        <v>12.34.56.78/12.34.56.128/200.180.245.18</v>
      </c>
      <c r="C13" s="6" t="str">
        <f>Table333456789101217[[#This Row],[Carrier Code]]</f>
        <v>DG</v>
      </c>
      <c r="D13" s="53">
        <v>0</v>
      </c>
      <c r="E13" s="53">
        <v>0</v>
      </c>
      <c r="F13" s="18">
        <f>Table33345678910121121222324252728293031[[#This Row],[Company Panel]]+Table333456789101211212223242527282930[[#This Row],[MTD Company]]</f>
        <v>0</v>
      </c>
      <c r="G13" s="18">
        <f>Table33345678910121121222324252728293031[[#This Row],[Our panel]]+Table333456789101211212223242527282930[[#This Row],[MTD Panel]]</f>
        <v>0</v>
      </c>
      <c r="H13" s="13">
        <f>Table33345678910121121222324252728293031[[#This Row],[Company Panel]]-Table33345678910121121222324252728293031[[#This Row],[Our panel]]</f>
        <v>0</v>
      </c>
      <c r="I13" s="13">
        <f>Table33345678910121121222324252728293031[[#This Row],[MTD Company]]-Table33345678910121121222324252728293031[[#This Row],[MTD Panel]]</f>
        <v>0</v>
      </c>
    </row>
    <row r="14" spans="1:12">
      <c r="A14" s="11" t="str">
        <f>Table333456789101217[[#This Row],[Carrier]]</f>
        <v>Tempest</v>
      </c>
      <c r="B14" s="5" t="str">
        <f>Table333456789101217[[#This Row],[IP]]</f>
        <v>59.144.223.88/55.39.99.60</v>
      </c>
      <c r="C14" s="6" t="str">
        <f>Table333456789101217[[#This Row],[Carrier Code]]</f>
        <v>TE</v>
      </c>
      <c r="D14" s="53">
        <v>0</v>
      </c>
      <c r="E14" s="53">
        <v>0</v>
      </c>
      <c r="F14" s="18">
        <f>Table33345678910121121222324252728293031[[#This Row],[Company Panel]]+Table333456789101211212223242527282930[[#This Row],[MTD Company]]</f>
        <v>0</v>
      </c>
      <c r="G14" s="18">
        <f>Table33345678910121121222324252728293031[[#This Row],[Our panel]]+Table333456789101211212223242527282930[[#This Row],[MTD Panel]]</f>
        <v>0</v>
      </c>
      <c r="H14" s="13">
        <f>Table33345678910121121222324252728293031[[#This Row],[Company Panel]]-Table33345678910121121222324252728293031[[#This Row],[Our panel]]</f>
        <v>0</v>
      </c>
      <c r="I14" s="13">
        <f>Table33345678910121121222324252728293031[[#This Row],[MTD Company]]-Table33345678910121121222324252728293031[[#This Row],[MTD Panel]]</f>
        <v>0</v>
      </c>
    </row>
    <row r="15" spans="1:12">
      <c r="A15" s="11" t="str">
        <f>Table333456789101217[[#This Row],[Carrier]]</f>
        <v>Shadow</v>
      </c>
      <c r="B15" s="5" t="str">
        <f>Table333456789101217[[#This Row],[IP]]</f>
        <v>175.45.112.100/25.851.31.153/39.80.220.100</v>
      </c>
      <c r="C15" s="6" t="str">
        <f>Table333456789101217[[#This Row],[Carrier Code]]</f>
        <v>SH</v>
      </c>
      <c r="D15" s="53">
        <v>0</v>
      </c>
      <c r="E15" s="53">
        <v>0</v>
      </c>
      <c r="F15" s="18">
        <f>Table33345678910121121222324252728293031[[#This Row],[Company Panel]]+Table333456789101211212223242527282930[[#This Row],[MTD Company]]</f>
        <v>0.1</v>
      </c>
      <c r="G15" s="18">
        <f>Table33345678910121121222324252728293031[[#This Row],[Our panel]]+Table333456789101211212223242527282930[[#This Row],[MTD Panel]]</f>
        <v>0.1</v>
      </c>
      <c r="H15" s="13">
        <f>Table33345678910121121222324252728293031[[#This Row],[Company Panel]]-Table33345678910121121222324252728293031[[#This Row],[Our panel]]</f>
        <v>0</v>
      </c>
      <c r="I15" s="13">
        <f>Table33345678910121121222324252728293031[[#This Row],[MTD Company]]-Table33345678910121121222324252728293031[[#This Row],[MTD Panel]]</f>
        <v>0</v>
      </c>
    </row>
    <row r="16" spans="1:12">
      <c r="A16" s="11" t="str">
        <f>Table333456789101217[[#This Row],[Carrier]]</f>
        <v>Cyclone</v>
      </c>
      <c r="B16" s="5" t="str">
        <f>Table333456789101217[[#This Row],[IP]]</f>
        <v>150.13.75.190/16.160.89.512/72.11.97.34</v>
      </c>
      <c r="C16" s="6" t="str">
        <f>Table333456789101217[[#This Row],[Carrier Code]]</f>
        <v>CY</v>
      </c>
      <c r="D16" s="53">
        <v>0</v>
      </c>
      <c r="E16" s="53">
        <v>0</v>
      </c>
      <c r="F16" s="18">
        <f>Table33345678910121121222324252728293031[[#This Row],[Company Panel]]+Table333456789101211212223242527282930[[#This Row],[MTD Company]]</f>
        <v>0</v>
      </c>
      <c r="G16" s="18">
        <f>Table33345678910121121222324252728293031[[#This Row],[Our panel]]+Table333456789101211212223242527282930[[#This Row],[MTD Panel]]</f>
        <v>0</v>
      </c>
      <c r="H16" s="13">
        <f>Table33345678910121121222324252728293031[[#This Row],[Company Panel]]-Table33345678910121121222324252728293031[[#This Row],[Our panel]]</f>
        <v>0</v>
      </c>
      <c r="I16" s="13">
        <f>Table33345678910121121222324252728293031[[#This Row],[MTD Company]]-Table33345678910121121222324252728293031[[#This Row],[MTD Panel]]</f>
        <v>0</v>
      </c>
    </row>
    <row r="17" spans="1:9">
      <c r="A17" s="11" t="str">
        <f>Table333456789101217[[#This Row],[Carrier]]</f>
        <v>Reaver</v>
      </c>
      <c r="B17" s="5" t="str">
        <f>Table333456789101217[[#This Row],[IP]]</f>
        <v>203.0.113.44/188.17.56.210</v>
      </c>
      <c r="C17" s="6" t="str">
        <f>Table333456789101217[[#This Row],[Carrier Code]]</f>
        <v>RE</v>
      </c>
      <c r="D17" s="53">
        <v>0</v>
      </c>
      <c r="E17" s="53">
        <v>0</v>
      </c>
      <c r="F17" s="18">
        <f>Table33345678910121121222324252728293031[[#This Row],[Company Panel]]+Table333456789101211212223242527282930[[#This Row],[MTD Company]]</f>
        <v>0</v>
      </c>
      <c r="G17" s="18">
        <f>Table33345678910121121222324252728293031[[#This Row],[Our panel]]+Table333456789101211212223242527282930[[#This Row],[MTD Panel]]</f>
        <v>0</v>
      </c>
      <c r="H17" s="13">
        <f>Table33345678910121121222324252728293031[[#This Row],[Company Panel]]-Table33345678910121121222324252728293031[[#This Row],[Our panel]]</f>
        <v>0</v>
      </c>
      <c r="I17" s="13">
        <f>Table33345678910121121222324252728293031[[#This Row],[MTD Company]]-Table33345678910121121222324252728293031[[#This Row],[MTD Panel]]</f>
        <v>0</v>
      </c>
    </row>
    <row r="18" spans="1:9">
      <c r="A18" s="11" t="str">
        <f>Table333456789101217[[#This Row],[Carrier]]</f>
        <v>Forge</v>
      </c>
      <c r="B18" s="5" t="str">
        <f>Table333456789101217[[#This Row],[IP]]</f>
        <v>112.54.89.168/112.54.89.138</v>
      </c>
      <c r="C18" s="6" t="str">
        <f>Table333456789101217[[#This Row],[Carrier Code]]</f>
        <v>FO</v>
      </c>
      <c r="D18" s="53">
        <v>30.966666666666665</v>
      </c>
      <c r="E18" s="53">
        <v>30.966666666666665</v>
      </c>
      <c r="F18" s="18">
        <f>Table33345678910121121222324252728293031[[#This Row],[Company Panel]]+Table333456789101211212223242527282930[[#This Row],[MTD Company]]</f>
        <v>618.18333333333339</v>
      </c>
      <c r="G18" s="18">
        <f>Table33345678910121121222324252728293031[[#This Row],[Our panel]]+Table333456789101211212223242527282930[[#This Row],[MTD Panel]]</f>
        <v>618.18333333333339</v>
      </c>
      <c r="H18" s="13">
        <f>Table33345678910121121222324252728293031[[#This Row],[Company Panel]]-Table33345678910121121222324252728293031[[#This Row],[Our panel]]</f>
        <v>0</v>
      </c>
      <c r="I18" s="13">
        <f>Table33345678910121121222324252728293031[[#This Row],[MTD Company]]-Table33345678910121121222324252728293031[[#This Row],[MTD Panel]]</f>
        <v>0</v>
      </c>
    </row>
    <row r="19" spans="1:9">
      <c r="A19" s="11" t="str">
        <f>Table333456789101217[[#This Row],[Carrier]]</f>
        <v>Ember</v>
      </c>
      <c r="B19" s="5" t="str">
        <f>Table333456789101217[[#This Row],[IP]]</f>
        <v>78.34.90.24/328.56.122.44/142.150.75.22</v>
      </c>
      <c r="C19" s="6" t="str">
        <f>Table333456789101217[[#This Row],[Carrier Code]]</f>
        <v>EM</v>
      </c>
      <c r="D19" s="53">
        <v>1.1499999999999999</v>
      </c>
      <c r="E19" s="53">
        <v>1.1499999999999999</v>
      </c>
      <c r="F19" s="18">
        <f>Table33345678910121121222324252728293031[[#This Row],[Company Panel]]+Table333456789101211212223242527282930[[#This Row],[MTD Company]]</f>
        <v>1.1499999999999999</v>
      </c>
      <c r="G19" s="18">
        <f>Table33345678910121121222324252728293031[[#This Row],[Our panel]]+Table333456789101211212223242527282930[[#This Row],[MTD Panel]]</f>
        <v>1.1499999999999999</v>
      </c>
      <c r="H19" s="13">
        <f>Table33345678910121121222324252728293031[[#This Row],[Company Panel]]-Table33345678910121121222324252728293031[[#This Row],[Our panel]]</f>
        <v>0</v>
      </c>
      <c r="I19" s="13">
        <f>Table33345678910121121222324252728293031[[#This Row],[MTD Company]]-Table33345678910121121222324252728293031[[#This Row],[MTD Panel]]</f>
        <v>0</v>
      </c>
    </row>
    <row r="20" spans="1:9">
      <c r="A20" s="11" t="str">
        <f>Table333456789101217[[#This Row],[Carrier]]</f>
        <v>Specter</v>
      </c>
      <c r="B20" s="5" t="str">
        <f>Table333456789101217[[#This Row],[IP]]</f>
        <v>205.60.34.150</v>
      </c>
      <c r="C20" s="6" t="str">
        <f>Table333456789101217[[#This Row],[Carrier Code]]</f>
        <v>SP</v>
      </c>
      <c r="D20" s="53">
        <v>0</v>
      </c>
      <c r="E20" s="53">
        <v>0</v>
      </c>
      <c r="F20" s="18">
        <f>Table33345678910121121222324252728293031[[#This Row],[Company Panel]]+Table333456789101211212223242527282930[[#This Row],[MTD Company]]</f>
        <v>11.950000000000003</v>
      </c>
      <c r="G20" s="18">
        <f>Table33345678910121121222324252728293031[[#This Row],[Our panel]]+Table333456789101211212223242527282930[[#This Row],[MTD Panel]]</f>
        <v>11.950000000000003</v>
      </c>
      <c r="H20" s="13">
        <f>Table33345678910121121222324252728293031[[#This Row],[Company Panel]]-Table33345678910121121222324252728293031[[#This Row],[Our panel]]</f>
        <v>0</v>
      </c>
      <c r="I20" s="13">
        <f>Table33345678910121121222324252728293031[[#This Row],[MTD Company]]-Table33345678910121121222324252728293031[[#This Row],[MTD Panel]]</f>
        <v>0</v>
      </c>
    </row>
    <row r="21" spans="1:9">
      <c r="A21" s="11" t="str">
        <f>Table333456789101217[[#This Row],[Carrier]]</f>
        <v>Throne</v>
      </c>
      <c r="B21" s="5" t="str">
        <f>Table333456789101217[[#This Row],[IP]]</f>
        <v>54.32.11.90/27.758.27.201/125.150.58.20</v>
      </c>
      <c r="C21" s="6" t="str">
        <f>Table333456789101217[[#This Row],[Carrier Code]]</f>
        <v>TH</v>
      </c>
      <c r="D21" s="53">
        <v>0</v>
      </c>
      <c r="E21" s="53">
        <v>0</v>
      </c>
      <c r="F21" s="18">
        <f>Table33345678910121121222324252728293031[[#This Row],[Company Panel]]+Table333456789101211212223242527282930[[#This Row],[MTD Company]]</f>
        <v>0</v>
      </c>
      <c r="G21" s="18">
        <f>Table33345678910121121222324252728293031[[#This Row],[Our panel]]+Table333456789101211212223242527282930[[#This Row],[MTD Panel]]</f>
        <v>0</v>
      </c>
      <c r="H21" s="13">
        <f>Table33345678910121121222324252728293031[[#This Row],[Company Panel]]-Table33345678910121121222324252728293031[[#This Row],[Our panel]]</f>
        <v>0</v>
      </c>
      <c r="I21" s="13">
        <f>Table33345678910121121222324252728293031[[#This Row],[MTD Company]]-Table33345678910121121222324252728293031[[#This Row],[MTD Panel]]</f>
        <v>0</v>
      </c>
    </row>
    <row r="22" spans="1:9">
      <c r="A22" s="11" t="str">
        <f>Table333456789101217[[#This Row],[Carrier]]</f>
        <v>Arcane</v>
      </c>
      <c r="B22" s="5" t="str">
        <f>Table333456789101217[[#This Row],[IP]]</f>
        <v>212.100.25.78/212.100.25.87</v>
      </c>
      <c r="C22" s="6" t="str">
        <f>Table333456789101217[[#This Row],[Carrier Code]]</f>
        <v>AR</v>
      </c>
      <c r="D22" s="53">
        <v>0</v>
      </c>
      <c r="E22" s="53">
        <v>0</v>
      </c>
      <c r="F22" s="18">
        <f>Table33345678910121121222324252728293031[[#This Row],[Company Panel]]+Table333456789101211212223242527282930[[#This Row],[MTD Company]]</f>
        <v>80.75</v>
      </c>
      <c r="G22" s="18">
        <f>Table33345678910121121222324252728293031[[#This Row],[Our panel]]+Table333456789101211212223242527282930[[#This Row],[MTD Panel]]</f>
        <v>80.75</v>
      </c>
      <c r="H22" s="13">
        <f>Table33345678910121121222324252728293031[[#This Row],[Company Panel]]-Table33345678910121121222324252728293031[[#This Row],[Our panel]]</f>
        <v>0</v>
      </c>
      <c r="I22" s="13">
        <f>Table33345678910121121222324252728293031[[#This Row],[MTD Company]]-Table33345678910121121222324252728293031[[#This Row],[MTD Panel]]</f>
        <v>0</v>
      </c>
    </row>
    <row r="23" spans="1:9">
      <c r="A23" s="11" t="str">
        <f>Table333456789101217[[#This Row],[Carrier]]</f>
        <v>Glitch</v>
      </c>
      <c r="B23" s="5" t="str">
        <f>Table333456789101217[[#This Row],[IP]]</f>
        <v>198.204.100.12/198.204.100.34/198.204.100.51</v>
      </c>
      <c r="C23" s="6" t="str">
        <f>Table333456789101217[[#This Row],[Carrier Code]]</f>
        <v>GL</v>
      </c>
      <c r="D23" s="53">
        <v>0</v>
      </c>
      <c r="E23" s="53">
        <v>0</v>
      </c>
      <c r="F23" s="18">
        <f>Table33345678910121121222324252728293031[[#This Row],[Company Panel]]+Table333456789101211212223242527282930[[#This Row],[MTD Company]]</f>
        <v>0</v>
      </c>
      <c r="G23" s="18">
        <f>Table33345678910121121222324252728293031[[#This Row],[Our panel]]+Table333456789101211212223242527282930[[#This Row],[MTD Panel]]</f>
        <v>0</v>
      </c>
      <c r="H23" s="13">
        <f>Table33345678910121121222324252728293031[[#This Row],[Company Panel]]-Table33345678910121121222324252728293031[[#This Row],[Our panel]]</f>
        <v>0</v>
      </c>
      <c r="I23" s="13">
        <f>Table33345678910121121222324252728293031[[#This Row],[MTD Company]]-Table33345678910121121222324252728293031[[#This Row],[MTD Panel]]</f>
        <v>0</v>
      </c>
    </row>
    <row r="24" spans="1:9">
      <c r="A24" s="11" t="str">
        <f>Table333456789101217[[#This Row],[Carrier]]</f>
        <v>Nitro</v>
      </c>
      <c r="B24" s="5" t="str">
        <f>Table333456789101217[[#This Row],[IP]]</f>
        <v>15.150.200.33/119.82.200.100</v>
      </c>
      <c r="C24" s="6" t="str">
        <f>Table333456789101217[[#This Row],[Carrier Code]]</f>
        <v>NI</v>
      </c>
      <c r="D24" s="53">
        <v>0</v>
      </c>
      <c r="E24" s="53">
        <v>0</v>
      </c>
      <c r="F24" s="18">
        <f>Table33345678910121121222324252728293031[[#This Row],[Company Panel]]+Table333456789101211212223242527282930[[#This Row],[MTD Company]]</f>
        <v>0</v>
      </c>
      <c r="G24" s="18">
        <f>Table33345678910121121222324252728293031[[#This Row],[Our panel]]+Table333456789101211212223242527282930[[#This Row],[MTD Panel]]</f>
        <v>0</v>
      </c>
      <c r="H24" s="13">
        <f>Table33345678910121121222324252728293031[[#This Row],[Company Panel]]-Table33345678910121121222324252728293031[[#This Row],[Our panel]]</f>
        <v>0</v>
      </c>
      <c r="I24" s="13">
        <f>Table33345678910121121222324252728293031[[#This Row],[MTD Company]]-Table33345678910121121222324252728293031[[#This Row],[MTD Panel]]</f>
        <v>0</v>
      </c>
    </row>
    <row r="25" spans="1:9">
      <c r="A25" s="11" t="str">
        <f>Table333456789101217[[#This Row],[Carrier]]</f>
        <v>Drip</v>
      </c>
      <c r="B25" s="5" t="str">
        <f>Table333456789101217[[#This Row],[IP]]</f>
        <v>84.13.76.190/90.945.80.11/198.160.234.5</v>
      </c>
      <c r="C25" s="6" t="str">
        <f>Table333456789101217[[#This Row],[Carrier Code]]</f>
        <v>DR</v>
      </c>
      <c r="D25" s="53">
        <v>0</v>
      </c>
      <c r="E25" s="53">
        <v>0</v>
      </c>
      <c r="F25" s="18">
        <f>Table33345678910121121222324252728293031[[#This Row],[Company Panel]]+Table333456789101211212223242527282930[[#This Row],[MTD Company]]</f>
        <v>0</v>
      </c>
      <c r="G25" s="18">
        <f>Table33345678910121121222324252728293031[[#This Row],[Our panel]]+Table333456789101211212223242527282930[[#This Row],[MTD Panel]]</f>
        <v>0</v>
      </c>
      <c r="H25" s="13">
        <f>Table33345678910121121222324252728293031[[#This Row],[Company Panel]]-Table33345678910121121222324252728293031[[#This Row],[Our panel]]</f>
        <v>0</v>
      </c>
      <c r="I25" s="13">
        <f>Table33345678910121121222324252728293031[[#This Row],[MTD Company]]-Table33345678910121121222324252728293031[[#This Row],[MTD Panel]]</f>
        <v>0</v>
      </c>
    </row>
    <row r="26" spans="1:9">
      <c r="A26" s="11" t="str">
        <f>Table333456789101217[[#This Row],[Carrier]]</f>
        <v>Glide</v>
      </c>
      <c r="B26" s="5" t="str">
        <f>Table333456789101217[[#This Row],[IP]]</f>
        <v>120.45.12.25/85.739.221.80/85.739.221.93</v>
      </c>
      <c r="C26" s="6" t="str">
        <f>Table333456789101217[[#This Row],[Carrier Code]]</f>
        <v>GI</v>
      </c>
      <c r="D26" s="53">
        <v>0</v>
      </c>
      <c r="E26" s="53">
        <v>0</v>
      </c>
      <c r="F26" s="18">
        <f>Table33345678910121121222324252728293031[[#This Row],[Company Panel]]+Table333456789101211212223242527282930[[#This Row],[MTD Company]]</f>
        <v>0</v>
      </c>
      <c r="G26" s="18">
        <f>Table33345678910121121222324252728293031[[#This Row],[Our panel]]+Table333456789101211212223242527282930[[#This Row],[MTD Panel]]</f>
        <v>0</v>
      </c>
      <c r="H26" s="13">
        <f>Table33345678910121121222324252728293031[[#This Row],[Company Panel]]-Table33345678910121121222324252728293031[[#This Row],[Our panel]]</f>
        <v>0</v>
      </c>
      <c r="I26" s="13">
        <f>Table33345678910121121222324252728293031[[#This Row],[MTD Company]]-Table33345678910121121222324252728293031[[#This Row],[MTD Panel]]</f>
        <v>0</v>
      </c>
    </row>
    <row r="27" spans="1:9">
      <c r="A27" s="11" t="str">
        <f>Table333456789101217[[#This Row],[Carrier]]</f>
        <v>Orbit</v>
      </c>
      <c r="B27" s="5" t="str">
        <f>Table333456789101217[[#This Row],[IP]]</f>
        <v>176.98.54.112/60.110.154.91/60.110.155.162</v>
      </c>
      <c r="C27" s="6" t="str">
        <f>Table333456789101217[[#This Row],[Carrier Code]]</f>
        <v>OR</v>
      </c>
      <c r="D27" s="53">
        <v>0</v>
      </c>
      <c r="E27" s="53">
        <v>0</v>
      </c>
      <c r="F27" s="18">
        <f>Table33345678910121121222324252728293031[[#This Row],[Company Panel]]+Table333456789101211212223242527282930[[#This Row],[MTD Company]]</f>
        <v>0</v>
      </c>
      <c r="G27" s="18">
        <f>Table33345678910121121222324252728293031[[#This Row],[Our panel]]+Table333456789101211212223242527282930[[#This Row],[MTD Panel]]</f>
        <v>0</v>
      </c>
      <c r="H27" s="13">
        <f>Table33345678910121121222324252728293031[[#This Row],[Company Panel]]-Table33345678910121121222324252728293031[[#This Row],[Our panel]]</f>
        <v>0</v>
      </c>
      <c r="I27" s="13">
        <f>Table33345678910121121222324252728293031[[#This Row],[MTD Company]]-Table33345678910121121222324252728293031[[#This Row],[MTD Panel]]</f>
        <v>0</v>
      </c>
    </row>
    <row r="28" spans="1:9">
      <c r="A28" s="11" t="str">
        <f>Table333456789101217[[#This Row],[Carrier]]</f>
        <v>Thunder</v>
      </c>
      <c r="B28" s="5" t="str">
        <f>Table333456789101217[[#This Row],[IP]]</f>
        <v>67.102.200.9/81.905.48.847/143.235.100.34</v>
      </c>
      <c r="C28" s="6" t="str">
        <f>Table333456789101217[[#This Row],[Carrier Code]]</f>
        <v>TU</v>
      </c>
      <c r="D28" s="53">
        <v>21.333333333333332</v>
      </c>
      <c r="E28" s="53">
        <v>21.333333333333332</v>
      </c>
      <c r="F28" s="18">
        <f>Table33345678910121121222324252728293031[[#This Row],[Company Panel]]+Table333456789101211212223242527282930[[#This Row],[MTD Company]]</f>
        <v>583.03333333333319</v>
      </c>
      <c r="G28" s="18">
        <f>Table33345678910121121222324252728293031[[#This Row],[Our panel]]+Table333456789101211212223242527282930[[#This Row],[MTD Panel]]</f>
        <v>583.03333333333319</v>
      </c>
      <c r="H28" s="13">
        <f>Table33345678910121121222324252728293031[[#This Row],[Company Panel]]-Table33345678910121121222324252728293031[[#This Row],[Our panel]]</f>
        <v>0</v>
      </c>
      <c r="I28" s="13">
        <f>Table33345678910121121222324252728293031[[#This Row],[MTD Company]]-Table33345678910121121222324252728293031[[#This Row],[MTD Panel]]</f>
        <v>0</v>
      </c>
    </row>
    <row r="29" spans="1:9">
      <c r="A29" s="11" t="str">
        <f>Table333456789101217[[#This Row],[Carrier]]</f>
        <v>Glimmer</v>
      </c>
      <c r="B29" s="5" t="str">
        <f>Table333456789101217[[#This Row],[IP]]</f>
        <v>99.22.211.100/71.54.85.344/71.54.85.218</v>
      </c>
      <c r="C29" s="6" t="str">
        <f>Table333456789101217[[#This Row],[Carrier Code]]</f>
        <v>GM</v>
      </c>
      <c r="D29" s="53">
        <v>0</v>
      </c>
      <c r="E29" s="53">
        <v>0</v>
      </c>
      <c r="F29" s="18">
        <f>Table33345678910121121222324252728293031[[#This Row],[Company Panel]]+Table333456789101211212223242527282930[[#This Row],[MTD Company]]</f>
        <v>0</v>
      </c>
      <c r="G29" s="18">
        <f>Table33345678910121121222324252728293031[[#This Row],[Our panel]]+Table333456789101211212223242527282930[[#This Row],[MTD Panel]]</f>
        <v>0</v>
      </c>
      <c r="H29" s="13">
        <f>Table33345678910121121222324252728293031[[#This Row],[Company Panel]]-Table33345678910121121222324252728293031[[#This Row],[Our panel]]</f>
        <v>0</v>
      </c>
      <c r="I29" s="13">
        <f>Table33345678910121121222324252728293031[[#This Row],[MTD Company]]-Table33345678910121121222324252728293031[[#This Row],[MTD Panel]]</f>
        <v>0</v>
      </c>
    </row>
    <row r="30" spans="1:9">
      <c r="A30" s="11" t="str">
        <f>Table333456789101217[[#This Row],[Carrier]]</f>
        <v>Fragment</v>
      </c>
      <c r="B30" s="5" t="str">
        <f>Table333456789101217[[#This Row],[IP]]</f>
        <v>203.0.113.56/195.56.101.10</v>
      </c>
      <c r="C30" s="6" t="str">
        <f>Table333456789101217[[#This Row],[Carrier Code]]</f>
        <v>FR</v>
      </c>
      <c r="D30" s="53">
        <v>0</v>
      </c>
      <c r="E30" s="53">
        <v>0</v>
      </c>
      <c r="F30" s="18">
        <f>Table33345678910121121222324252728293031[[#This Row],[Company Panel]]+Table333456789101211212223242527282930[[#This Row],[MTD Company]]</f>
        <v>0</v>
      </c>
      <c r="G30" s="18">
        <f>Table33345678910121121222324252728293031[[#This Row],[Our panel]]+Table333456789101211212223242527282930[[#This Row],[MTD Panel]]</f>
        <v>0</v>
      </c>
      <c r="H30" s="13">
        <f>Table33345678910121121222324252728293031[[#This Row],[Company Panel]]-Table33345678910121121222324252728293031[[#This Row],[Our panel]]</f>
        <v>0</v>
      </c>
      <c r="I30" s="13">
        <f>Table33345678910121121222324252728293031[[#This Row],[MTD Company]]-Table33345678910121121222324252728293031[[#This Row],[MTD Panel]]</f>
        <v>0</v>
      </c>
    </row>
    <row r="31" spans="1:9">
      <c r="A31" s="11" t="str">
        <f>Table333456789101217[[#This Row],[Carrier]]</f>
        <v>Dusk</v>
      </c>
      <c r="B31" s="5" t="str">
        <f>Table333456789101217[[#This Row],[IP]]</f>
        <v>33.44.55.66/33.44.55.84/33.44.55.122/214.68.90.122</v>
      </c>
      <c r="C31" s="6" t="str">
        <f>Table333456789101217[[#This Row],[Carrier Code]]</f>
        <v>DK</v>
      </c>
      <c r="D31" s="53">
        <v>0</v>
      </c>
      <c r="E31" s="53">
        <v>0</v>
      </c>
      <c r="F31" s="18">
        <f>Table33345678910121121222324252728293031[[#This Row],[Company Panel]]+Table333456789101211212223242527282930[[#This Row],[MTD Company]]</f>
        <v>0</v>
      </c>
      <c r="G31" s="18">
        <f>Table33345678910121121222324252728293031[[#This Row],[Our panel]]+Table333456789101211212223242527282930[[#This Row],[MTD Panel]]</f>
        <v>0</v>
      </c>
      <c r="H31" s="13">
        <f>Table33345678910121121222324252728293031[[#This Row],[Company Panel]]-Table33345678910121121222324252728293031[[#This Row],[Our panel]]</f>
        <v>0</v>
      </c>
      <c r="I31" s="13">
        <f>Table33345678910121121222324252728293031[[#This Row],[MTD Company]]-Table33345678910121121222324252728293031[[#This Row],[MTD Panel]]</f>
        <v>0</v>
      </c>
    </row>
    <row r="32" spans="1:9">
      <c r="A32" s="11" t="str">
        <f>Table333456789101217[[#This Row],[Carrier]]</f>
        <v>Breeze</v>
      </c>
      <c r="B32" s="5" t="str">
        <f>Table333456789101217[[#This Row],[IP]]</f>
        <v>199.123.87.45/199.123.34.52/77.189.22.56</v>
      </c>
      <c r="C32" s="6" t="str">
        <f>Table333456789101217[[#This Row],[Carrier Code]]</f>
        <v>BR</v>
      </c>
      <c r="D32" s="53">
        <v>0</v>
      </c>
      <c r="E32" s="53">
        <v>0</v>
      </c>
      <c r="F32" s="18">
        <f>Table33345678910121121222324252728293031[[#This Row],[Company Panel]]+Table333456789101211212223242527282930[[#This Row],[MTD Company]]</f>
        <v>0</v>
      </c>
      <c r="G32" s="18">
        <f>Table33345678910121121222324252728293031[[#This Row],[Our panel]]+Table333456789101211212223242527282930[[#This Row],[MTD Panel]]</f>
        <v>0</v>
      </c>
      <c r="H32" s="13">
        <f>Table33345678910121121222324252728293031[[#This Row],[Company Panel]]-Table33345678910121121222324252728293031[[#This Row],[Our panel]]</f>
        <v>0</v>
      </c>
      <c r="I32" s="13">
        <f>Table33345678910121121222324252728293031[[#This Row],[MTD Company]]-Table33345678910121121222324252728293031[[#This Row],[MTD Panel]]</f>
        <v>0</v>
      </c>
    </row>
    <row r="33" spans="1:9">
      <c r="A33" s="11" t="str">
        <f>Table333456789101217[[#This Row],[Carrier]]</f>
        <v>Clutch</v>
      </c>
      <c r="B33" s="5" t="str">
        <f>Table333456789101217[[#This Row],[IP]]</f>
        <v>55.66.77.88/84.126.79.28/152.233.45.11</v>
      </c>
      <c r="C33" s="6" t="str">
        <f>Table333456789101217[[#This Row],[Carrier Code]]</f>
        <v>CL</v>
      </c>
      <c r="D33" s="53">
        <v>0</v>
      </c>
      <c r="E33" s="53">
        <v>0</v>
      </c>
      <c r="F33" s="18">
        <f>Table33345678910121121222324252728293031[[#This Row],[Company Panel]]+Table333456789101211212223242527282930[[#This Row],[MTD Company]]</f>
        <v>0</v>
      </c>
      <c r="G33" s="18">
        <f>Table33345678910121121222324252728293031[[#This Row],[Our panel]]+Table333456789101211212223242527282930[[#This Row],[MTD Panel]]</f>
        <v>0</v>
      </c>
      <c r="H33" s="13">
        <f>Table33345678910121121222324252728293031[[#This Row],[Company Panel]]-Table33345678910121121222324252728293031[[#This Row],[Our panel]]</f>
        <v>0</v>
      </c>
      <c r="I33" s="13">
        <f>Table33345678910121121222324252728293031[[#This Row],[MTD Company]]-Table33345678910121121222324252728293031[[#This Row],[MTD Panel]]</f>
        <v>0</v>
      </c>
    </row>
    <row r="34" spans="1:9">
      <c r="A34" s="11" t="str">
        <f>Table333456789101217[[#This Row],[Carrier]]</f>
        <v>Haze</v>
      </c>
      <c r="B34" s="5" t="str">
        <f>Table333456789101217[[#This Row],[IP]]</f>
        <v>230.111.44.56</v>
      </c>
      <c r="C34" s="6" t="str">
        <f>Table333456789101217[[#This Row],[Carrier Code]]</f>
        <v>HZ</v>
      </c>
      <c r="D34" s="53">
        <v>3748.05</v>
      </c>
      <c r="E34" s="53">
        <v>3748.05</v>
      </c>
      <c r="F34" s="18">
        <f>Table33345678910121121222324252728293031[[#This Row],[Company Panel]]+Table333456789101211212223242527282930[[#This Row],[MTD Company]]</f>
        <v>30715.683333333331</v>
      </c>
      <c r="G34" s="18">
        <f>Table33345678910121121222324252728293031[[#This Row],[Our panel]]+Table333456789101211212223242527282930[[#This Row],[MTD Panel]]</f>
        <v>30715.683333333331</v>
      </c>
      <c r="H34" s="13">
        <f>Table33345678910121121222324252728293031[[#This Row],[Company Panel]]-Table33345678910121121222324252728293031[[#This Row],[Our panel]]</f>
        <v>0</v>
      </c>
      <c r="I34" s="13">
        <f>Table33345678910121121222324252728293031[[#This Row],[MTD Company]]-Table33345678910121121222324252728293031[[#This Row],[MTD Panel]]</f>
        <v>0</v>
      </c>
    </row>
    <row r="35" spans="1:9">
      <c r="A35" s="11" t="str">
        <f>Table333456789101217[[#This Row],[Carrier]]</f>
        <v>Vault</v>
      </c>
      <c r="B35" s="5" t="str">
        <f>Table333456789101217[[#This Row],[IP]]</f>
        <v>213.189.94.5/213.189.94.7/111.180.64.222</v>
      </c>
      <c r="C35" s="6" t="str">
        <f>Table333456789101217[[#This Row],[Carrier Code]]</f>
        <v>VA</v>
      </c>
      <c r="D35" s="53">
        <v>0</v>
      </c>
      <c r="E35" s="53">
        <v>0</v>
      </c>
      <c r="F35" s="18">
        <f>Table33345678910121121222324252728293031[[#This Row],[Company Panel]]+Table333456789101211212223242527282930[[#This Row],[MTD Company]]</f>
        <v>0</v>
      </c>
      <c r="G35" s="18">
        <f>Table33345678910121121222324252728293031[[#This Row],[Our panel]]+Table333456789101211212223242527282930[[#This Row],[MTD Panel]]</f>
        <v>0</v>
      </c>
      <c r="H35" s="13">
        <f>Table33345678910121121222324252728293031[[#This Row],[Company Panel]]-Table33345678910121121222324252728293031[[#This Row],[Our panel]]</f>
        <v>0</v>
      </c>
      <c r="I35" s="13">
        <f>Table33345678910121121222324252728293031[[#This Row],[MTD Company]]-Table33345678910121121222324252728293031[[#This Row],[MTD Panel]]</f>
        <v>0</v>
      </c>
    </row>
    <row r="36" spans="1:9">
      <c r="A36" s="11" t="str">
        <f>Table333456789101217[[#This Row],[Carrier]]</f>
        <v>Scatter</v>
      </c>
      <c r="B36" s="5" t="str">
        <f>Table333456789101217[[#This Row],[IP]]</f>
        <v>14.123.45.67/168.251.90.15</v>
      </c>
      <c r="C36" s="6" t="str">
        <f>Table333456789101217[[#This Row],[Carrier Code]]</f>
        <v>SC</v>
      </c>
      <c r="D36" s="53">
        <v>124.88333333333334</v>
      </c>
      <c r="E36" s="53">
        <v>124.88333333333334</v>
      </c>
      <c r="F36" s="18">
        <f>Table33345678910121121222324252728293031[[#This Row],[Company Panel]]+Table333456789101211212223242527282930[[#This Row],[MTD Company]]</f>
        <v>1500.8833333333332</v>
      </c>
      <c r="G36" s="18">
        <f>Table33345678910121121222324252728293031[[#This Row],[Our panel]]+Table333456789101211212223242527282930[[#This Row],[MTD Panel]]</f>
        <v>1500.8833333333332</v>
      </c>
      <c r="H36" s="13">
        <f>Table33345678910121121222324252728293031[[#This Row],[Company Panel]]-Table33345678910121121222324252728293031[[#This Row],[Our panel]]</f>
        <v>0</v>
      </c>
      <c r="I36" s="13">
        <f>Table33345678910121121222324252728293031[[#This Row],[MTD Company]]-Table33345678910121121222324252728293031[[#This Row],[MTD Panel]]</f>
        <v>0</v>
      </c>
    </row>
    <row r="37" spans="1:9">
      <c r="A37" s="11" t="str">
        <f>Table333456789101217[[#This Row],[Carrier]]</f>
        <v>Hammer</v>
      </c>
      <c r="B37" s="5" t="str">
        <f>Table333456789101217[[#This Row],[IP]]</f>
        <v>200.111.78.9/200.111.236.62/200.111.823.89/137.79.48.56</v>
      </c>
      <c r="C37" s="6" t="str">
        <f>Table333456789101217[[#This Row],[Carrier Code]]</f>
        <v>HA</v>
      </c>
      <c r="D37" s="53">
        <v>0</v>
      </c>
      <c r="E37" s="53">
        <v>0</v>
      </c>
      <c r="F37" s="18">
        <f>Table33345678910121121222324252728293031[[#This Row],[Company Panel]]+Table333456789101211212223242527282930[[#This Row],[MTD Company]]</f>
        <v>0</v>
      </c>
      <c r="G37" s="18">
        <f>Table33345678910121121222324252728293031[[#This Row],[Our panel]]+Table333456789101211212223242527282930[[#This Row],[MTD Panel]]</f>
        <v>0</v>
      </c>
      <c r="H37" s="72">
        <f>Table33345678910121121222324252728293031[[#This Row],[Company Panel]]-Table33345678910121121222324252728293031[[#This Row],[Our panel]]</f>
        <v>0</v>
      </c>
      <c r="I37" s="72">
        <f>Table33345678910121121222324252728293031[[#This Row],[MTD Company]]-Table33345678910121121222324252728293031[[#This Row],[MTD Panel]]</f>
        <v>0</v>
      </c>
    </row>
    <row r="38" spans="1:9">
      <c r="A38" s="11" t="str">
        <f>Table333456789101217[[#This Row],[Carrier]]</f>
        <v>Smudge</v>
      </c>
      <c r="B38" s="5" t="str">
        <f>Table333456789101217[[#This Row],[IP]]</f>
        <v>88.99.233.56/54.71.99.234</v>
      </c>
      <c r="C38" s="6" t="str">
        <f>Table333456789101217[[#This Row],[Carrier Code]]</f>
        <v>SM</v>
      </c>
      <c r="D38" s="53">
        <v>15.166666666666666</v>
      </c>
      <c r="E38" s="53">
        <v>15.166666666666666</v>
      </c>
      <c r="F38" s="18">
        <f>Table33345678910121121222324252728293031[[#This Row],[Company Panel]]+Table333456789101211212223242527282930[[#This Row],[MTD Company]]</f>
        <v>396.58333333333331</v>
      </c>
      <c r="G38" s="18">
        <f>Table33345678910121121222324252728293031[[#This Row],[Our panel]]+Table333456789101211212223242527282930[[#This Row],[MTD Panel]]</f>
        <v>396.58333333333331</v>
      </c>
      <c r="H38" s="72">
        <f>Table33345678910121121222324252728293031[[#This Row],[Company Panel]]-Table33345678910121121222324252728293031[[#This Row],[Our panel]]</f>
        <v>0</v>
      </c>
      <c r="I38" s="72">
        <f>Table33345678910121121222324252728293031[[#This Row],[MTD Company]]-Table33345678910121121222324252728293031[[#This Row],[MTD Panel]]</f>
        <v>0</v>
      </c>
    </row>
    <row r="39" spans="1:9">
      <c r="A39" s="11" t="str">
        <f>Table333456789101217[[#This Row],[Carrier]]</f>
        <v>Quirk</v>
      </c>
      <c r="B39" s="5" t="str">
        <f>Table333456789101217[[#This Row],[IP]]</f>
        <v>62.45.100.31/62.45.100.15/62.45.100.65/211.95.102.6</v>
      </c>
      <c r="C39" s="6" t="str">
        <f>Table333456789101217[[#This Row],[Carrier Code]]</f>
        <v>QU</v>
      </c>
      <c r="D39" s="53">
        <v>736.5333333333333</v>
      </c>
      <c r="E39" s="53">
        <v>736.5333333333333</v>
      </c>
      <c r="F39" s="18">
        <f>Table33345678910121121222324252728293031[[#This Row],[Company Panel]]+Table333456789101211212223242527282930[[#This Row],[MTD Company]]</f>
        <v>40153.383333333324</v>
      </c>
      <c r="G39" s="18">
        <f>Table33345678910121121222324252728293031[[#This Row],[Our panel]]+Table333456789101211212223242527282930[[#This Row],[MTD Panel]]</f>
        <v>40153.383333333324</v>
      </c>
      <c r="H39" s="72">
        <f>Table33345678910121121222324252728293031[[#This Row],[Company Panel]]-Table33345678910121121222324252728293031[[#This Row],[Our panel]]</f>
        <v>0</v>
      </c>
      <c r="I39" s="72">
        <f>Table33345678910121121222324252728293031[[#This Row],[MTD Company]]-Table33345678910121121222324252728293031[[#This Row],[MTD Panel]]</f>
        <v>0</v>
      </c>
    </row>
    <row r="40" spans="1:9">
      <c r="A40" s="11" t="str">
        <f>Table333456789101217[[#This Row],[Carrier]]</f>
        <v>Vortex</v>
      </c>
      <c r="B40" s="5" t="str">
        <f>Table333456789101217[[#This Row],[IP]]</f>
        <v>179.250.91.8/29.540.67.457/94.25.34.78/183.144.27.18</v>
      </c>
      <c r="C40" s="6" t="str">
        <f>Table333456789101217[[#This Row],[Carrier Code]]</f>
        <v>VT</v>
      </c>
      <c r="D40" s="53">
        <v>0</v>
      </c>
      <c r="E40" s="53">
        <v>0</v>
      </c>
      <c r="F40" s="18">
        <f>Table33345678910121121222324252728293031[[#This Row],[Company Panel]]+Table333456789101211212223242527282930[[#This Row],[MTD Company]]</f>
        <v>0.95</v>
      </c>
      <c r="G40" s="18">
        <f>Table33345678910121121222324252728293031[[#This Row],[Our panel]]+Table333456789101211212223242527282930[[#This Row],[MTD Panel]]</f>
        <v>0.95</v>
      </c>
      <c r="H40" s="72">
        <f>Table33345678910121121222324252728293031[[#This Row],[Company Panel]]-Table33345678910121121222324252728293031[[#This Row],[Our panel]]</f>
        <v>0</v>
      </c>
      <c r="I40" s="72">
        <f>Table33345678910121121222324252728293031[[#This Row],[MTD Company]]-Table33345678910121121222324252728293031[[#This Row],[MTD Panel]]</f>
        <v>0</v>
      </c>
    </row>
    <row r="41" spans="1:9">
      <c r="A41" s="11" t="str">
        <f>Table333456789101217[[#This Row],[Carrier]]</f>
        <v>Void</v>
      </c>
      <c r="B41" s="5" t="str">
        <f>Table333456789101217[[#This Row],[IP]]</f>
        <v>156.34.123.11/156.34.123.25/156.34.123.62/92.44.233.110</v>
      </c>
      <c r="C41" s="6" t="str">
        <f>Table333456789101217[[#This Row],[Carrier Code]]</f>
        <v>VO</v>
      </c>
      <c r="D41" s="53">
        <v>14.916666666666666</v>
      </c>
      <c r="E41" s="53">
        <v>14.916666666666666</v>
      </c>
      <c r="F41" s="18">
        <f>Table33345678910121121222324252728293031[[#This Row],[Company Panel]]+Table333456789101211212223242527282930[[#This Row],[MTD Company]]</f>
        <v>922.66666666666652</v>
      </c>
      <c r="G41" s="18">
        <f>Table33345678910121121222324252728293031[[#This Row],[Our panel]]+Table333456789101211212223242527282930[[#This Row],[MTD Panel]]</f>
        <v>922.66666666666652</v>
      </c>
      <c r="H41" s="72">
        <f>Table33345678910121121222324252728293031[[#This Row],[Company Panel]]-Table33345678910121121222324252728293031[[#This Row],[Our panel]]</f>
        <v>0</v>
      </c>
      <c r="I41" s="72">
        <f>Table33345678910121121222324252728293031[[#This Row],[MTD Company]]-Table33345678910121121222324252728293031[[#This Row],[MTD Panel]]</f>
        <v>0</v>
      </c>
    </row>
    <row r="42" spans="1:9">
      <c r="A42" s="11" t="str">
        <f>Table333456789101217[[#This Row],[Carrier]]</f>
        <v>Midnight</v>
      </c>
      <c r="B42" s="5" t="str">
        <f>Table333456789101217[[#This Row],[IP]]</f>
        <v>134.77.22.4/23.97.150.8</v>
      </c>
      <c r="C42" s="6" t="str">
        <f>Table333456789101217[[#This Row],[Carrier Code]]</f>
        <v>MI</v>
      </c>
      <c r="D42" s="53">
        <v>191.8</v>
      </c>
      <c r="E42" s="53">
        <v>191.8</v>
      </c>
      <c r="F42" s="18">
        <f>Table33345678910121121222324252728293031[[#This Row],[Company Panel]]+Table333456789101211212223242527282930[[#This Row],[MTD Company]]</f>
        <v>7552.55</v>
      </c>
      <c r="G42" s="18">
        <f>Table33345678910121121222324252728293031[[#This Row],[Our panel]]+Table333456789101211212223242527282930[[#This Row],[MTD Panel]]</f>
        <v>7552.55</v>
      </c>
      <c r="H42" s="72">
        <f>Table33345678910121121222324252728293031[[#This Row],[Company Panel]]-Table33345678910121121222324252728293031[[#This Row],[Our panel]]</f>
        <v>0</v>
      </c>
      <c r="I42" s="72">
        <f>Table33345678910121121222324252728293031[[#This Row],[MTD Company]]-Table33345678910121121222324252728293031[[#This Row],[MTD Panel]]</f>
        <v>0</v>
      </c>
    </row>
    <row r="43" spans="1:9">
      <c r="A43" s="11" t="str">
        <f>Table333456789101217[[#This Row],[Carrier]]</f>
        <v>Autumn</v>
      </c>
      <c r="B43" s="5" t="str">
        <f>Table333456789101217[[#This Row],[IP]]</f>
        <v>202.54.210.88/12.331.94.73/64.19.28.175</v>
      </c>
      <c r="C43" s="6" t="str">
        <f>Table333456789101217[[#This Row],[Carrier Code]]</f>
        <v>AU</v>
      </c>
      <c r="D43" s="53">
        <v>2.7</v>
      </c>
      <c r="E43" s="53">
        <v>2.7</v>
      </c>
      <c r="F43" s="18">
        <f>Table33345678910121121222324252728293031[[#This Row],[Company Panel]]+Table333456789101211212223242527282930[[#This Row],[MTD Company]]</f>
        <v>265.11666666666667</v>
      </c>
      <c r="G43" s="18">
        <f>Table33345678910121121222324252728293031[[#This Row],[Our panel]]+Table333456789101211212223242527282930[[#This Row],[MTD Panel]]</f>
        <v>265.11666666666667</v>
      </c>
      <c r="H43" s="72">
        <f>Table33345678910121121222324252728293031[[#This Row],[Company Panel]]-Table33345678910121121222324252728293031[[#This Row],[Our panel]]</f>
        <v>0</v>
      </c>
      <c r="I43" s="72">
        <f>Table33345678910121121222324252728293031[[#This Row],[MTD Company]]-Table33345678910121121222324252728293031[[#This Row],[MTD Panel]]</f>
        <v>0</v>
      </c>
    </row>
    <row r="44" spans="1:9">
      <c r="A44" s="11" t="str">
        <f>Table333456789101217[[#This Row],[Carrier]]</f>
        <v>Mystic</v>
      </c>
      <c r="B44" s="5" t="str">
        <f>Table333456789101217[[#This Row],[IP]]</f>
        <v>51.233.21.76/82.115.35.60/82.115.35.85</v>
      </c>
      <c r="C44" s="6" t="str">
        <f>Table333456789101217[[#This Row],[Carrier Code]]</f>
        <v>MY</v>
      </c>
      <c r="D44" s="53">
        <v>0</v>
      </c>
      <c r="E44" s="53">
        <v>0</v>
      </c>
      <c r="F44" s="18">
        <f>Table33345678910121121222324252728293031[[#This Row],[Company Panel]]+Table333456789101211212223242527282930[[#This Row],[MTD Company]]</f>
        <v>0</v>
      </c>
      <c r="G44" s="18">
        <f>Table33345678910121121222324252728293031[[#This Row],[Our panel]]+Table333456789101211212223242527282930[[#This Row],[MTD Panel]]</f>
        <v>0</v>
      </c>
      <c r="H44" s="72">
        <f>Table33345678910121121222324252728293031[[#This Row],[Company Panel]]-Table33345678910121121222324252728293031[[#This Row],[Our panel]]</f>
        <v>0</v>
      </c>
      <c r="I44" s="72">
        <f>Table33345678910121121222324252728293031[[#This Row],[MTD Company]]-Table33345678910121121222324252728293031[[#This Row],[MTD Panel]]</f>
        <v>0</v>
      </c>
    </row>
    <row r="45" spans="1:9">
      <c r="A45" s="11" t="str">
        <f>Table333456789101217[[#This Row],[Carrier]]</f>
        <v>Clover</v>
      </c>
      <c r="B45" s="5" t="str">
        <f>Table333456789101217[[#This Row],[IP]]</f>
        <v>210.150.12.45/84.50.212.66/135.113.88.9</v>
      </c>
      <c r="C45" s="6" t="str">
        <f>Table333456789101217[[#This Row],[Carrier Code]]</f>
        <v>CO</v>
      </c>
      <c r="D45" s="53">
        <v>124.03333333333333</v>
      </c>
      <c r="E45" s="53">
        <v>124.03333333333333</v>
      </c>
      <c r="F45" s="18">
        <f>Table33345678910121121222324252728293031[[#This Row],[Company Panel]]+Table333456789101211212223242527282930[[#This Row],[MTD Company]]</f>
        <v>35129.166666666679</v>
      </c>
      <c r="G45" s="18">
        <f>Table33345678910121121222324252728293031[[#This Row],[Our panel]]+Table333456789101211212223242527282930[[#This Row],[MTD Panel]]</f>
        <v>35129.166666666679</v>
      </c>
      <c r="H45" s="13">
        <f>Table33345678910121121222324252728293031[[#This Row],[Company Panel]]-Table33345678910121121222324252728293031[[#This Row],[Our panel]]</f>
        <v>0</v>
      </c>
      <c r="I45" s="13">
        <f>Table33345678910121121222324252728293031[[#This Row],[MTD Company]]-Table33345678910121121222324252728293031[[#This Row],[MTD Panel]]</f>
        <v>0</v>
      </c>
    </row>
    <row r="46" spans="1:9">
      <c r="A46" s="11" t="str">
        <f>Table333456789101217[[#This Row],[Carrier]]</f>
        <v>Hunter</v>
      </c>
      <c r="B46" s="5" t="str">
        <f>Table333456789101217[[#This Row],[IP]]</f>
        <v>170.199.20.87/13.693.39.280/78.30.123.47</v>
      </c>
      <c r="C46" s="6" t="str">
        <f>Table333456789101217[[#This Row],[Carrier Code]]</f>
        <v>HU</v>
      </c>
      <c r="D46" s="53">
        <v>459.66666666666669</v>
      </c>
      <c r="E46" s="53">
        <v>459.66666666666669</v>
      </c>
      <c r="F46" s="18">
        <f>Table33345678910121121222324252728293031[[#This Row],[Company Panel]]+Table333456789101211212223242527282930[[#This Row],[MTD Company]]</f>
        <v>17394.916666666668</v>
      </c>
      <c r="G46" s="18">
        <f>Table33345678910121121222324252728293031[[#This Row],[Our panel]]+Table333456789101211212223242527282930[[#This Row],[MTD Panel]]</f>
        <v>17394.916666666668</v>
      </c>
      <c r="H46" s="13">
        <f>Table33345678910121121222324252728293031[[#This Row],[Company Panel]]-Table33345678910121121222324252728293031[[#This Row],[Our panel]]</f>
        <v>0</v>
      </c>
      <c r="I46" s="13">
        <f>Table33345678910121121222324252728293031[[#This Row],[MTD Company]]-Table33345678910121121222324252728293031[[#This Row],[MTD Panel]]</f>
        <v>0</v>
      </c>
    </row>
    <row r="47" spans="1:9">
      <c r="A47" s="11" t="str">
        <f>Table333456789101217[[#This Row],[Carrier]]</f>
        <v>Invaded</v>
      </c>
      <c r="B47" s="5" t="str">
        <f>Table333456789101217[[#This Row],[IP]]</f>
        <v>182.67.99.120/80.518.230.410/26.847.95.107/188.12.67.92</v>
      </c>
      <c r="C47" s="6" t="str">
        <f>Table333456789101217[[#This Row],[Carrier Code]]</f>
        <v>ID</v>
      </c>
      <c r="D47" s="7">
        <v>0</v>
      </c>
      <c r="E47" s="7">
        <v>0</v>
      </c>
      <c r="F47" s="18">
        <f>Table33345678910121121222324252728293031[[#This Row],[Company Panel]]+Table333456789101211212223242527282930[[#This Row],[MTD Company]]</f>
        <v>0</v>
      </c>
      <c r="G47" s="18">
        <f>Table33345678910121121222324252728293031[[#This Row],[Our panel]]+Table333456789101211212223242527282930[[#This Row],[MTD Panel]]</f>
        <v>0</v>
      </c>
      <c r="H47" s="13">
        <f>Table33345678910121121222324252728293031[[#This Row],[Company Panel]]-Table33345678910121121222324252728293031[[#This Row],[Our panel]]</f>
        <v>0</v>
      </c>
      <c r="I47" s="13">
        <f>Table33345678910121121222324252728293031[[#This Row],[MTD Company]]-Table33345678910121121222324252728293031[[#This Row],[MTD Panel]]</f>
        <v>0</v>
      </c>
    </row>
    <row r="48" spans="1:9">
      <c r="A48" s="11" t="str">
        <f>Table333456789101217[[#This Row],[Carrier]]</f>
        <v>Delusion</v>
      </c>
      <c r="B48" s="5" t="str">
        <f>Table333456789101217[[#This Row],[IP]]</f>
        <v>198.51.100.72/69.887.74.738/39.153.110.645</v>
      </c>
      <c r="C48" s="6" t="str">
        <f>Table333456789101217[[#This Row],[Carrier Code]]</f>
        <v>DU</v>
      </c>
      <c r="D48" s="7">
        <v>0</v>
      </c>
      <c r="E48" s="7">
        <v>0</v>
      </c>
      <c r="F48" s="18">
        <f>Table33345678910121121222324252728293031[[#This Row],[Company Panel]]+Table333456789101211212223242527282930[[#This Row],[MTD Company]]</f>
        <v>0</v>
      </c>
      <c r="G48" s="18">
        <f>Table33345678910121121222324252728293031[[#This Row],[Our panel]]+Table333456789101211212223242527282930[[#This Row],[MTD Panel]]</f>
        <v>0</v>
      </c>
      <c r="H48" s="13">
        <f>Table33345678910121121222324252728293031[[#This Row],[Company Panel]]-Table33345678910121121222324252728293031[[#This Row],[Our panel]]</f>
        <v>0</v>
      </c>
      <c r="I48" s="13">
        <f>Table33345678910121121222324252728293031[[#This Row],[MTD Company]]-Table33345678910121121222324252728293031[[#This Row],[MTD Panel]]</f>
        <v>0</v>
      </c>
    </row>
    <row r="49" spans="1:9" ht="15.5">
      <c r="A49" s="14" t="s">
        <v>10</v>
      </c>
      <c r="B49" s="14"/>
      <c r="C49" s="15"/>
      <c r="D49" s="16">
        <f>SUM(D3:D48)</f>
        <v>6628.3500000000013</v>
      </c>
      <c r="E49" s="16">
        <f t="shared" ref="E49:I49" si="0">SUM(E3:E48)</f>
        <v>6628.3500000000013</v>
      </c>
      <c r="F49" s="16">
        <f t="shared" si="0"/>
        <v>224521.54999999996</v>
      </c>
      <c r="G49" s="16">
        <f t="shared" si="0"/>
        <v>224521.54999999996</v>
      </c>
      <c r="H49" s="16">
        <f t="shared" si="0"/>
        <v>0</v>
      </c>
      <c r="I49" s="16">
        <f t="shared" si="0"/>
        <v>0</v>
      </c>
    </row>
  </sheetData>
  <conditionalFormatting sqref="H2:I48">
    <cfRule type="cellIs" dxfId="132" priority="12" operator="lessThan">
      <formula>0</formula>
    </cfRule>
  </conditionalFormatting>
  <conditionalFormatting sqref="I30:I48">
    <cfRule type="cellIs" dxfId="131" priority="11" operator="lessThan">
      <formula>0</formula>
    </cfRule>
  </conditionalFormatting>
  <conditionalFormatting sqref="H3:I48">
    <cfRule type="cellIs" dxfId="130" priority="10" operator="lessThan">
      <formula>0</formula>
    </cfRule>
  </conditionalFormatting>
  <conditionalFormatting sqref="I30:I48">
    <cfRule type="cellIs" dxfId="129" priority="9" operator="lessThan">
      <formula>0</formula>
    </cfRule>
  </conditionalFormatting>
  <conditionalFormatting sqref="I3:I48">
    <cfRule type="cellIs" dxfId="128" priority="1" operator="lessThan">
      <formula>0</formula>
    </cfRule>
    <cfRule type="cellIs" dxfId="127" priority="2" operator="lessThan">
      <formula>0</formula>
    </cfRule>
  </conditionalFormatting>
  <hyperlinks>
    <hyperlink ref="E1" location="H!A1" display="Home"/>
    <hyperlink ref="D1" location="'23'!D1" display="←"/>
    <hyperlink ref="F1" location="'25'!F1" display="→"/>
  </hyperlink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1"/>
  <sheetViews>
    <sheetView workbookViewId="0">
      <selection activeCell="D49" sqref="D49:I49"/>
    </sheetView>
  </sheetViews>
  <sheetFormatPr defaultRowHeight="14.5"/>
  <cols>
    <col min="1" max="1" width="26.7265625" bestFit="1" customWidth="1"/>
    <col min="2" max="2" width="37" bestFit="1" customWidth="1"/>
    <col min="3" max="3" width="10.453125" customWidth="1"/>
    <col min="4" max="9" width="12.7265625" customWidth="1"/>
  </cols>
  <sheetData>
    <row r="1" spans="1:12" ht="18.5">
      <c r="A1" s="23" t="str">
        <f>H!D10</f>
        <v>25th April 2025</v>
      </c>
      <c r="B1" s="24"/>
      <c r="C1" s="24"/>
      <c r="D1" s="22" t="s">
        <v>16</v>
      </c>
      <c r="E1" s="22" t="s">
        <v>9</v>
      </c>
      <c r="F1" s="22" t="s">
        <v>17</v>
      </c>
    </row>
    <row r="2" spans="1:12" ht="31">
      <c r="A2" s="1" t="s">
        <v>0</v>
      </c>
      <c r="B2" s="2" t="s">
        <v>1</v>
      </c>
      <c r="C2" s="2" t="s">
        <v>2</v>
      </c>
      <c r="D2" s="2" t="s">
        <v>3</v>
      </c>
      <c r="E2" s="2" t="s">
        <v>11</v>
      </c>
      <c r="F2" s="2" t="s">
        <v>4</v>
      </c>
      <c r="G2" s="4" t="s">
        <v>6</v>
      </c>
      <c r="H2" s="4" t="s">
        <v>7</v>
      </c>
      <c r="I2" s="3" t="s">
        <v>8</v>
      </c>
    </row>
    <row r="3" spans="1:12">
      <c r="A3" s="11" t="str">
        <f>Table333456789101217[[#This Row],[Carrier]]</f>
        <v>Blaze</v>
      </c>
      <c r="B3" s="5" t="str">
        <f>Table333456789101217[[#This Row],[IP]]</f>
        <v>8.12.34.56/48.163.17.845/60.502.86.203/191.45.28.14</v>
      </c>
      <c r="C3" s="6" t="str">
        <f>Table333456789101217[[#This Row],[Carrier Code]]</f>
        <v>BZ</v>
      </c>
      <c r="D3" s="53">
        <v>0</v>
      </c>
      <c r="E3" s="53">
        <v>0</v>
      </c>
      <c r="F3" s="18">
        <f>Table3334567891012112122232425272829303132[[#This Row],[Company Panel]]+Table33345678910121121222324252728293031[[#This Row],[MTD Company]]</f>
        <v>0</v>
      </c>
      <c r="G3" s="18">
        <f>Table3334567891012112122232425272829303132[[#This Row],[Our panel]]+Table33345678910121121222324252728293031[[#This Row],[MTD Panel]]</f>
        <v>0</v>
      </c>
      <c r="H3" s="13">
        <f>Table3334567891012112122232425272829303132[[#This Row],[Company Panel]]-Table3334567891012112122232425272829303132[[#This Row],[Our panel]]</f>
        <v>0</v>
      </c>
      <c r="I3" s="13">
        <f>Table3334567891012112122232425272829303132[[#This Row],[MTD Company]]-Table3334567891012112122232425272829303132[[#This Row],[MTD Panel]]</f>
        <v>0</v>
      </c>
    </row>
    <row r="4" spans="1:12">
      <c r="A4" s="11" t="str">
        <f>Table333456789101217[[#This Row],[Carrier]]</f>
        <v>Titan</v>
      </c>
      <c r="B4" s="5" t="str">
        <f>Table333456789101217[[#This Row],[IP]]</f>
        <v>123.45.67.89/123.45.67.93/203.24.101.65</v>
      </c>
      <c r="C4" s="6" t="str">
        <f>Table333456789101217[[#This Row],[Carrier Code]]</f>
        <v>TI</v>
      </c>
      <c r="D4" s="53">
        <v>3.3333333333333335</v>
      </c>
      <c r="E4" s="53">
        <v>3.3333333333333335</v>
      </c>
      <c r="F4" s="18">
        <f>Table3334567891012112122232425272829303132[[#This Row],[Company Panel]]+Table33345678910121121222324252728293031[[#This Row],[MTD Company]]</f>
        <v>331.15000000000003</v>
      </c>
      <c r="G4" s="18">
        <f>Table3334567891012112122232425272829303132[[#This Row],[Our panel]]+Table33345678910121121222324252728293031[[#This Row],[MTD Panel]]</f>
        <v>331.15000000000003</v>
      </c>
      <c r="H4" s="13">
        <f>Table3334567891012112122232425272829303132[[#This Row],[Company Panel]]-Table3334567891012112122232425272829303132[[#This Row],[Our panel]]</f>
        <v>0</v>
      </c>
      <c r="I4" s="13">
        <f>Table3334567891012112122232425272829303132[[#This Row],[MTD Company]]-Table3334567891012112122232425272829303132[[#This Row],[MTD Panel]]</f>
        <v>0</v>
      </c>
      <c r="L4" s="9"/>
    </row>
    <row r="5" spans="1:12">
      <c r="A5" s="11" t="str">
        <f>Table333456789101217[[#This Row],[Carrier]]</f>
        <v>Hollow</v>
      </c>
      <c r="B5" s="5" t="str">
        <f>Table333456789101217[[#This Row],[IP]]</f>
        <v>204.56.78.100/204.56.57.169/52.94.101.12</v>
      </c>
      <c r="C5" s="6" t="str">
        <f>Table333456789101217[[#This Row],[Carrier Code]]</f>
        <v>HO</v>
      </c>
      <c r="D5" s="53">
        <v>0</v>
      </c>
      <c r="E5" s="53">
        <v>0</v>
      </c>
      <c r="F5" s="18">
        <f>Table3334567891012112122232425272829303132[[#This Row],[Company Panel]]+Table33345678910121121222324252728293031[[#This Row],[MTD Company]]</f>
        <v>0</v>
      </c>
      <c r="G5" s="18">
        <f>Table3334567891012112122232425272829303132[[#This Row],[Our panel]]+Table33345678910121121222324252728293031[[#This Row],[MTD Panel]]</f>
        <v>0</v>
      </c>
      <c r="H5" s="13">
        <f>Table3334567891012112122232425272829303132[[#This Row],[Company Panel]]-Table3334567891012112122232425272829303132[[#This Row],[Our panel]]</f>
        <v>0</v>
      </c>
      <c r="I5" s="13">
        <f>Table3334567891012112122232425272829303132[[#This Row],[MTD Company]]-Table3334567891012112122232425272829303132[[#This Row],[MTD Panel]]</f>
        <v>0</v>
      </c>
    </row>
    <row r="6" spans="1:12">
      <c r="A6" s="11" t="str">
        <f>Table333456789101217[[#This Row],[Carrier]]</f>
        <v>Prism</v>
      </c>
      <c r="B6" s="5" t="str">
        <f>Table333456789101217[[#This Row],[IP]]</f>
        <v>35.118.22.45/137.63.112.25</v>
      </c>
      <c r="C6" s="6" t="str">
        <f>Table333456789101217[[#This Row],[Carrier Code]]</f>
        <v>PS</v>
      </c>
      <c r="D6" s="53">
        <v>728.81666666666672</v>
      </c>
      <c r="E6" s="53">
        <v>728.81666666666672</v>
      </c>
      <c r="F6" s="18">
        <f>Table3334567891012112122232425272829303132[[#This Row],[Company Panel]]+Table33345678910121121222324252728293031[[#This Row],[MTD Company]]</f>
        <v>72902.099999999962</v>
      </c>
      <c r="G6" s="18">
        <f>Table3334567891012112122232425272829303132[[#This Row],[Our panel]]+Table33345678910121121222324252728293031[[#This Row],[MTD Panel]]</f>
        <v>72902.099999999962</v>
      </c>
      <c r="H6" s="13">
        <f>Table3334567891012112122232425272829303132[[#This Row],[Company Panel]]-Table3334567891012112122232425272829303132[[#This Row],[Our panel]]</f>
        <v>0</v>
      </c>
      <c r="I6" s="13">
        <f>Table3334567891012112122232425272829303132[[#This Row],[MTD Company]]-Table3334567891012112122232425272829303132[[#This Row],[MTD Panel]]</f>
        <v>0</v>
      </c>
    </row>
    <row r="7" spans="1:12">
      <c r="A7" s="11" t="str">
        <f>Table333456789101217[[#This Row],[Carrier]]</f>
        <v>Echo</v>
      </c>
      <c r="B7" s="5" t="str">
        <f>Table333456789101217[[#This Row],[IP]]</f>
        <v>66.89.101.10/66.89.101.19/66.89.101.23/66.89.101.45/66.89.101.81/85.21.34.99</v>
      </c>
      <c r="C7" s="6" t="str">
        <f>Table333456789101217[[#This Row],[Carrier Code]]</f>
        <v>EC</v>
      </c>
      <c r="D7" s="53">
        <v>15.416666666666666</v>
      </c>
      <c r="E7" s="53">
        <v>15.416666666666666</v>
      </c>
      <c r="F7" s="18">
        <f>Table3334567891012112122232425272829303132[[#This Row],[Company Panel]]+Table33345678910121121222324252728293031[[#This Row],[MTD Company]]</f>
        <v>104.48333333333333</v>
      </c>
      <c r="G7" s="18">
        <f>Table3334567891012112122232425272829303132[[#This Row],[Our panel]]+Table33345678910121121222324252728293031[[#This Row],[MTD Panel]]</f>
        <v>104.48333333333333</v>
      </c>
      <c r="H7" s="13">
        <f>Table3334567891012112122232425272829303132[[#This Row],[Company Panel]]-Table3334567891012112122232425272829303132[[#This Row],[Our panel]]</f>
        <v>0</v>
      </c>
      <c r="I7" s="13">
        <f>Table3334567891012112122232425272829303132[[#This Row],[MTD Company]]-Table3334567891012112122232425272829303132[[#This Row],[MTD Panel]]</f>
        <v>0</v>
      </c>
    </row>
    <row r="8" spans="1:12">
      <c r="A8" s="11" t="str">
        <f>Table333456789101217[[#This Row],[Carrier]]</f>
        <v>Strike</v>
      </c>
      <c r="B8" s="5" t="str">
        <f>Table333456789101217[[#This Row],[IP]]</f>
        <v>100.200.150.3/100.200.165.38/41.102.90.78</v>
      </c>
      <c r="C8" s="6" t="str">
        <f>Table333456789101217[[#This Row],[Carrier Code]]</f>
        <v>ST</v>
      </c>
      <c r="D8" s="53">
        <v>171.61666666666667</v>
      </c>
      <c r="E8" s="53">
        <v>171.61666666666667</v>
      </c>
      <c r="F8" s="18">
        <f>Table3334567891012112122232425272829303132[[#This Row],[Company Panel]]+Table33345678910121121222324252728293031[[#This Row],[MTD Company]]</f>
        <v>2776.2333333333331</v>
      </c>
      <c r="G8" s="18">
        <f>Table3334567891012112122232425272829303132[[#This Row],[Our panel]]+Table33345678910121121222324252728293031[[#This Row],[MTD Panel]]</f>
        <v>2776.2333333333331</v>
      </c>
      <c r="H8" s="13">
        <f>Table3334567891012112122232425272829303132[[#This Row],[Company Panel]]-Table3334567891012112122232425272829303132[[#This Row],[Our panel]]</f>
        <v>0</v>
      </c>
      <c r="I8" s="13">
        <f>Table3334567891012112122232425272829303132[[#This Row],[MTD Company]]-Table3334567891012112122232425272829303132[[#This Row],[MTD Panel]]</f>
        <v>0</v>
      </c>
      <c r="L8" s="9"/>
    </row>
    <row r="9" spans="1:12">
      <c r="A9" s="11" t="str">
        <f>Table333456789101217[[#This Row],[Carrier]]</f>
        <v>Blunt</v>
      </c>
      <c r="B9" s="5" t="str">
        <f>Table333456789101217[[#This Row],[IP]]</f>
        <v>52.28.191.25/52.28.191.38/52.28.191.24/61.110.23.45</v>
      </c>
      <c r="C9" s="6" t="str">
        <f>Table333456789101217[[#This Row],[Carrier Code]]</f>
        <v>BL</v>
      </c>
      <c r="D9" s="53">
        <v>116.13333333333334</v>
      </c>
      <c r="E9" s="53">
        <v>116.13333333333334</v>
      </c>
      <c r="F9" s="18">
        <f>Table3334567891012112122232425272829303132[[#This Row],[Company Panel]]+Table33345678910121121222324252728293031[[#This Row],[MTD Company]]</f>
        <v>10745.866666666669</v>
      </c>
      <c r="G9" s="18">
        <f>Table3334567891012112122232425272829303132[[#This Row],[Our panel]]+Table33345678910121121222324252728293031[[#This Row],[MTD Panel]]</f>
        <v>10745.866666666669</v>
      </c>
      <c r="H9" s="13">
        <f>Table3334567891012112122232425272829303132[[#This Row],[Company Panel]]-Table3334567891012112122232425272829303132[[#This Row],[Our panel]]</f>
        <v>0</v>
      </c>
      <c r="I9" s="13">
        <f>Table3334567891012112122232425272829303132[[#This Row],[MTD Company]]-Table3334567891012112122232425272829303132[[#This Row],[MTD Panel]]</f>
        <v>0</v>
      </c>
    </row>
    <row r="10" spans="1:12">
      <c r="A10" s="11" t="str">
        <f>Table333456789101217[[#This Row],[Carrier]]</f>
        <v>Law</v>
      </c>
      <c r="B10" s="5" t="str">
        <f>Table333456789101217[[#This Row],[IP]]</f>
        <v>77.88.99.21/77.88.99.88/77.88.99.94/110.56.211.7</v>
      </c>
      <c r="C10" s="6" t="str">
        <f>Table333456789101217[[#This Row],[Carrier Code]]</f>
        <v>LA</v>
      </c>
      <c r="D10" s="53">
        <v>0</v>
      </c>
      <c r="E10" s="53">
        <v>0</v>
      </c>
      <c r="F10" s="18">
        <f>Table3334567891012112122232425272829303132[[#This Row],[Company Panel]]+Table33345678910121121222324252728293031[[#This Row],[MTD Company]]</f>
        <v>0</v>
      </c>
      <c r="G10" s="18">
        <f>Table3334567891012112122232425272829303132[[#This Row],[Our panel]]+Table33345678910121121222324252728293031[[#This Row],[MTD Panel]]</f>
        <v>0</v>
      </c>
      <c r="H10" s="13">
        <f>Table3334567891012112122232425272829303132[[#This Row],[Company Panel]]-Table3334567891012112122232425272829303132[[#This Row],[Our panel]]</f>
        <v>0</v>
      </c>
      <c r="I10" s="13">
        <f>Table3334567891012112122232425272829303132[[#This Row],[MTD Company]]-Table3334567891012112122232425272829303132[[#This Row],[MTD Panel]]</f>
        <v>0</v>
      </c>
    </row>
    <row r="11" spans="1:12">
      <c r="A11" s="11" t="str">
        <f>Table333456789101217[[#This Row],[Carrier]]</f>
        <v>Pulse</v>
      </c>
      <c r="B11" s="5" t="str">
        <f>Table333456789101217[[#This Row],[IP]]</f>
        <v>198.51.100.130/31.725.16.608/66.59.61.503/167.34.122.90</v>
      </c>
      <c r="C11" s="6" t="str">
        <f>Table333456789101217[[#This Row],[Carrier Code]]</f>
        <v>PU</v>
      </c>
      <c r="D11" s="53">
        <v>0</v>
      </c>
      <c r="E11" s="53">
        <v>0</v>
      </c>
      <c r="F11" s="18">
        <f>Table3334567891012112122232425272829303132[[#This Row],[Company Panel]]+Table33345678910121121222324252728293031[[#This Row],[MTD Company]]</f>
        <v>0</v>
      </c>
      <c r="G11" s="18">
        <f>Table3334567891012112122232425272829303132[[#This Row],[Our panel]]+Table33345678910121121222324252728293031[[#This Row],[MTD Panel]]</f>
        <v>0</v>
      </c>
      <c r="H11" s="13">
        <f>Table3334567891012112122232425272829303132[[#This Row],[Company Panel]]-Table3334567891012112122232425272829303132[[#This Row],[Our panel]]</f>
        <v>0</v>
      </c>
      <c r="I11" s="13">
        <f>Table3334567891012112122232425272829303132[[#This Row],[MTD Company]]-Table3334567891012112122232425272829303132[[#This Row],[MTD Panel]]</f>
        <v>0</v>
      </c>
    </row>
    <row r="12" spans="1:12">
      <c r="A12" s="11" t="str">
        <f>Table333456789101217[[#This Row],[Carrier]]</f>
        <v>Phantom</v>
      </c>
      <c r="B12" s="5" t="str">
        <f>Table333456789101217[[#This Row],[IP]]</f>
        <v>141.15.210.67/141.15.42.82/179.62.211.4</v>
      </c>
      <c r="C12" s="6" t="str">
        <f>Table333456789101217[[#This Row],[Carrier Code]]</f>
        <v>PH</v>
      </c>
      <c r="D12" s="53">
        <v>2.5666666666666669</v>
      </c>
      <c r="E12" s="53">
        <v>2.5666666666666669</v>
      </c>
      <c r="F12" s="18">
        <f>Table3334567891012112122232425272829303132[[#This Row],[Company Panel]]+Table33345678910121121222324252728293031[[#This Row],[MTD Company]]</f>
        <v>3372.5333333333324</v>
      </c>
      <c r="G12" s="18">
        <f>Table3334567891012112122232425272829303132[[#This Row],[Our panel]]+Table33345678910121121222324252728293031[[#This Row],[MTD Panel]]</f>
        <v>3372.5333333333324</v>
      </c>
      <c r="H12" s="13">
        <f>Table3334567891012112122232425272829303132[[#This Row],[Company Panel]]-Table3334567891012112122232425272829303132[[#This Row],[Our panel]]</f>
        <v>0</v>
      </c>
      <c r="I12" s="13">
        <f>Table3334567891012112122232425272829303132[[#This Row],[MTD Company]]-Table3334567891012112122232425272829303132[[#This Row],[MTD Panel]]</f>
        <v>0</v>
      </c>
    </row>
    <row r="13" spans="1:12">
      <c r="A13" s="11" t="str">
        <f>Table333456789101217[[#This Row],[Carrier]]</f>
        <v>Dragon</v>
      </c>
      <c r="B13" s="5" t="str">
        <f>Table333456789101217[[#This Row],[IP]]</f>
        <v>12.34.56.78/12.34.56.128/200.180.245.18</v>
      </c>
      <c r="C13" s="6" t="str">
        <f>Table333456789101217[[#This Row],[Carrier Code]]</f>
        <v>DG</v>
      </c>
      <c r="D13" s="53">
        <v>0</v>
      </c>
      <c r="E13" s="53">
        <v>0</v>
      </c>
      <c r="F13" s="18">
        <f>Table3334567891012112122232425272829303132[[#This Row],[Company Panel]]+Table33345678910121121222324252728293031[[#This Row],[MTD Company]]</f>
        <v>0</v>
      </c>
      <c r="G13" s="18">
        <f>Table3334567891012112122232425272829303132[[#This Row],[Our panel]]+Table33345678910121121222324252728293031[[#This Row],[MTD Panel]]</f>
        <v>0</v>
      </c>
      <c r="H13" s="13">
        <f>Table3334567891012112122232425272829303132[[#This Row],[Company Panel]]-Table3334567891012112122232425272829303132[[#This Row],[Our panel]]</f>
        <v>0</v>
      </c>
      <c r="I13" s="13">
        <f>Table3334567891012112122232425272829303132[[#This Row],[MTD Company]]-Table3334567891012112122232425272829303132[[#This Row],[MTD Panel]]</f>
        <v>0</v>
      </c>
    </row>
    <row r="14" spans="1:12">
      <c r="A14" s="11" t="str">
        <f>Table333456789101217[[#This Row],[Carrier]]</f>
        <v>Tempest</v>
      </c>
      <c r="B14" s="5" t="str">
        <f>Table333456789101217[[#This Row],[IP]]</f>
        <v>59.144.223.88/55.39.99.60</v>
      </c>
      <c r="C14" s="6" t="str">
        <f>Table333456789101217[[#This Row],[Carrier Code]]</f>
        <v>TE</v>
      </c>
      <c r="D14" s="53">
        <v>0</v>
      </c>
      <c r="E14" s="53">
        <v>0</v>
      </c>
      <c r="F14" s="18">
        <f>Table3334567891012112122232425272829303132[[#This Row],[Company Panel]]+Table33345678910121121222324252728293031[[#This Row],[MTD Company]]</f>
        <v>0</v>
      </c>
      <c r="G14" s="18">
        <f>Table3334567891012112122232425272829303132[[#This Row],[Our panel]]+Table33345678910121121222324252728293031[[#This Row],[MTD Panel]]</f>
        <v>0</v>
      </c>
      <c r="H14" s="13">
        <f>Table3334567891012112122232425272829303132[[#This Row],[Company Panel]]-Table3334567891012112122232425272829303132[[#This Row],[Our panel]]</f>
        <v>0</v>
      </c>
      <c r="I14" s="13">
        <f>Table3334567891012112122232425272829303132[[#This Row],[MTD Company]]-Table3334567891012112122232425272829303132[[#This Row],[MTD Panel]]</f>
        <v>0</v>
      </c>
    </row>
    <row r="15" spans="1:12">
      <c r="A15" s="11" t="str">
        <f>Table333456789101217[[#This Row],[Carrier]]</f>
        <v>Shadow</v>
      </c>
      <c r="B15" s="5" t="str">
        <f>Table333456789101217[[#This Row],[IP]]</f>
        <v>175.45.112.100/25.851.31.153/39.80.220.100</v>
      </c>
      <c r="C15" s="6" t="str">
        <f>Table333456789101217[[#This Row],[Carrier Code]]</f>
        <v>SH</v>
      </c>
      <c r="D15" s="53">
        <v>0</v>
      </c>
      <c r="E15" s="53">
        <v>0</v>
      </c>
      <c r="F15" s="18">
        <f>Table3334567891012112122232425272829303132[[#This Row],[Company Panel]]+Table33345678910121121222324252728293031[[#This Row],[MTD Company]]</f>
        <v>0.1</v>
      </c>
      <c r="G15" s="18">
        <f>Table3334567891012112122232425272829303132[[#This Row],[Our panel]]+Table33345678910121121222324252728293031[[#This Row],[MTD Panel]]</f>
        <v>0.1</v>
      </c>
      <c r="H15" s="13">
        <f>Table3334567891012112122232425272829303132[[#This Row],[Company Panel]]-Table3334567891012112122232425272829303132[[#This Row],[Our panel]]</f>
        <v>0</v>
      </c>
      <c r="I15" s="13">
        <f>Table3334567891012112122232425272829303132[[#This Row],[MTD Company]]-Table3334567891012112122232425272829303132[[#This Row],[MTD Panel]]</f>
        <v>0</v>
      </c>
    </row>
    <row r="16" spans="1:12">
      <c r="A16" s="11" t="str">
        <f>Table333456789101217[[#This Row],[Carrier]]</f>
        <v>Cyclone</v>
      </c>
      <c r="B16" s="5" t="str">
        <f>Table333456789101217[[#This Row],[IP]]</f>
        <v>150.13.75.190/16.160.89.512/72.11.97.34</v>
      </c>
      <c r="C16" s="6" t="str">
        <f>Table333456789101217[[#This Row],[Carrier Code]]</f>
        <v>CY</v>
      </c>
      <c r="D16" s="53">
        <v>0</v>
      </c>
      <c r="E16" s="53">
        <v>0</v>
      </c>
      <c r="F16" s="18">
        <f>Table3334567891012112122232425272829303132[[#This Row],[Company Panel]]+Table33345678910121121222324252728293031[[#This Row],[MTD Company]]</f>
        <v>0</v>
      </c>
      <c r="G16" s="18">
        <f>Table3334567891012112122232425272829303132[[#This Row],[Our panel]]+Table33345678910121121222324252728293031[[#This Row],[MTD Panel]]</f>
        <v>0</v>
      </c>
      <c r="H16" s="13">
        <f>Table3334567891012112122232425272829303132[[#This Row],[Company Panel]]-Table3334567891012112122232425272829303132[[#This Row],[Our panel]]</f>
        <v>0</v>
      </c>
      <c r="I16" s="13">
        <f>Table3334567891012112122232425272829303132[[#This Row],[MTD Company]]-Table3334567891012112122232425272829303132[[#This Row],[MTD Panel]]</f>
        <v>0</v>
      </c>
    </row>
    <row r="17" spans="1:9">
      <c r="A17" s="11" t="str">
        <f>Table333456789101217[[#This Row],[Carrier]]</f>
        <v>Reaver</v>
      </c>
      <c r="B17" s="5" t="str">
        <f>Table333456789101217[[#This Row],[IP]]</f>
        <v>203.0.113.44/188.17.56.210</v>
      </c>
      <c r="C17" s="6" t="str">
        <f>Table333456789101217[[#This Row],[Carrier Code]]</f>
        <v>RE</v>
      </c>
      <c r="D17" s="53">
        <v>0</v>
      </c>
      <c r="E17" s="53">
        <v>0</v>
      </c>
      <c r="F17" s="18">
        <f>Table3334567891012112122232425272829303132[[#This Row],[Company Panel]]+Table33345678910121121222324252728293031[[#This Row],[MTD Company]]</f>
        <v>0</v>
      </c>
      <c r="G17" s="18">
        <f>Table3334567891012112122232425272829303132[[#This Row],[Our panel]]+Table33345678910121121222324252728293031[[#This Row],[MTD Panel]]</f>
        <v>0</v>
      </c>
      <c r="H17" s="13">
        <f>Table3334567891012112122232425272829303132[[#This Row],[Company Panel]]-Table3334567891012112122232425272829303132[[#This Row],[Our panel]]</f>
        <v>0</v>
      </c>
      <c r="I17" s="13">
        <f>Table3334567891012112122232425272829303132[[#This Row],[MTD Company]]-Table3334567891012112122232425272829303132[[#This Row],[MTD Panel]]</f>
        <v>0</v>
      </c>
    </row>
    <row r="18" spans="1:9">
      <c r="A18" s="11" t="str">
        <f>Table333456789101217[[#This Row],[Carrier]]</f>
        <v>Forge</v>
      </c>
      <c r="B18" s="5" t="str">
        <f>Table333456789101217[[#This Row],[IP]]</f>
        <v>112.54.89.168/112.54.89.138</v>
      </c>
      <c r="C18" s="6" t="str">
        <f>Table333456789101217[[#This Row],[Carrier Code]]</f>
        <v>FO</v>
      </c>
      <c r="D18" s="53">
        <v>26.7</v>
      </c>
      <c r="E18" s="53">
        <v>26.7</v>
      </c>
      <c r="F18" s="18">
        <f>Table3334567891012112122232425272829303132[[#This Row],[Company Panel]]+Table33345678910121121222324252728293031[[#This Row],[MTD Company]]</f>
        <v>644.88333333333344</v>
      </c>
      <c r="G18" s="18">
        <f>Table3334567891012112122232425272829303132[[#This Row],[Our panel]]+Table33345678910121121222324252728293031[[#This Row],[MTD Panel]]</f>
        <v>644.88333333333344</v>
      </c>
      <c r="H18" s="13">
        <f>Table3334567891012112122232425272829303132[[#This Row],[Company Panel]]-Table3334567891012112122232425272829303132[[#This Row],[Our panel]]</f>
        <v>0</v>
      </c>
      <c r="I18" s="13">
        <f>Table3334567891012112122232425272829303132[[#This Row],[MTD Company]]-Table3334567891012112122232425272829303132[[#This Row],[MTD Panel]]</f>
        <v>0</v>
      </c>
    </row>
    <row r="19" spans="1:9">
      <c r="A19" s="11" t="str">
        <f>Table333456789101217[[#This Row],[Carrier]]</f>
        <v>Ember</v>
      </c>
      <c r="B19" s="5" t="str">
        <f>Table333456789101217[[#This Row],[IP]]</f>
        <v>78.34.90.24/328.56.122.44/142.150.75.22</v>
      </c>
      <c r="C19" s="6" t="str">
        <f>Table333456789101217[[#This Row],[Carrier Code]]</f>
        <v>EM</v>
      </c>
      <c r="D19" s="53">
        <v>0</v>
      </c>
      <c r="E19" s="53">
        <v>0</v>
      </c>
      <c r="F19" s="18">
        <f>Table3334567891012112122232425272829303132[[#This Row],[Company Panel]]+Table33345678910121121222324252728293031[[#This Row],[MTD Company]]</f>
        <v>1.1499999999999999</v>
      </c>
      <c r="G19" s="18">
        <f>Table3334567891012112122232425272829303132[[#This Row],[Our panel]]+Table33345678910121121222324252728293031[[#This Row],[MTD Panel]]</f>
        <v>1.1499999999999999</v>
      </c>
      <c r="H19" s="13">
        <f>Table3334567891012112122232425272829303132[[#This Row],[Company Panel]]-Table3334567891012112122232425272829303132[[#This Row],[Our panel]]</f>
        <v>0</v>
      </c>
      <c r="I19" s="13">
        <f>Table3334567891012112122232425272829303132[[#This Row],[MTD Company]]-Table3334567891012112122232425272829303132[[#This Row],[MTD Panel]]</f>
        <v>0</v>
      </c>
    </row>
    <row r="20" spans="1:9">
      <c r="A20" s="11" t="str">
        <f>Table333456789101217[[#This Row],[Carrier]]</f>
        <v>Specter</v>
      </c>
      <c r="B20" s="5" t="str">
        <f>Table333456789101217[[#This Row],[IP]]</f>
        <v>205.60.34.150</v>
      </c>
      <c r="C20" s="6" t="str">
        <f>Table333456789101217[[#This Row],[Carrier Code]]</f>
        <v>SP</v>
      </c>
      <c r="D20" s="53">
        <v>32.966666666666669</v>
      </c>
      <c r="E20" s="53">
        <v>32.966666666666669</v>
      </c>
      <c r="F20" s="18">
        <f>Table3334567891012112122232425272829303132[[#This Row],[Company Panel]]+Table33345678910121121222324252728293031[[#This Row],[MTD Company]]</f>
        <v>44.916666666666671</v>
      </c>
      <c r="G20" s="18">
        <f>Table3334567891012112122232425272829303132[[#This Row],[Our panel]]+Table33345678910121121222324252728293031[[#This Row],[MTD Panel]]</f>
        <v>44.916666666666671</v>
      </c>
      <c r="H20" s="13">
        <f>Table3334567891012112122232425272829303132[[#This Row],[Company Panel]]-Table3334567891012112122232425272829303132[[#This Row],[Our panel]]</f>
        <v>0</v>
      </c>
      <c r="I20" s="13">
        <f>Table3334567891012112122232425272829303132[[#This Row],[MTD Company]]-Table3334567891012112122232425272829303132[[#This Row],[MTD Panel]]</f>
        <v>0</v>
      </c>
    </row>
    <row r="21" spans="1:9">
      <c r="A21" s="11" t="str">
        <f>Table333456789101217[[#This Row],[Carrier]]</f>
        <v>Throne</v>
      </c>
      <c r="B21" s="5" t="str">
        <f>Table333456789101217[[#This Row],[IP]]</f>
        <v>54.32.11.90/27.758.27.201/125.150.58.20</v>
      </c>
      <c r="C21" s="6" t="str">
        <f>Table333456789101217[[#This Row],[Carrier Code]]</f>
        <v>TH</v>
      </c>
      <c r="D21" s="53">
        <v>0</v>
      </c>
      <c r="E21" s="53">
        <v>0</v>
      </c>
      <c r="F21" s="18">
        <f>Table3334567891012112122232425272829303132[[#This Row],[Company Panel]]+Table33345678910121121222324252728293031[[#This Row],[MTD Company]]</f>
        <v>0</v>
      </c>
      <c r="G21" s="18">
        <f>Table3334567891012112122232425272829303132[[#This Row],[Our panel]]+Table33345678910121121222324252728293031[[#This Row],[MTD Panel]]</f>
        <v>0</v>
      </c>
      <c r="H21" s="13">
        <f>Table3334567891012112122232425272829303132[[#This Row],[Company Panel]]-Table3334567891012112122232425272829303132[[#This Row],[Our panel]]</f>
        <v>0</v>
      </c>
      <c r="I21" s="13">
        <f>Table3334567891012112122232425272829303132[[#This Row],[MTD Company]]-Table3334567891012112122232425272829303132[[#This Row],[MTD Panel]]</f>
        <v>0</v>
      </c>
    </row>
    <row r="22" spans="1:9">
      <c r="A22" s="11" t="str">
        <f>Table333456789101217[[#This Row],[Carrier]]</f>
        <v>Arcane</v>
      </c>
      <c r="B22" s="5" t="str">
        <f>Table333456789101217[[#This Row],[IP]]</f>
        <v>212.100.25.78/212.100.25.87</v>
      </c>
      <c r="C22" s="6" t="str">
        <f>Table333456789101217[[#This Row],[Carrier Code]]</f>
        <v>AR</v>
      </c>
      <c r="D22" s="53">
        <v>1545.6</v>
      </c>
      <c r="E22" s="53">
        <v>1545.6</v>
      </c>
      <c r="F22" s="18">
        <f>Table3334567891012112122232425272829303132[[#This Row],[Company Panel]]+Table33345678910121121222324252728293031[[#This Row],[MTD Company]]</f>
        <v>1626.35</v>
      </c>
      <c r="G22" s="18">
        <f>Table3334567891012112122232425272829303132[[#This Row],[Our panel]]+Table33345678910121121222324252728293031[[#This Row],[MTD Panel]]</f>
        <v>1626.35</v>
      </c>
      <c r="H22" s="13">
        <f>Table3334567891012112122232425272829303132[[#This Row],[Company Panel]]-Table3334567891012112122232425272829303132[[#This Row],[Our panel]]</f>
        <v>0</v>
      </c>
      <c r="I22" s="13">
        <f>Table3334567891012112122232425272829303132[[#This Row],[MTD Company]]-Table3334567891012112122232425272829303132[[#This Row],[MTD Panel]]</f>
        <v>0</v>
      </c>
    </row>
    <row r="23" spans="1:9">
      <c r="A23" s="11" t="str">
        <f>Table333456789101217[[#This Row],[Carrier]]</f>
        <v>Glitch</v>
      </c>
      <c r="B23" s="5" t="str">
        <f>Table333456789101217[[#This Row],[IP]]</f>
        <v>198.204.100.12/198.204.100.34/198.204.100.51</v>
      </c>
      <c r="C23" s="6" t="str">
        <f>Table333456789101217[[#This Row],[Carrier Code]]</f>
        <v>GL</v>
      </c>
      <c r="D23" s="53">
        <v>0</v>
      </c>
      <c r="E23" s="53">
        <v>0</v>
      </c>
      <c r="F23" s="18">
        <f>Table3334567891012112122232425272829303132[[#This Row],[Company Panel]]+Table33345678910121121222324252728293031[[#This Row],[MTD Company]]</f>
        <v>0</v>
      </c>
      <c r="G23" s="18">
        <f>Table3334567891012112122232425272829303132[[#This Row],[Our panel]]+Table33345678910121121222324252728293031[[#This Row],[MTD Panel]]</f>
        <v>0</v>
      </c>
      <c r="H23" s="13">
        <f>Table3334567891012112122232425272829303132[[#This Row],[Company Panel]]-Table3334567891012112122232425272829303132[[#This Row],[Our panel]]</f>
        <v>0</v>
      </c>
      <c r="I23" s="13">
        <f>Table3334567891012112122232425272829303132[[#This Row],[MTD Company]]-Table3334567891012112122232425272829303132[[#This Row],[MTD Panel]]</f>
        <v>0</v>
      </c>
    </row>
    <row r="24" spans="1:9">
      <c r="A24" s="11" t="str">
        <f>Table333456789101217[[#This Row],[Carrier]]</f>
        <v>Nitro</v>
      </c>
      <c r="B24" s="5" t="str">
        <f>Table333456789101217[[#This Row],[IP]]</f>
        <v>15.150.200.33/119.82.200.100</v>
      </c>
      <c r="C24" s="6" t="str">
        <f>Table333456789101217[[#This Row],[Carrier Code]]</f>
        <v>NI</v>
      </c>
      <c r="D24" s="53">
        <v>0</v>
      </c>
      <c r="E24" s="53">
        <v>0</v>
      </c>
      <c r="F24" s="18">
        <f>Table3334567891012112122232425272829303132[[#This Row],[Company Panel]]+Table33345678910121121222324252728293031[[#This Row],[MTD Company]]</f>
        <v>0</v>
      </c>
      <c r="G24" s="18">
        <f>Table3334567891012112122232425272829303132[[#This Row],[Our panel]]+Table33345678910121121222324252728293031[[#This Row],[MTD Panel]]</f>
        <v>0</v>
      </c>
      <c r="H24" s="13">
        <f>Table3334567891012112122232425272829303132[[#This Row],[Company Panel]]-Table3334567891012112122232425272829303132[[#This Row],[Our panel]]</f>
        <v>0</v>
      </c>
      <c r="I24" s="13">
        <f>Table3334567891012112122232425272829303132[[#This Row],[MTD Company]]-Table3334567891012112122232425272829303132[[#This Row],[MTD Panel]]</f>
        <v>0</v>
      </c>
    </row>
    <row r="25" spans="1:9">
      <c r="A25" s="11" t="str">
        <f>Table333456789101217[[#This Row],[Carrier]]</f>
        <v>Drip</v>
      </c>
      <c r="B25" s="5" t="str">
        <f>Table333456789101217[[#This Row],[IP]]</f>
        <v>84.13.76.190/90.945.80.11/198.160.234.5</v>
      </c>
      <c r="C25" s="6" t="str">
        <f>Table333456789101217[[#This Row],[Carrier Code]]</f>
        <v>DR</v>
      </c>
      <c r="D25" s="53">
        <v>0</v>
      </c>
      <c r="E25" s="53">
        <v>0</v>
      </c>
      <c r="F25" s="18">
        <f>Table3334567891012112122232425272829303132[[#This Row],[Company Panel]]+Table33345678910121121222324252728293031[[#This Row],[MTD Company]]</f>
        <v>0</v>
      </c>
      <c r="G25" s="18">
        <f>Table3334567891012112122232425272829303132[[#This Row],[Our panel]]+Table33345678910121121222324252728293031[[#This Row],[MTD Panel]]</f>
        <v>0</v>
      </c>
      <c r="H25" s="13">
        <f>Table3334567891012112122232425272829303132[[#This Row],[Company Panel]]-Table3334567891012112122232425272829303132[[#This Row],[Our panel]]</f>
        <v>0</v>
      </c>
      <c r="I25" s="13">
        <f>Table3334567891012112122232425272829303132[[#This Row],[MTD Company]]-Table3334567891012112122232425272829303132[[#This Row],[MTD Panel]]</f>
        <v>0</v>
      </c>
    </row>
    <row r="26" spans="1:9">
      <c r="A26" s="11" t="str">
        <f>Table333456789101217[[#This Row],[Carrier]]</f>
        <v>Glide</v>
      </c>
      <c r="B26" s="5" t="str">
        <f>Table333456789101217[[#This Row],[IP]]</f>
        <v>120.45.12.25/85.739.221.80/85.739.221.93</v>
      </c>
      <c r="C26" s="6" t="str">
        <f>Table333456789101217[[#This Row],[Carrier Code]]</f>
        <v>GI</v>
      </c>
      <c r="D26" s="53">
        <v>0</v>
      </c>
      <c r="E26" s="53">
        <v>0</v>
      </c>
      <c r="F26" s="18">
        <f>Table3334567891012112122232425272829303132[[#This Row],[Company Panel]]+Table33345678910121121222324252728293031[[#This Row],[MTD Company]]</f>
        <v>0</v>
      </c>
      <c r="G26" s="18">
        <f>Table3334567891012112122232425272829303132[[#This Row],[Our panel]]+Table33345678910121121222324252728293031[[#This Row],[MTD Panel]]</f>
        <v>0</v>
      </c>
      <c r="H26" s="13">
        <f>Table3334567891012112122232425272829303132[[#This Row],[Company Panel]]-Table3334567891012112122232425272829303132[[#This Row],[Our panel]]</f>
        <v>0</v>
      </c>
      <c r="I26" s="13">
        <f>Table3334567891012112122232425272829303132[[#This Row],[MTD Company]]-Table3334567891012112122232425272829303132[[#This Row],[MTD Panel]]</f>
        <v>0</v>
      </c>
    </row>
    <row r="27" spans="1:9">
      <c r="A27" s="11" t="str">
        <f>Table333456789101217[[#This Row],[Carrier]]</f>
        <v>Orbit</v>
      </c>
      <c r="B27" s="5" t="str">
        <f>Table333456789101217[[#This Row],[IP]]</f>
        <v>176.98.54.112/60.110.154.91/60.110.155.162</v>
      </c>
      <c r="C27" s="6" t="str">
        <f>Table333456789101217[[#This Row],[Carrier Code]]</f>
        <v>OR</v>
      </c>
      <c r="D27" s="53">
        <v>0</v>
      </c>
      <c r="E27" s="53">
        <v>0</v>
      </c>
      <c r="F27" s="18">
        <f>Table3334567891012112122232425272829303132[[#This Row],[Company Panel]]+Table33345678910121121222324252728293031[[#This Row],[MTD Company]]</f>
        <v>0</v>
      </c>
      <c r="G27" s="18">
        <f>Table3334567891012112122232425272829303132[[#This Row],[Our panel]]+Table33345678910121121222324252728293031[[#This Row],[MTD Panel]]</f>
        <v>0</v>
      </c>
      <c r="H27" s="13">
        <f>Table3334567891012112122232425272829303132[[#This Row],[Company Panel]]-Table3334567891012112122232425272829303132[[#This Row],[Our panel]]</f>
        <v>0</v>
      </c>
      <c r="I27" s="13">
        <f>Table3334567891012112122232425272829303132[[#This Row],[MTD Company]]-Table3334567891012112122232425272829303132[[#This Row],[MTD Panel]]</f>
        <v>0</v>
      </c>
    </row>
    <row r="28" spans="1:9">
      <c r="A28" s="11" t="str">
        <f>Table333456789101217[[#This Row],[Carrier]]</f>
        <v>Thunder</v>
      </c>
      <c r="B28" s="5" t="str">
        <f>Table333456789101217[[#This Row],[IP]]</f>
        <v>67.102.200.9/81.905.48.847/143.235.100.34</v>
      </c>
      <c r="C28" s="6" t="str">
        <f>Table333456789101217[[#This Row],[Carrier Code]]</f>
        <v>TU</v>
      </c>
      <c r="D28" s="53">
        <v>36.4</v>
      </c>
      <c r="E28" s="53">
        <v>36.4</v>
      </c>
      <c r="F28" s="18">
        <f>Table3334567891012112122232425272829303132[[#This Row],[Company Panel]]+Table33345678910121121222324252728293031[[#This Row],[MTD Company]]</f>
        <v>619.43333333333317</v>
      </c>
      <c r="G28" s="18">
        <f>Table3334567891012112122232425272829303132[[#This Row],[Our panel]]+Table33345678910121121222324252728293031[[#This Row],[MTD Panel]]</f>
        <v>619.43333333333317</v>
      </c>
      <c r="H28" s="13">
        <f>Table3334567891012112122232425272829303132[[#This Row],[Company Panel]]-Table3334567891012112122232425272829303132[[#This Row],[Our panel]]</f>
        <v>0</v>
      </c>
      <c r="I28" s="13">
        <f>Table3334567891012112122232425272829303132[[#This Row],[MTD Company]]-Table3334567891012112122232425272829303132[[#This Row],[MTD Panel]]</f>
        <v>0</v>
      </c>
    </row>
    <row r="29" spans="1:9">
      <c r="A29" s="11" t="str">
        <f>Table333456789101217[[#This Row],[Carrier]]</f>
        <v>Glimmer</v>
      </c>
      <c r="B29" s="5" t="str">
        <f>Table333456789101217[[#This Row],[IP]]</f>
        <v>99.22.211.100/71.54.85.344/71.54.85.218</v>
      </c>
      <c r="C29" s="6" t="str">
        <f>Table333456789101217[[#This Row],[Carrier Code]]</f>
        <v>GM</v>
      </c>
      <c r="D29" s="53">
        <v>0</v>
      </c>
      <c r="E29" s="53">
        <v>0</v>
      </c>
      <c r="F29" s="18">
        <f>Table3334567891012112122232425272829303132[[#This Row],[Company Panel]]+Table33345678910121121222324252728293031[[#This Row],[MTD Company]]</f>
        <v>0</v>
      </c>
      <c r="G29" s="18">
        <f>Table3334567891012112122232425272829303132[[#This Row],[Our panel]]+Table33345678910121121222324252728293031[[#This Row],[MTD Panel]]</f>
        <v>0</v>
      </c>
      <c r="H29" s="13">
        <f>Table3334567891012112122232425272829303132[[#This Row],[Company Panel]]-Table3334567891012112122232425272829303132[[#This Row],[Our panel]]</f>
        <v>0</v>
      </c>
      <c r="I29" s="13">
        <f>Table3334567891012112122232425272829303132[[#This Row],[MTD Company]]-Table3334567891012112122232425272829303132[[#This Row],[MTD Panel]]</f>
        <v>0</v>
      </c>
    </row>
    <row r="30" spans="1:9">
      <c r="A30" s="11" t="str">
        <f>Table333456789101217[[#This Row],[Carrier]]</f>
        <v>Fragment</v>
      </c>
      <c r="B30" s="5" t="str">
        <f>Table333456789101217[[#This Row],[IP]]</f>
        <v>203.0.113.56/195.56.101.10</v>
      </c>
      <c r="C30" s="6" t="str">
        <f>Table333456789101217[[#This Row],[Carrier Code]]</f>
        <v>FR</v>
      </c>
      <c r="D30" s="53">
        <v>0</v>
      </c>
      <c r="E30" s="53">
        <v>0</v>
      </c>
      <c r="F30" s="18">
        <f>Table3334567891012112122232425272829303132[[#This Row],[Company Panel]]+Table33345678910121121222324252728293031[[#This Row],[MTD Company]]</f>
        <v>0</v>
      </c>
      <c r="G30" s="18">
        <f>Table3334567891012112122232425272829303132[[#This Row],[Our panel]]+Table33345678910121121222324252728293031[[#This Row],[MTD Panel]]</f>
        <v>0</v>
      </c>
      <c r="H30" s="13">
        <f>Table3334567891012112122232425272829303132[[#This Row],[Company Panel]]-Table3334567891012112122232425272829303132[[#This Row],[Our panel]]</f>
        <v>0</v>
      </c>
      <c r="I30" s="13">
        <f>Table3334567891012112122232425272829303132[[#This Row],[MTD Company]]-Table3334567891012112122232425272829303132[[#This Row],[MTD Panel]]</f>
        <v>0</v>
      </c>
    </row>
    <row r="31" spans="1:9">
      <c r="A31" s="11" t="str">
        <f>Table333456789101217[[#This Row],[Carrier]]</f>
        <v>Dusk</v>
      </c>
      <c r="B31" s="5" t="str">
        <f>Table333456789101217[[#This Row],[IP]]</f>
        <v>33.44.55.66/33.44.55.84/33.44.55.122/214.68.90.122</v>
      </c>
      <c r="C31" s="6" t="str">
        <f>Table333456789101217[[#This Row],[Carrier Code]]</f>
        <v>DK</v>
      </c>
      <c r="D31" s="53">
        <v>0</v>
      </c>
      <c r="E31" s="53">
        <v>0</v>
      </c>
      <c r="F31" s="18">
        <f>Table3334567891012112122232425272829303132[[#This Row],[Company Panel]]+Table33345678910121121222324252728293031[[#This Row],[MTD Company]]</f>
        <v>0</v>
      </c>
      <c r="G31" s="18">
        <f>Table3334567891012112122232425272829303132[[#This Row],[Our panel]]+Table33345678910121121222324252728293031[[#This Row],[MTD Panel]]</f>
        <v>0</v>
      </c>
      <c r="H31" s="13">
        <f>Table3334567891012112122232425272829303132[[#This Row],[Company Panel]]-Table3334567891012112122232425272829303132[[#This Row],[Our panel]]</f>
        <v>0</v>
      </c>
      <c r="I31" s="13">
        <f>Table3334567891012112122232425272829303132[[#This Row],[MTD Company]]-Table3334567891012112122232425272829303132[[#This Row],[MTD Panel]]</f>
        <v>0</v>
      </c>
    </row>
    <row r="32" spans="1:9">
      <c r="A32" s="11" t="str">
        <f>Table333456789101217[[#This Row],[Carrier]]</f>
        <v>Breeze</v>
      </c>
      <c r="B32" s="5" t="str">
        <f>Table333456789101217[[#This Row],[IP]]</f>
        <v>199.123.87.45/199.123.34.52/77.189.22.56</v>
      </c>
      <c r="C32" s="6" t="str">
        <f>Table333456789101217[[#This Row],[Carrier Code]]</f>
        <v>BR</v>
      </c>
      <c r="D32" s="53">
        <v>0</v>
      </c>
      <c r="E32" s="53">
        <v>0</v>
      </c>
      <c r="F32" s="18">
        <f>Table3334567891012112122232425272829303132[[#This Row],[Company Panel]]+Table33345678910121121222324252728293031[[#This Row],[MTD Company]]</f>
        <v>0</v>
      </c>
      <c r="G32" s="18">
        <f>Table3334567891012112122232425272829303132[[#This Row],[Our panel]]+Table33345678910121121222324252728293031[[#This Row],[MTD Panel]]</f>
        <v>0</v>
      </c>
      <c r="H32" s="13">
        <f>Table3334567891012112122232425272829303132[[#This Row],[Company Panel]]-Table3334567891012112122232425272829303132[[#This Row],[Our panel]]</f>
        <v>0</v>
      </c>
      <c r="I32" s="13">
        <f>Table3334567891012112122232425272829303132[[#This Row],[MTD Company]]-Table3334567891012112122232425272829303132[[#This Row],[MTD Panel]]</f>
        <v>0</v>
      </c>
    </row>
    <row r="33" spans="1:9">
      <c r="A33" s="11" t="str">
        <f>Table333456789101217[[#This Row],[Carrier]]</f>
        <v>Clutch</v>
      </c>
      <c r="B33" s="5" t="str">
        <f>Table333456789101217[[#This Row],[IP]]</f>
        <v>55.66.77.88/84.126.79.28/152.233.45.11</v>
      </c>
      <c r="C33" s="6" t="str">
        <f>Table333456789101217[[#This Row],[Carrier Code]]</f>
        <v>CL</v>
      </c>
      <c r="D33" s="53">
        <v>0</v>
      </c>
      <c r="E33" s="53">
        <v>0</v>
      </c>
      <c r="F33" s="18">
        <f>Table3334567891012112122232425272829303132[[#This Row],[Company Panel]]+Table33345678910121121222324252728293031[[#This Row],[MTD Company]]</f>
        <v>0</v>
      </c>
      <c r="G33" s="18">
        <f>Table3334567891012112122232425272829303132[[#This Row],[Our panel]]+Table33345678910121121222324252728293031[[#This Row],[MTD Panel]]</f>
        <v>0</v>
      </c>
      <c r="H33" s="13">
        <f>Table3334567891012112122232425272829303132[[#This Row],[Company Panel]]-Table3334567891012112122232425272829303132[[#This Row],[Our panel]]</f>
        <v>0</v>
      </c>
      <c r="I33" s="13">
        <f>Table3334567891012112122232425272829303132[[#This Row],[MTD Company]]-Table3334567891012112122232425272829303132[[#This Row],[MTD Panel]]</f>
        <v>0</v>
      </c>
    </row>
    <row r="34" spans="1:9">
      <c r="A34" s="11" t="str">
        <f>Table333456789101217[[#This Row],[Carrier]]</f>
        <v>Haze</v>
      </c>
      <c r="B34" s="5" t="str">
        <f>Table333456789101217[[#This Row],[IP]]</f>
        <v>230.111.44.56</v>
      </c>
      <c r="C34" s="6" t="str">
        <f>Table333456789101217[[#This Row],[Carrier Code]]</f>
        <v>HZ</v>
      </c>
      <c r="D34" s="53">
        <v>886</v>
      </c>
      <c r="E34" s="53">
        <v>886</v>
      </c>
      <c r="F34" s="18">
        <f>Table3334567891012112122232425272829303132[[#This Row],[Company Panel]]+Table33345678910121121222324252728293031[[#This Row],[MTD Company]]</f>
        <v>31601.683333333331</v>
      </c>
      <c r="G34" s="18">
        <f>Table3334567891012112122232425272829303132[[#This Row],[Our panel]]+Table33345678910121121222324252728293031[[#This Row],[MTD Panel]]</f>
        <v>31601.683333333331</v>
      </c>
      <c r="H34" s="13">
        <f>Table3334567891012112122232425272829303132[[#This Row],[Company Panel]]-Table3334567891012112122232425272829303132[[#This Row],[Our panel]]</f>
        <v>0</v>
      </c>
      <c r="I34" s="13">
        <f>Table3334567891012112122232425272829303132[[#This Row],[MTD Company]]-Table3334567891012112122232425272829303132[[#This Row],[MTD Panel]]</f>
        <v>0</v>
      </c>
    </row>
    <row r="35" spans="1:9">
      <c r="A35" s="11" t="str">
        <f>Table333456789101217[[#This Row],[Carrier]]</f>
        <v>Vault</v>
      </c>
      <c r="B35" s="5" t="str">
        <f>Table333456789101217[[#This Row],[IP]]</f>
        <v>213.189.94.5/213.189.94.7/111.180.64.222</v>
      </c>
      <c r="C35" s="6" t="str">
        <f>Table333456789101217[[#This Row],[Carrier Code]]</f>
        <v>VA</v>
      </c>
      <c r="D35" s="53">
        <v>0</v>
      </c>
      <c r="E35" s="53">
        <v>0</v>
      </c>
      <c r="F35" s="18">
        <f>Table3334567891012112122232425272829303132[[#This Row],[Company Panel]]+Table33345678910121121222324252728293031[[#This Row],[MTD Company]]</f>
        <v>0</v>
      </c>
      <c r="G35" s="18">
        <f>Table3334567891012112122232425272829303132[[#This Row],[Our panel]]+Table33345678910121121222324252728293031[[#This Row],[MTD Panel]]</f>
        <v>0</v>
      </c>
      <c r="H35" s="13">
        <f>Table3334567891012112122232425272829303132[[#This Row],[Company Panel]]-Table3334567891012112122232425272829303132[[#This Row],[Our panel]]</f>
        <v>0</v>
      </c>
      <c r="I35" s="13">
        <f>Table3334567891012112122232425272829303132[[#This Row],[MTD Company]]-Table3334567891012112122232425272829303132[[#This Row],[MTD Panel]]</f>
        <v>0</v>
      </c>
    </row>
    <row r="36" spans="1:9">
      <c r="A36" s="11" t="str">
        <f>Table333456789101217[[#This Row],[Carrier]]</f>
        <v>Scatter</v>
      </c>
      <c r="B36" s="5" t="str">
        <f>Table333456789101217[[#This Row],[IP]]</f>
        <v>14.123.45.67/168.251.90.15</v>
      </c>
      <c r="C36" s="6" t="str">
        <f>Table333456789101217[[#This Row],[Carrier Code]]</f>
        <v>SC</v>
      </c>
      <c r="D36" s="53">
        <v>69.13333333333334</v>
      </c>
      <c r="E36" s="53">
        <v>69.13333333333334</v>
      </c>
      <c r="F36" s="18">
        <f>Table3334567891012112122232425272829303132[[#This Row],[Company Panel]]+Table33345678910121121222324252728293031[[#This Row],[MTD Company]]</f>
        <v>1570.0166666666667</v>
      </c>
      <c r="G36" s="18">
        <f>Table3334567891012112122232425272829303132[[#This Row],[Our panel]]+Table33345678910121121222324252728293031[[#This Row],[MTD Panel]]</f>
        <v>1570.0166666666667</v>
      </c>
      <c r="H36" s="13">
        <f>Table3334567891012112122232425272829303132[[#This Row],[Company Panel]]-Table3334567891012112122232425272829303132[[#This Row],[Our panel]]</f>
        <v>0</v>
      </c>
      <c r="I36" s="13">
        <f>Table3334567891012112122232425272829303132[[#This Row],[MTD Company]]-Table3334567891012112122232425272829303132[[#This Row],[MTD Panel]]</f>
        <v>0</v>
      </c>
    </row>
    <row r="37" spans="1:9">
      <c r="A37" s="11" t="str">
        <f>Table333456789101217[[#This Row],[Carrier]]</f>
        <v>Hammer</v>
      </c>
      <c r="B37" s="5" t="str">
        <f>Table333456789101217[[#This Row],[IP]]</f>
        <v>200.111.78.9/200.111.236.62/200.111.823.89/137.79.48.56</v>
      </c>
      <c r="C37" s="6" t="str">
        <f>Table333456789101217[[#This Row],[Carrier Code]]</f>
        <v>HA</v>
      </c>
      <c r="D37" s="53">
        <v>0</v>
      </c>
      <c r="E37" s="53">
        <v>0</v>
      </c>
      <c r="F37" s="18">
        <f>Table3334567891012112122232425272829303132[[#This Row],[Company Panel]]+Table33345678910121121222324252728293031[[#This Row],[MTD Company]]</f>
        <v>0</v>
      </c>
      <c r="G37" s="18">
        <f>Table3334567891012112122232425272829303132[[#This Row],[Our panel]]+Table33345678910121121222324252728293031[[#This Row],[MTD Panel]]</f>
        <v>0</v>
      </c>
      <c r="H37" s="72">
        <f>Table3334567891012112122232425272829303132[[#This Row],[Company Panel]]-Table3334567891012112122232425272829303132[[#This Row],[Our panel]]</f>
        <v>0</v>
      </c>
      <c r="I37" s="72">
        <f>Table3334567891012112122232425272829303132[[#This Row],[MTD Company]]-Table3334567891012112122232425272829303132[[#This Row],[MTD Panel]]</f>
        <v>0</v>
      </c>
    </row>
    <row r="38" spans="1:9">
      <c r="A38" s="11" t="str">
        <f>Table333456789101217[[#This Row],[Carrier]]</f>
        <v>Smudge</v>
      </c>
      <c r="B38" s="5" t="str">
        <f>Table333456789101217[[#This Row],[IP]]</f>
        <v>88.99.233.56/54.71.99.234</v>
      </c>
      <c r="C38" s="6" t="str">
        <f>Table333456789101217[[#This Row],[Carrier Code]]</f>
        <v>SM</v>
      </c>
      <c r="D38" s="53">
        <v>11.3</v>
      </c>
      <c r="E38" s="53">
        <v>11.3</v>
      </c>
      <c r="F38" s="18">
        <f>Table3334567891012112122232425272829303132[[#This Row],[Company Panel]]+Table33345678910121121222324252728293031[[#This Row],[MTD Company]]</f>
        <v>407.88333333333333</v>
      </c>
      <c r="G38" s="18">
        <f>Table3334567891012112122232425272829303132[[#This Row],[Our panel]]+Table33345678910121121222324252728293031[[#This Row],[MTD Panel]]</f>
        <v>407.88333333333333</v>
      </c>
      <c r="H38" s="72">
        <f>Table3334567891012112122232425272829303132[[#This Row],[Company Panel]]-Table3334567891012112122232425272829303132[[#This Row],[Our panel]]</f>
        <v>0</v>
      </c>
      <c r="I38" s="72">
        <f>Table3334567891012112122232425272829303132[[#This Row],[MTD Company]]-Table3334567891012112122232425272829303132[[#This Row],[MTD Panel]]</f>
        <v>0</v>
      </c>
    </row>
    <row r="39" spans="1:9">
      <c r="A39" s="11" t="str">
        <f>Table333456789101217[[#This Row],[Carrier]]</f>
        <v>Quirk</v>
      </c>
      <c r="B39" s="5" t="str">
        <f>Table333456789101217[[#This Row],[IP]]</f>
        <v>62.45.100.31/62.45.100.15/62.45.100.65/211.95.102.6</v>
      </c>
      <c r="C39" s="6" t="str">
        <f>Table333456789101217[[#This Row],[Carrier Code]]</f>
        <v>QU</v>
      </c>
      <c r="D39" s="53">
        <v>836.9</v>
      </c>
      <c r="E39" s="53">
        <v>836.9</v>
      </c>
      <c r="F39" s="18">
        <f>Table3334567891012112122232425272829303132[[#This Row],[Company Panel]]+Table33345678910121121222324252728293031[[#This Row],[MTD Company]]</f>
        <v>40990.283333333326</v>
      </c>
      <c r="G39" s="18">
        <f>Table3334567891012112122232425272829303132[[#This Row],[Our panel]]+Table33345678910121121222324252728293031[[#This Row],[MTD Panel]]</f>
        <v>40990.283333333326</v>
      </c>
      <c r="H39" s="72">
        <f>Table3334567891012112122232425272829303132[[#This Row],[Company Panel]]-Table3334567891012112122232425272829303132[[#This Row],[Our panel]]</f>
        <v>0</v>
      </c>
      <c r="I39" s="72">
        <f>Table3334567891012112122232425272829303132[[#This Row],[MTD Company]]-Table3334567891012112122232425272829303132[[#This Row],[MTD Panel]]</f>
        <v>0</v>
      </c>
    </row>
    <row r="40" spans="1:9">
      <c r="A40" s="11" t="str">
        <f>Table333456789101217[[#This Row],[Carrier]]</f>
        <v>Vortex</v>
      </c>
      <c r="B40" s="5" t="str">
        <f>Table333456789101217[[#This Row],[IP]]</f>
        <v>179.250.91.8/29.540.67.457/94.25.34.78/183.144.27.18</v>
      </c>
      <c r="C40" s="6" t="str">
        <f>Table333456789101217[[#This Row],[Carrier Code]]</f>
        <v>VT</v>
      </c>
      <c r="D40" s="53">
        <v>0</v>
      </c>
      <c r="E40" s="53">
        <v>0</v>
      </c>
      <c r="F40" s="18">
        <f>Table3334567891012112122232425272829303132[[#This Row],[Company Panel]]+Table33345678910121121222324252728293031[[#This Row],[MTD Company]]</f>
        <v>0.95</v>
      </c>
      <c r="G40" s="18">
        <f>Table3334567891012112122232425272829303132[[#This Row],[Our panel]]+Table33345678910121121222324252728293031[[#This Row],[MTD Panel]]</f>
        <v>0.95</v>
      </c>
      <c r="H40" s="72">
        <f>Table3334567891012112122232425272829303132[[#This Row],[Company Panel]]-Table3334567891012112122232425272829303132[[#This Row],[Our panel]]</f>
        <v>0</v>
      </c>
      <c r="I40" s="72">
        <f>Table3334567891012112122232425272829303132[[#This Row],[MTD Company]]-Table3334567891012112122232425272829303132[[#This Row],[MTD Panel]]</f>
        <v>0</v>
      </c>
    </row>
    <row r="41" spans="1:9">
      <c r="A41" s="11" t="str">
        <f>Table333456789101217[[#This Row],[Carrier]]</f>
        <v>Void</v>
      </c>
      <c r="B41" s="5" t="str">
        <f>Table333456789101217[[#This Row],[IP]]</f>
        <v>156.34.123.11/156.34.123.25/156.34.123.62/92.44.233.110</v>
      </c>
      <c r="C41" s="6" t="str">
        <f>Table333456789101217[[#This Row],[Carrier Code]]</f>
        <v>VO</v>
      </c>
      <c r="D41" s="53">
        <v>22.183333333333334</v>
      </c>
      <c r="E41" s="53">
        <v>22.183333333333334</v>
      </c>
      <c r="F41" s="18">
        <f>Table3334567891012112122232425272829303132[[#This Row],[Company Panel]]+Table33345678910121121222324252728293031[[#This Row],[MTD Company]]</f>
        <v>944.8499999999998</v>
      </c>
      <c r="G41" s="18">
        <f>Table3334567891012112122232425272829303132[[#This Row],[Our panel]]+Table33345678910121121222324252728293031[[#This Row],[MTD Panel]]</f>
        <v>944.8499999999998</v>
      </c>
      <c r="H41" s="72">
        <f>Table3334567891012112122232425272829303132[[#This Row],[Company Panel]]-Table3334567891012112122232425272829303132[[#This Row],[Our panel]]</f>
        <v>0</v>
      </c>
      <c r="I41" s="72">
        <f>Table3334567891012112122232425272829303132[[#This Row],[MTD Company]]-Table3334567891012112122232425272829303132[[#This Row],[MTD Panel]]</f>
        <v>0</v>
      </c>
    </row>
    <row r="42" spans="1:9">
      <c r="A42" s="11" t="str">
        <f>Table333456789101217[[#This Row],[Carrier]]</f>
        <v>Midnight</v>
      </c>
      <c r="B42" s="5" t="str">
        <f>Table333456789101217[[#This Row],[IP]]</f>
        <v>134.77.22.4/23.97.150.8</v>
      </c>
      <c r="C42" s="6" t="str">
        <f>Table333456789101217[[#This Row],[Carrier Code]]</f>
        <v>MI</v>
      </c>
      <c r="D42" s="53">
        <v>191.96666666666667</v>
      </c>
      <c r="E42" s="53">
        <v>191.96666666666667</v>
      </c>
      <c r="F42" s="18">
        <f>Table3334567891012112122232425272829303132[[#This Row],[Company Panel]]+Table33345678910121121222324252728293031[[#This Row],[MTD Company]]</f>
        <v>7744.5166666666664</v>
      </c>
      <c r="G42" s="18">
        <f>Table3334567891012112122232425272829303132[[#This Row],[Our panel]]+Table33345678910121121222324252728293031[[#This Row],[MTD Panel]]</f>
        <v>7744.5166666666664</v>
      </c>
      <c r="H42" s="72">
        <f>Table3334567891012112122232425272829303132[[#This Row],[Company Panel]]-Table3334567891012112122232425272829303132[[#This Row],[Our panel]]</f>
        <v>0</v>
      </c>
      <c r="I42" s="72">
        <f>Table3334567891012112122232425272829303132[[#This Row],[MTD Company]]-Table3334567891012112122232425272829303132[[#This Row],[MTD Panel]]</f>
        <v>0</v>
      </c>
    </row>
    <row r="43" spans="1:9">
      <c r="A43" s="11" t="str">
        <f>Table333456789101217[[#This Row],[Carrier]]</f>
        <v>Autumn</v>
      </c>
      <c r="B43" s="5" t="str">
        <f>Table333456789101217[[#This Row],[IP]]</f>
        <v>202.54.210.88/12.331.94.73/64.19.28.175</v>
      </c>
      <c r="C43" s="6" t="str">
        <f>Table333456789101217[[#This Row],[Carrier Code]]</f>
        <v>AU</v>
      </c>
      <c r="D43" s="53">
        <v>5.8166666666666664</v>
      </c>
      <c r="E43" s="53">
        <v>5.8166666666666664</v>
      </c>
      <c r="F43" s="18">
        <f>Table3334567891012112122232425272829303132[[#This Row],[Company Panel]]+Table33345678910121121222324252728293031[[#This Row],[MTD Company]]</f>
        <v>270.93333333333334</v>
      </c>
      <c r="G43" s="18">
        <f>Table3334567891012112122232425272829303132[[#This Row],[Our panel]]+Table33345678910121121222324252728293031[[#This Row],[MTD Panel]]</f>
        <v>270.93333333333334</v>
      </c>
      <c r="H43" s="72">
        <f>Table3334567891012112122232425272829303132[[#This Row],[Company Panel]]-Table3334567891012112122232425272829303132[[#This Row],[Our panel]]</f>
        <v>0</v>
      </c>
      <c r="I43" s="72">
        <f>Table3334567891012112122232425272829303132[[#This Row],[MTD Company]]-Table3334567891012112122232425272829303132[[#This Row],[MTD Panel]]</f>
        <v>0</v>
      </c>
    </row>
    <row r="44" spans="1:9">
      <c r="A44" s="11" t="str">
        <f>Table333456789101217[[#This Row],[Carrier]]</f>
        <v>Mystic</v>
      </c>
      <c r="B44" s="5" t="str">
        <f>Table333456789101217[[#This Row],[IP]]</f>
        <v>51.233.21.76/82.115.35.60/82.115.35.85</v>
      </c>
      <c r="C44" s="6" t="str">
        <f>Table333456789101217[[#This Row],[Carrier Code]]</f>
        <v>MY</v>
      </c>
      <c r="D44" s="53">
        <v>0</v>
      </c>
      <c r="E44" s="53">
        <v>0</v>
      </c>
      <c r="F44" s="18">
        <f>Table3334567891012112122232425272829303132[[#This Row],[Company Panel]]+Table33345678910121121222324252728293031[[#This Row],[MTD Company]]</f>
        <v>0</v>
      </c>
      <c r="G44" s="18">
        <f>Table3334567891012112122232425272829303132[[#This Row],[Our panel]]+Table33345678910121121222324252728293031[[#This Row],[MTD Panel]]</f>
        <v>0</v>
      </c>
      <c r="H44" s="72">
        <f>Table3334567891012112122232425272829303132[[#This Row],[Company Panel]]-Table3334567891012112122232425272829303132[[#This Row],[Our panel]]</f>
        <v>0</v>
      </c>
      <c r="I44" s="72">
        <f>Table3334567891012112122232425272829303132[[#This Row],[MTD Company]]-Table3334567891012112122232425272829303132[[#This Row],[MTD Panel]]</f>
        <v>0</v>
      </c>
    </row>
    <row r="45" spans="1:9">
      <c r="A45" s="11" t="str">
        <f>Table333456789101217[[#This Row],[Carrier]]</f>
        <v>Clover</v>
      </c>
      <c r="B45" s="5" t="str">
        <f>Table333456789101217[[#This Row],[IP]]</f>
        <v>210.150.12.45/84.50.212.66/135.113.88.9</v>
      </c>
      <c r="C45" s="6" t="str">
        <f>Table333456789101217[[#This Row],[Carrier Code]]</f>
        <v>CO</v>
      </c>
      <c r="D45" s="53">
        <v>105.93333333333334</v>
      </c>
      <c r="E45" s="53">
        <v>105.93333333333334</v>
      </c>
      <c r="F45" s="18">
        <f>Table3334567891012112122232425272829303132[[#This Row],[Company Panel]]+Table33345678910121121222324252728293031[[#This Row],[MTD Company]]</f>
        <v>35235.100000000013</v>
      </c>
      <c r="G45" s="18">
        <f>Table3334567891012112122232425272829303132[[#This Row],[Our panel]]+Table33345678910121121222324252728293031[[#This Row],[MTD Panel]]</f>
        <v>35235.100000000013</v>
      </c>
      <c r="H45" s="13">
        <f>Table3334567891012112122232425272829303132[[#This Row],[Company Panel]]-Table3334567891012112122232425272829303132[[#This Row],[Our panel]]</f>
        <v>0</v>
      </c>
      <c r="I45" s="13">
        <f>Table3334567891012112122232425272829303132[[#This Row],[MTD Company]]-Table3334567891012112122232425272829303132[[#This Row],[MTD Panel]]</f>
        <v>0</v>
      </c>
    </row>
    <row r="46" spans="1:9">
      <c r="A46" s="11" t="str">
        <f>Table333456789101217[[#This Row],[Carrier]]</f>
        <v>Hunter</v>
      </c>
      <c r="B46" s="5" t="str">
        <f>Table333456789101217[[#This Row],[IP]]</f>
        <v>170.199.20.87/13.693.39.280/78.30.123.47</v>
      </c>
      <c r="C46" s="6" t="str">
        <f>Table333456789101217[[#This Row],[Carrier Code]]</f>
        <v>HU</v>
      </c>
      <c r="D46" s="53">
        <v>423.8</v>
      </c>
      <c r="E46" s="53">
        <v>423.8</v>
      </c>
      <c r="F46" s="18">
        <f>Table3334567891012112122232425272829303132[[#This Row],[Company Panel]]+Table33345678910121121222324252728293031[[#This Row],[MTD Company]]</f>
        <v>17818.716666666667</v>
      </c>
      <c r="G46" s="18">
        <f>Table3334567891012112122232425272829303132[[#This Row],[Our panel]]+Table33345678910121121222324252728293031[[#This Row],[MTD Panel]]</f>
        <v>17818.716666666667</v>
      </c>
      <c r="H46" s="13">
        <f>Table3334567891012112122232425272829303132[[#This Row],[Company Panel]]-Table3334567891012112122232425272829303132[[#This Row],[Our panel]]</f>
        <v>0</v>
      </c>
      <c r="I46" s="13">
        <f>Table3334567891012112122232425272829303132[[#This Row],[MTD Company]]-Table3334567891012112122232425272829303132[[#This Row],[MTD Panel]]</f>
        <v>0</v>
      </c>
    </row>
    <row r="47" spans="1:9">
      <c r="A47" s="11" t="str">
        <f>Table333456789101217[[#This Row],[Carrier]]</f>
        <v>Invaded</v>
      </c>
      <c r="B47" s="5" t="str">
        <f>Table333456789101217[[#This Row],[IP]]</f>
        <v>182.67.99.120/80.518.230.410/26.847.95.107/188.12.67.92</v>
      </c>
      <c r="C47" s="6" t="str">
        <f>Table333456789101217[[#This Row],[Carrier Code]]</f>
        <v>ID</v>
      </c>
      <c r="D47" s="7">
        <v>0</v>
      </c>
      <c r="E47" s="7">
        <v>0</v>
      </c>
      <c r="F47" s="18">
        <f>Table3334567891012112122232425272829303132[[#This Row],[Company Panel]]+Table33345678910121121222324252728293031[[#This Row],[MTD Company]]</f>
        <v>0</v>
      </c>
      <c r="G47" s="18">
        <f>Table3334567891012112122232425272829303132[[#This Row],[Our panel]]+Table33345678910121121222324252728293031[[#This Row],[MTD Panel]]</f>
        <v>0</v>
      </c>
      <c r="H47" s="13">
        <f>Table3334567891012112122232425272829303132[[#This Row],[Company Panel]]-Table3334567891012112122232425272829303132[[#This Row],[Our panel]]</f>
        <v>0</v>
      </c>
      <c r="I47" s="13">
        <f>Table3334567891012112122232425272829303132[[#This Row],[MTD Company]]-Table3334567891012112122232425272829303132[[#This Row],[MTD Panel]]</f>
        <v>0</v>
      </c>
    </row>
    <row r="48" spans="1:9">
      <c r="A48" s="11" t="str">
        <f>Table333456789101217[[#This Row],[Carrier]]</f>
        <v>Delusion</v>
      </c>
      <c r="B48" s="5" t="str">
        <f>Table333456789101217[[#This Row],[IP]]</f>
        <v>198.51.100.72/69.887.74.738/39.153.110.645</v>
      </c>
      <c r="C48" s="6" t="str">
        <f>Table333456789101217[[#This Row],[Carrier Code]]</f>
        <v>DU</v>
      </c>
      <c r="D48" s="7">
        <v>0</v>
      </c>
      <c r="E48" s="7">
        <v>0</v>
      </c>
      <c r="F48" s="18">
        <f>Table3334567891012112122232425272829303132[[#This Row],[Company Panel]]+Table33345678910121121222324252728293031[[#This Row],[MTD Company]]</f>
        <v>0</v>
      </c>
      <c r="G48" s="18">
        <f>Table3334567891012112122232425272829303132[[#This Row],[Our panel]]+Table33345678910121121222324252728293031[[#This Row],[MTD Panel]]</f>
        <v>0</v>
      </c>
      <c r="H48" s="13">
        <f>Table3334567891012112122232425272829303132[[#This Row],[Company Panel]]-Table3334567891012112122232425272829303132[[#This Row],[Our panel]]</f>
        <v>0</v>
      </c>
      <c r="I48" s="13">
        <f>Table3334567891012112122232425272829303132[[#This Row],[MTD Company]]-Table3334567891012112122232425272829303132[[#This Row],[MTD Panel]]</f>
        <v>0</v>
      </c>
    </row>
    <row r="49" spans="1:9" ht="15.5">
      <c r="A49" s="11" t="str">
        <f>Table333456789101217[[#This Row],[Carrier]]</f>
        <v>Total</v>
      </c>
      <c r="B49" s="14"/>
      <c r="C49" s="15"/>
      <c r="D49" s="16">
        <f>SUM(D3:D48)</f>
        <v>5232.583333333333</v>
      </c>
      <c r="E49" s="16">
        <f t="shared" ref="E49:I49" si="0">SUM(E3:E48)</f>
        <v>5232.583333333333</v>
      </c>
      <c r="F49" s="16">
        <f t="shared" si="0"/>
        <v>229754.1333333333</v>
      </c>
      <c r="G49" s="16">
        <f t="shared" si="0"/>
        <v>229754.1333333333</v>
      </c>
      <c r="H49" s="16">
        <f t="shared" si="0"/>
        <v>0</v>
      </c>
      <c r="I49" s="16">
        <f t="shared" si="0"/>
        <v>0</v>
      </c>
    </row>
    <row r="50" spans="1:9">
      <c r="A50" s="77"/>
    </row>
    <row r="51" spans="1:9">
      <c r="A51" s="77"/>
    </row>
  </sheetData>
  <conditionalFormatting sqref="H2:I48">
    <cfRule type="cellIs" dxfId="113" priority="12" operator="lessThan">
      <formula>0</formula>
    </cfRule>
  </conditionalFormatting>
  <conditionalFormatting sqref="I30:I43">
    <cfRule type="cellIs" dxfId="112" priority="11" operator="lessThan">
      <formula>0</formula>
    </cfRule>
  </conditionalFormatting>
  <conditionalFormatting sqref="H3:I43">
    <cfRule type="cellIs" dxfId="111" priority="10" operator="lessThan">
      <formula>0</formula>
    </cfRule>
  </conditionalFormatting>
  <conditionalFormatting sqref="I30:I43">
    <cfRule type="cellIs" dxfId="110" priority="9" operator="lessThan">
      <formula>0</formula>
    </cfRule>
  </conditionalFormatting>
  <conditionalFormatting sqref="I3:I48">
    <cfRule type="cellIs" dxfId="109" priority="1" operator="lessThan">
      <formula>0</formula>
    </cfRule>
    <cfRule type="cellIs" dxfId="108" priority="2" operator="lessThan">
      <formula>0</formula>
    </cfRule>
  </conditionalFormatting>
  <hyperlinks>
    <hyperlink ref="E1" location="H!A1" display="Home"/>
    <hyperlink ref="D1" location="'24'!D1" display="←"/>
    <hyperlink ref="F1" location="'26'!F1" display="→"/>
  </hyperlink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3"/>
  <sheetViews>
    <sheetView workbookViewId="0">
      <selection activeCell="C49" sqref="C49"/>
    </sheetView>
  </sheetViews>
  <sheetFormatPr defaultRowHeight="14.5"/>
  <cols>
    <col min="1" max="1" width="26.7265625" bestFit="1" customWidth="1"/>
    <col min="2" max="2" width="37" bestFit="1" customWidth="1"/>
    <col min="3" max="3" width="10.453125" customWidth="1"/>
    <col min="4" max="9" width="12.7265625" customWidth="1"/>
  </cols>
  <sheetData>
    <row r="1" spans="1:12" ht="18.5">
      <c r="A1" s="23" t="str">
        <f>H!D11</f>
        <v>26th April 2025</v>
      </c>
      <c r="B1" s="24"/>
      <c r="C1" s="24"/>
      <c r="D1" s="22" t="s">
        <v>16</v>
      </c>
      <c r="E1" s="22" t="s">
        <v>9</v>
      </c>
      <c r="F1" s="22" t="s">
        <v>17</v>
      </c>
    </row>
    <row r="2" spans="1:12" ht="31">
      <c r="A2" s="1" t="s">
        <v>0</v>
      </c>
      <c r="B2" s="2" t="s">
        <v>1</v>
      </c>
      <c r="C2" s="2" t="s">
        <v>2</v>
      </c>
      <c r="D2" s="2" t="s">
        <v>3</v>
      </c>
      <c r="E2" s="2" t="s">
        <v>11</v>
      </c>
      <c r="F2" s="2" t="s">
        <v>4</v>
      </c>
      <c r="G2" s="4" t="s">
        <v>6</v>
      </c>
      <c r="H2" s="4" t="s">
        <v>7</v>
      </c>
      <c r="I2" s="3" t="s">
        <v>8</v>
      </c>
    </row>
    <row r="3" spans="1:12">
      <c r="A3" s="11" t="str">
        <f>Table333456789101217[[#This Row],[Carrier]]</f>
        <v>Blaze</v>
      </c>
      <c r="B3" s="5" t="str">
        <f>Table333456789101217[[#This Row],[IP]]</f>
        <v>8.12.34.56/48.163.17.845/60.502.86.203/191.45.28.14</v>
      </c>
      <c r="C3" s="6" t="str">
        <f>Table333456789101217[[#This Row],[Carrier Code]]</f>
        <v>BZ</v>
      </c>
      <c r="D3" s="53">
        <v>0</v>
      </c>
      <c r="E3" s="53">
        <v>0</v>
      </c>
      <c r="F3" s="18">
        <f>Table333456789101211212223242527282930313233[[#This Row],[Company Panel]]+Table3334567891012112122232425272829303132[[#This Row],[MTD Company]]</f>
        <v>0</v>
      </c>
      <c r="G3" s="18">
        <f>Table333456789101211212223242527282930313233[[#This Row],[Our panel]]+Table3334567891012112122232425272829303132[[#This Row],[MTD Panel]]</f>
        <v>0</v>
      </c>
      <c r="H3" s="13">
        <f>Table333456789101211212223242527282930313233[[#This Row],[Company Panel]]-Table333456789101211212223242527282930313233[[#This Row],[Our panel]]</f>
        <v>0</v>
      </c>
      <c r="I3" s="13">
        <f>Table333456789101211212223242527282930313233[[#This Row],[MTD Company]]-Table333456789101211212223242527282930313233[[#This Row],[MTD Panel]]</f>
        <v>0</v>
      </c>
    </row>
    <row r="4" spans="1:12">
      <c r="A4" s="11" t="str">
        <f>Table333456789101217[[#This Row],[Carrier]]</f>
        <v>Titan</v>
      </c>
      <c r="B4" s="5" t="str">
        <f>Table333456789101217[[#This Row],[IP]]</f>
        <v>123.45.67.89/123.45.67.93/203.24.101.65</v>
      </c>
      <c r="C4" s="6" t="str">
        <f>Table333456789101217[[#This Row],[Carrier Code]]</f>
        <v>TI</v>
      </c>
      <c r="D4" s="53">
        <v>0</v>
      </c>
      <c r="E4" s="53">
        <v>0</v>
      </c>
      <c r="F4" s="18">
        <f>Table333456789101211212223242527282930313233[[#This Row],[Company Panel]]+Table3334567891012112122232425272829303132[[#This Row],[MTD Company]]</f>
        <v>331.15000000000003</v>
      </c>
      <c r="G4" s="18">
        <f>Table333456789101211212223242527282930313233[[#This Row],[Our panel]]+Table3334567891012112122232425272829303132[[#This Row],[MTD Panel]]</f>
        <v>331.15000000000003</v>
      </c>
      <c r="H4" s="13">
        <f>Table333456789101211212223242527282930313233[[#This Row],[Company Panel]]-Table333456789101211212223242527282930313233[[#This Row],[Our panel]]</f>
        <v>0</v>
      </c>
      <c r="I4" s="13">
        <f>Table333456789101211212223242527282930313233[[#This Row],[MTD Company]]-Table333456789101211212223242527282930313233[[#This Row],[MTD Panel]]</f>
        <v>0</v>
      </c>
      <c r="L4" s="9"/>
    </row>
    <row r="5" spans="1:12">
      <c r="A5" s="11" t="str">
        <f>Table333456789101217[[#This Row],[Carrier]]</f>
        <v>Hollow</v>
      </c>
      <c r="B5" s="5" t="str">
        <f>Table333456789101217[[#This Row],[IP]]</f>
        <v>204.56.78.100/204.56.57.169/52.94.101.12</v>
      </c>
      <c r="C5" s="6" t="str">
        <f>Table333456789101217[[#This Row],[Carrier Code]]</f>
        <v>HO</v>
      </c>
      <c r="D5" s="53">
        <v>0</v>
      </c>
      <c r="E5" s="53">
        <v>0</v>
      </c>
      <c r="F5" s="18">
        <f>Table333456789101211212223242527282930313233[[#This Row],[Company Panel]]+Table3334567891012112122232425272829303132[[#This Row],[MTD Company]]</f>
        <v>0</v>
      </c>
      <c r="G5" s="18">
        <f>Table333456789101211212223242527282930313233[[#This Row],[Our panel]]+Table3334567891012112122232425272829303132[[#This Row],[MTD Panel]]</f>
        <v>0</v>
      </c>
      <c r="H5" s="13">
        <f>Table333456789101211212223242527282930313233[[#This Row],[Company Panel]]-Table333456789101211212223242527282930313233[[#This Row],[Our panel]]</f>
        <v>0</v>
      </c>
      <c r="I5" s="13">
        <f>Table333456789101211212223242527282930313233[[#This Row],[MTD Company]]-Table333456789101211212223242527282930313233[[#This Row],[MTD Panel]]</f>
        <v>0</v>
      </c>
    </row>
    <row r="6" spans="1:12">
      <c r="A6" s="11" t="str">
        <f>Table333456789101217[[#This Row],[Carrier]]</f>
        <v>Prism</v>
      </c>
      <c r="B6" s="5" t="str">
        <f>Table333456789101217[[#This Row],[IP]]</f>
        <v>35.118.22.45/137.63.112.25</v>
      </c>
      <c r="C6" s="6" t="str">
        <f>Table333456789101217[[#This Row],[Carrier Code]]</f>
        <v>PS</v>
      </c>
      <c r="D6" s="53">
        <v>229.01666666666668</v>
      </c>
      <c r="E6" s="53">
        <v>229.01666666666668</v>
      </c>
      <c r="F6" s="18">
        <f>Table333456789101211212223242527282930313233[[#This Row],[Company Panel]]+Table3334567891012112122232425272829303132[[#This Row],[MTD Company]]</f>
        <v>73131.116666666625</v>
      </c>
      <c r="G6" s="18">
        <f>Table333456789101211212223242527282930313233[[#This Row],[Our panel]]+Table3334567891012112122232425272829303132[[#This Row],[MTD Panel]]</f>
        <v>73131.116666666625</v>
      </c>
      <c r="H6" s="13">
        <f>Table333456789101211212223242527282930313233[[#This Row],[Company Panel]]-Table333456789101211212223242527282930313233[[#This Row],[Our panel]]</f>
        <v>0</v>
      </c>
      <c r="I6" s="13">
        <f>Table333456789101211212223242527282930313233[[#This Row],[MTD Company]]-Table333456789101211212223242527282930313233[[#This Row],[MTD Panel]]</f>
        <v>0</v>
      </c>
    </row>
    <row r="7" spans="1:12">
      <c r="A7" s="11" t="str">
        <f>Table333456789101217[[#This Row],[Carrier]]</f>
        <v>Echo</v>
      </c>
      <c r="B7" s="5" t="str">
        <f>Table333456789101217[[#This Row],[IP]]</f>
        <v>66.89.101.10/66.89.101.19/66.89.101.23/66.89.101.45/66.89.101.81/85.21.34.99</v>
      </c>
      <c r="C7" s="6" t="str">
        <f>Table333456789101217[[#This Row],[Carrier Code]]</f>
        <v>EC</v>
      </c>
      <c r="D7" s="53">
        <v>1.3333333333333333</v>
      </c>
      <c r="E7" s="53">
        <v>1.3333333333333333</v>
      </c>
      <c r="F7" s="18">
        <f>Table333456789101211212223242527282930313233[[#This Row],[Company Panel]]+Table3334567891012112122232425272829303132[[#This Row],[MTD Company]]</f>
        <v>105.81666666666666</v>
      </c>
      <c r="G7" s="18">
        <f>Table333456789101211212223242527282930313233[[#This Row],[Our panel]]+Table3334567891012112122232425272829303132[[#This Row],[MTD Panel]]</f>
        <v>105.81666666666666</v>
      </c>
      <c r="H7" s="13">
        <f>Table333456789101211212223242527282930313233[[#This Row],[Company Panel]]-Table333456789101211212223242527282930313233[[#This Row],[Our panel]]</f>
        <v>0</v>
      </c>
      <c r="I7" s="13">
        <f>Table333456789101211212223242527282930313233[[#This Row],[MTD Company]]-Table333456789101211212223242527282930313233[[#This Row],[MTD Panel]]</f>
        <v>0</v>
      </c>
    </row>
    <row r="8" spans="1:12">
      <c r="A8" s="11" t="str">
        <f>Table333456789101217[[#This Row],[Carrier]]</f>
        <v>Strike</v>
      </c>
      <c r="B8" s="5" t="str">
        <f>Table333456789101217[[#This Row],[IP]]</f>
        <v>100.200.150.3/100.200.165.38/41.102.90.78</v>
      </c>
      <c r="C8" s="6" t="str">
        <f>Table333456789101217[[#This Row],[Carrier Code]]</f>
        <v>ST</v>
      </c>
      <c r="D8" s="53">
        <v>97.11666666666666</v>
      </c>
      <c r="E8" s="53">
        <v>97.11666666666666</v>
      </c>
      <c r="F8" s="18">
        <f>Table333456789101211212223242527282930313233[[#This Row],[Company Panel]]+Table3334567891012112122232425272829303132[[#This Row],[MTD Company]]</f>
        <v>2873.35</v>
      </c>
      <c r="G8" s="18">
        <f>Table333456789101211212223242527282930313233[[#This Row],[Our panel]]+Table3334567891012112122232425272829303132[[#This Row],[MTD Panel]]</f>
        <v>2873.35</v>
      </c>
      <c r="H8" s="13">
        <f>Table333456789101211212223242527282930313233[[#This Row],[Company Panel]]-Table333456789101211212223242527282930313233[[#This Row],[Our panel]]</f>
        <v>0</v>
      </c>
      <c r="I8" s="13">
        <f>Table333456789101211212223242527282930313233[[#This Row],[MTD Company]]-Table333456789101211212223242527282930313233[[#This Row],[MTD Panel]]</f>
        <v>0</v>
      </c>
      <c r="L8" s="9"/>
    </row>
    <row r="9" spans="1:12">
      <c r="A9" s="11" t="str">
        <f>Table333456789101217[[#This Row],[Carrier]]</f>
        <v>Blunt</v>
      </c>
      <c r="B9" s="5" t="str">
        <f>Table333456789101217[[#This Row],[IP]]</f>
        <v>52.28.191.25/52.28.191.38/52.28.191.24/61.110.23.45</v>
      </c>
      <c r="C9" s="6" t="str">
        <f>Table333456789101217[[#This Row],[Carrier Code]]</f>
        <v>BL</v>
      </c>
      <c r="D9" s="53">
        <v>76.7</v>
      </c>
      <c r="E9" s="53">
        <v>76.7</v>
      </c>
      <c r="F9" s="18">
        <f>Table333456789101211212223242527282930313233[[#This Row],[Company Panel]]+Table3334567891012112122232425272829303132[[#This Row],[MTD Company]]</f>
        <v>10822.566666666669</v>
      </c>
      <c r="G9" s="18">
        <f>Table333456789101211212223242527282930313233[[#This Row],[Our panel]]+Table3334567891012112122232425272829303132[[#This Row],[MTD Panel]]</f>
        <v>10822.566666666669</v>
      </c>
      <c r="H9" s="13">
        <f>Table333456789101211212223242527282930313233[[#This Row],[Company Panel]]-Table333456789101211212223242527282930313233[[#This Row],[Our panel]]</f>
        <v>0</v>
      </c>
      <c r="I9" s="13">
        <f>Table333456789101211212223242527282930313233[[#This Row],[MTD Company]]-Table333456789101211212223242527282930313233[[#This Row],[MTD Panel]]</f>
        <v>0</v>
      </c>
    </row>
    <row r="10" spans="1:12">
      <c r="A10" s="11" t="str">
        <f>Table333456789101217[[#This Row],[Carrier]]</f>
        <v>Law</v>
      </c>
      <c r="B10" t="str">
        <f>Table333456789101217[[#This Row],[IP]]</f>
        <v>77.88.99.21/77.88.99.88/77.88.99.94/110.56.211.7</v>
      </c>
      <c r="C10" s="6" t="str">
        <f>Table333456789101217[[#This Row],[Carrier Code]]</f>
        <v>LA</v>
      </c>
      <c r="D10" s="53">
        <v>0</v>
      </c>
      <c r="E10" s="53">
        <v>0</v>
      </c>
      <c r="F10" s="18">
        <f>Table333456789101211212223242527282930313233[[#This Row],[Company Panel]]+Table3334567891012112122232425272829303132[[#This Row],[MTD Company]]</f>
        <v>0</v>
      </c>
      <c r="G10" s="18">
        <f>Table333456789101211212223242527282930313233[[#This Row],[Our panel]]+Table3334567891012112122232425272829303132[[#This Row],[MTD Panel]]</f>
        <v>0</v>
      </c>
      <c r="H10" s="13">
        <f>Table333456789101211212223242527282930313233[[#This Row],[Company Panel]]-Table333456789101211212223242527282930313233[[#This Row],[Our panel]]</f>
        <v>0</v>
      </c>
      <c r="I10" s="13">
        <f>Table333456789101211212223242527282930313233[[#This Row],[MTD Company]]-Table333456789101211212223242527282930313233[[#This Row],[MTD Panel]]</f>
        <v>0</v>
      </c>
    </row>
    <row r="11" spans="1:12">
      <c r="A11" s="11" t="str">
        <f>Table333456789101217[[#This Row],[Carrier]]</f>
        <v>Pulse</v>
      </c>
      <c r="B11" s="5" t="str">
        <f>Table333456789101217[[#This Row],[IP]]</f>
        <v>198.51.100.130/31.725.16.608/66.59.61.503/167.34.122.90</v>
      </c>
      <c r="C11" s="6" t="str">
        <f>Table333456789101217[[#This Row],[Carrier Code]]</f>
        <v>PU</v>
      </c>
      <c r="D11" s="53">
        <v>0</v>
      </c>
      <c r="E11" s="53">
        <v>0</v>
      </c>
      <c r="F11" s="18">
        <f>Table333456789101211212223242527282930313233[[#This Row],[Company Panel]]+Table3334567891012112122232425272829303132[[#This Row],[MTD Company]]</f>
        <v>0</v>
      </c>
      <c r="G11" s="18">
        <f>Table333456789101211212223242527282930313233[[#This Row],[Our panel]]+Table3334567891012112122232425272829303132[[#This Row],[MTD Panel]]</f>
        <v>0</v>
      </c>
      <c r="H11" s="13">
        <f>Table333456789101211212223242527282930313233[[#This Row],[Company Panel]]-Table333456789101211212223242527282930313233[[#This Row],[Our panel]]</f>
        <v>0</v>
      </c>
      <c r="I11" s="13">
        <f>Table333456789101211212223242527282930313233[[#This Row],[MTD Company]]-Table333456789101211212223242527282930313233[[#This Row],[MTD Panel]]</f>
        <v>0</v>
      </c>
    </row>
    <row r="12" spans="1:12">
      <c r="A12" s="11" t="str">
        <f>Table333456789101217[[#This Row],[Carrier]]</f>
        <v>Phantom</v>
      </c>
      <c r="B12" s="5" t="str">
        <f>Table333456789101217[[#This Row],[IP]]</f>
        <v>141.15.210.67/141.15.42.82/179.62.211.4</v>
      </c>
      <c r="C12" s="6" t="str">
        <f>Table333456789101217[[#This Row],[Carrier Code]]</f>
        <v>PH</v>
      </c>
      <c r="D12" s="53">
        <v>3.9</v>
      </c>
      <c r="E12" s="53">
        <v>3.9</v>
      </c>
      <c r="F12" s="18">
        <f>Table333456789101211212223242527282930313233[[#This Row],[Company Panel]]+Table3334567891012112122232425272829303132[[#This Row],[MTD Company]]</f>
        <v>3376.4333333333325</v>
      </c>
      <c r="G12" s="18">
        <f>Table333456789101211212223242527282930313233[[#This Row],[Our panel]]+Table3334567891012112122232425272829303132[[#This Row],[MTD Panel]]</f>
        <v>3376.4333333333325</v>
      </c>
      <c r="H12" s="13">
        <f>Table333456789101211212223242527282930313233[[#This Row],[Company Panel]]-Table333456789101211212223242527282930313233[[#This Row],[Our panel]]</f>
        <v>0</v>
      </c>
      <c r="I12" s="13">
        <f>Table333456789101211212223242527282930313233[[#This Row],[MTD Company]]-Table333456789101211212223242527282930313233[[#This Row],[MTD Panel]]</f>
        <v>0</v>
      </c>
    </row>
    <row r="13" spans="1:12">
      <c r="A13" s="11" t="str">
        <f>Table333456789101217[[#This Row],[Carrier]]</f>
        <v>Dragon</v>
      </c>
      <c r="B13" s="5" t="str">
        <f>Table333456789101217[[#This Row],[IP]]</f>
        <v>12.34.56.78/12.34.56.128/200.180.245.18</v>
      </c>
      <c r="C13" s="6" t="str">
        <f>Table333456789101217[[#This Row],[Carrier Code]]</f>
        <v>DG</v>
      </c>
      <c r="D13" s="53">
        <v>0</v>
      </c>
      <c r="E13" s="53">
        <v>0</v>
      </c>
      <c r="F13" s="18">
        <f>Table333456789101211212223242527282930313233[[#This Row],[Company Panel]]+Table3334567891012112122232425272829303132[[#This Row],[MTD Company]]</f>
        <v>0</v>
      </c>
      <c r="G13" s="18">
        <f>Table333456789101211212223242527282930313233[[#This Row],[Our panel]]+Table3334567891012112122232425272829303132[[#This Row],[MTD Panel]]</f>
        <v>0</v>
      </c>
      <c r="H13" s="13">
        <f>Table333456789101211212223242527282930313233[[#This Row],[Company Panel]]-Table333456789101211212223242527282930313233[[#This Row],[Our panel]]</f>
        <v>0</v>
      </c>
      <c r="I13" s="13">
        <f>Table333456789101211212223242527282930313233[[#This Row],[MTD Company]]-Table333456789101211212223242527282930313233[[#This Row],[MTD Panel]]</f>
        <v>0</v>
      </c>
    </row>
    <row r="14" spans="1:12">
      <c r="A14" s="11" t="str">
        <f>Table333456789101217[[#This Row],[Carrier]]</f>
        <v>Tempest</v>
      </c>
      <c r="B14" s="5" t="str">
        <f>Table333456789101217[[#This Row],[IP]]</f>
        <v>59.144.223.88/55.39.99.60</v>
      </c>
      <c r="C14" s="6" t="str">
        <f>Table333456789101217[[#This Row],[Carrier Code]]</f>
        <v>TE</v>
      </c>
      <c r="D14" s="53">
        <v>0</v>
      </c>
      <c r="E14" s="53">
        <v>0</v>
      </c>
      <c r="F14" s="18">
        <f>Table333456789101211212223242527282930313233[[#This Row],[Company Panel]]+Table3334567891012112122232425272829303132[[#This Row],[MTD Company]]</f>
        <v>0</v>
      </c>
      <c r="G14" s="18">
        <f>Table333456789101211212223242527282930313233[[#This Row],[Our panel]]+Table3334567891012112122232425272829303132[[#This Row],[MTD Panel]]</f>
        <v>0</v>
      </c>
      <c r="H14" s="13">
        <f>Table333456789101211212223242527282930313233[[#This Row],[Company Panel]]-Table333456789101211212223242527282930313233[[#This Row],[Our panel]]</f>
        <v>0</v>
      </c>
      <c r="I14" s="13">
        <f>Table333456789101211212223242527282930313233[[#This Row],[MTD Company]]-Table333456789101211212223242527282930313233[[#This Row],[MTD Panel]]</f>
        <v>0</v>
      </c>
    </row>
    <row r="15" spans="1:12">
      <c r="A15" s="11" t="str">
        <f>Table333456789101217[[#This Row],[Carrier]]</f>
        <v>Shadow</v>
      </c>
      <c r="B15" s="5" t="str">
        <f>Table333456789101217[[#This Row],[IP]]</f>
        <v>175.45.112.100/25.851.31.153/39.80.220.100</v>
      </c>
      <c r="C15" s="6" t="str">
        <f>Table333456789101217[[#This Row],[Carrier Code]]</f>
        <v>SH</v>
      </c>
      <c r="D15" s="53">
        <v>0</v>
      </c>
      <c r="E15" s="53">
        <v>0</v>
      </c>
      <c r="F15" s="18">
        <f>Table333456789101211212223242527282930313233[[#This Row],[Company Panel]]+Table3334567891012112122232425272829303132[[#This Row],[MTD Company]]</f>
        <v>0.1</v>
      </c>
      <c r="G15" s="18">
        <f>Table333456789101211212223242527282930313233[[#This Row],[Our panel]]+Table3334567891012112122232425272829303132[[#This Row],[MTD Panel]]</f>
        <v>0.1</v>
      </c>
      <c r="H15" s="13">
        <f>Table333456789101211212223242527282930313233[[#This Row],[Company Panel]]-Table333456789101211212223242527282930313233[[#This Row],[Our panel]]</f>
        <v>0</v>
      </c>
      <c r="I15" s="13">
        <f>Table333456789101211212223242527282930313233[[#This Row],[MTD Company]]-Table333456789101211212223242527282930313233[[#This Row],[MTD Panel]]</f>
        <v>0</v>
      </c>
    </row>
    <row r="16" spans="1:12">
      <c r="A16" s="11" t="str">
        <f>Table333456789101217[[#This Row],[Carrier]]</f>
        <v>Cyclone</v>
      </c>
      <c r="B16" s="5" t="str">
        <f>Table333456789101217[[#This Row],[IP]]</f>
        <v>150.13.75.190/16.160.89.512/72.11.97.34</v>
      </c>
      <c r="C16" s="6" t="str">
        <f>Table333456789101217[[#This Row],[Carrier Code]]</f>
        <v>CY</v>
      </c>
      <c r="D16" s="53">
        <v>0</v>
      </c>
      <c r="E16" s="53">
        <v>0</v>
      </c>
      <c r="F16" s="18">
        <f>Table333456789101211212223242527282930313233[[#This Row],[Company Panel]]+Table3334567891012112122232425272829303132[[#This Row],[MTD Company]]</f>
        <v>0</v>
      </c>
      <c r="G16" s="18">
        <f>Table333456789101211212223242527282930313233[[#This Row],[Our panel]]+Table3334567891012112122232425272829303132[[#This Row],[MTD Panel]]</f>
        <v>0</v>
      </c>
      <c r="H16" s="13">
        <f>Table333456789101211212223242527282930313233[[#This Row],[Company Panel]]-Table333456789101211212223242527282930313233[[#This Row],[Our panel]]</f>
        <v>0</v>
      </c>
      <c r="I16" s="13">
        <f>Table333456789101211212223242527282930313233[[#This Row],[MTD Company]]-Table333456789101211212223242527282930313233[[#This Row],[MTD Panel]]</f>
        <v>0</v>
      </c>
    </row>
    <row r="17" spans="1:9">
      <c r="A17" s="11" t="str">
        <f>Table333456789101217[[#This Row],[Carrier]]</f>
        <v>Reaver</v>
      </c>
      <c r="B17" s="5" t="str">
        <f>Table333456789101217[[#This Row],[IP]]</f>
        <v>203.0.113.44/188.17.56.210</v>
      </c>
      <c r="C17" s="6" t="str">
        <f>Table333456789101217[[#This Row],[Carrier Code]]</f>
        <v>RE</v>
      </c>
      <c r="D17" s="53">
        <v>0</v>
      </c>
      <c r="E17" s="53">
        <v>0</v>
      </c>
      <c r="F17" s="18">
        <f>Table333456789101211212223242527282930313233[[#This Row],[Company Panel]]+Table3334567891012112122232425272829303132[[#This Row],[MTD Company]]</f>
        <v>0</v>
      </c>
      <c r="G17" s="18">
        <f>Table333456789101211212223242527282930313233[[#This Row],[Our panel]]+Table3334567891012112122232425272829303132[[#This Row],[MTD Panel]]</f>
        <v>0</v>
      </c>
      <c r="H17" s="13">
        <f>Table333456789101211212223242527282930313233[[#This Row],[Company Panel]]-Table333456789101211212223242527282930313233[[#This Row],[Our panel]]</f>
        <v>0</v>
      </c>
      <c r="I17" s="13">
        <f>Table333456789101211212223242527282930313233[[#This Row],[MTD Company]]-Table333456789101211212223242527282930313233[[#This Row],[MTD Panel]]</f>
        <v>0</v>
      </c>
    </row>
    <row r="18" spans="1:9">
      <c r="A18" s="11" t="str">
        <f>Table333456789101217[[#This Row],[Carrier]]</f>
        <v>Forge</v>
      </c>
      <c r="B18" s="5" t="str">
        <f>Table333456789101217[[#This Row],[IP]]</f>
        <v>112.54.89.168/112.54.89.138</v>
      </c>
      <c r="C18" s="6" t="str">
        <f>Table333456789101217[[#This Row],[Carrier Code]]</f>
        <v>FO</v>
      </c>
      <c r="D18" s="53">
        <v>9.4</v>
      </c>
      <c r="E18" s="53">
        <v>9.4</v>
      </c>
      <c r="F18" s="18">
        <f>Table333456789101211212223242527282930313233[[#This Row],[Company Panel]]+Table3334567891012112122232425272829303132[[#This Row],[MTD Company]]</f>
        <v>654.28333333333342</v>
      </c>
      <c r="G18" s="18">
        <f>Table333456789101211212223242527282930313233[[#This Row],[Our panel]]+Table3334567891012112122232425272829303132[[#This Row],[MTD Panel]]</f>
        <v>654.28333333333342</v>
      </c>
      <c r="H18" s="13">
        <f>Table333456789101211212223242527282930313233[[#This Row],[Company Panel]]-Table333456789101211212223242527282930313233[[#This Row],[Our panel]]</f>
        <v>0</v>
      </c>
      <c r="I18" s="13">
        <f>Table333456789101211212223242527282930313233[[#This Row],[MTD Company]]-Table333456789101211212223242527282930313233[[#This Row],[MTD Panel]]</f>
        <v>0</v>
      </c>
    </row>
    <row r="19" spans="1:9">
      <c r="A19" s="11" t="str">
        <f>Table333456789101217[[#This Row],[Carrier]]</f>
        <v>Ember</v>
      </c>
      <c r="B19" s="5" t="str">
        <f>Table333456789101217[[#This Row],[IP]]</f>
        <v>78.34.90.24/328.56.122.44/142.150.75.22</v>
      </c>
      <c r="C19" s="6" t="str">
        <f>Table333456789101217[[#This Row],[Carrier Code]]</f>
        <v>EM</v>
      </c>
      <c r="D19" s="53">
        <v>0</v>
      </c>
      <c r="E19" s="53">
        <v>0</v>
      </c>
      <c r="F19" s="18">
        <f>Table333456789101211212223242527282930313233[[#This Row],[Company Panel]]+Table3334567891012112122232425272829303132[[#This Row],[MTD Company]]</f>
        <v>1.1499999999999999</v>
      </c>
      <c r="G19" s="18">
        <f>Table333456789101211212223242527282930313233[[#This Row],[Our panel]]+Table3334567891012112122232425272829303132[[#This Row],[MTD Panel]]</f>
        <v>1.1499999999999999</v>
      </c>
      <c r="H19" s="13">
        <f>Table333456789101211212223242527282930313233[[#This Row],[Company Panel]]-Table333456789101211212223242527282930313233[[#This Row],[Our panel]]</f>
        <v>0</v>
      </c>
      <c r="I19" s="13">
        <f>Table333456789101211212223242527282930313233[[#This Row],[MTD Company]]-Table333456789101211212223242527282930313233[[#This Row],[MTD Panel]]</f>
        <v>0</v>
      </c>
    </row>
    <row r="20" spans="1:9">
      <c r="A20" s="11" t="str">
        <f>Table333456789101217[[#This Row],[Carrier]]</f>
        <v>Specter</v>
      </c>
      <c r="B20" s="5" t="str">
        <f>Table333456789101217[[#This Row],[IP]]</f>
        <v>205.60.34.150</v>
      </c>
      <c r="C20" s="6" t="str">
        <f>Table333456789101217[[#This Row],[Carrier Code]]</f>
        <v>SP</v>
      </c>
      <c r="D20" s="53">
        <v>0.6</v>
      </c>
      <c r="E20" s="53">
        <v>0.6</v>
      </c>
      <c r="F20" s="18">
        <f>Table333456789101211212223242527282930313233[[#This Row],[Company Panel]]+Table3334567891012112122232425272829303132[[#This Row],[MTD Company]]</f>
        <v>45.516666666666673</v>
      </c>
      <c r="G20" s="18">
        <f>Table333456789101211212223242527282930313233[[#This Row],[Our panel]]+Table3334567891012112122232425272829303132[[#This Row],[MTD Panel]]</f>
        <v>45.516666666666673</v>
      </c>
      <c r="H20" s="13">
        <f>Table333456789101211212223242527282930313233[[#This Row],[Company Panel]]-Table333456789101211212223242527282930313233[[#This Row],[Our panel]]</f>
        <v>0</v>
      </c>
      <c r="I20" s="13">
        <f>Table333456789101211212223242527282930313233[[#This Row],[MTD Company]]-Table333456789101211212223242527282930313233[[#This Row],[MTD Panel]]</f>
        <v>0</v>
      </c>
    </row>
    <row r="21" spans="1:9">
      <c r="A21" s="11" t="str">
        <f>Table333456789101217[[#This Row],[Carrier]]</f>
        <v>Throne</v>
      </c>
      <c r="B21" s="5" t="str">
        <f>Table333456789101217[[#This Row],[IP]]</f>
        <v>54.32.11.90/27.758.27.201/125.150.58.20</v>
      </c>
      <c r="C21" s="6" t="str">
        <f>Table333456789101217[[#This Row],[Carrier Code]]</f>
        <v>TH</v>
      </c>
      <c r="D21" s="53">
        <v>0</v>
      </c>
      <c r="E21" s="53">
        <v>0</v>
      </c>
      <c r="F21" s="18">
        <f>Table333456789101211212223242527282930313233[[#This Row],[Company Panel]]+Table3334567891012112122232425272829303132[[#This Row],[MTD Company]]</f>
        <v>0</v>
      </c>
      <c r="G21" s="18">
        <f>Table333456789101211212223242527282930313233[[#This Row],[Our panel]]+Table3334567891012112122232425272829303132[[#This Row],[MTD Panel]]</f>
        <v>0</v>
      </c>
      <c r="H21" s="13">
        <f>Table333456789101211212223242527282930313233[[#This Row],[Company Panel]]-Table333456789101211212223242527282930313233[[#This Row],[Our panel]]</f>
        <v>0</v>
      </c>
      <c r="I21" s="13">
        <f>Table333456789101211212223242527282930313233[[#This Row],[MTD Company]]-Table333456789101211212223242527282930313233[[#This Row],[MTD Panel]]</f>
        <v>0</v>
      </c>
    </row>
    <row r="22" spans="1:9">
      <c r="A22" s="11" t="str">
        <f>Table333456789101217[[#This Row],[Carrier]]</f>
        <v>Arcane</v>
      </c>
      <c r="B22" s="5" t="str">
        <f>Table333456789101217[[#This Row],[IP]]</f>
        <v>212.100.25.78/212.100.25.87</v>
      </c>
      <c r="C22" s="6" t="str">
        <f>Table333456789101217[[#This Row],[Carrier Code]]</f>
        <v>AR</v>
      </c>
      <c r="D22" s="53">
        <v>1709.6833333333334</v>
      </c>
      <c r="E22" s="53">
        <v>1709.6833333333334</v>
      </c>
      <c r="F22" s="18">
        <f>Table333456789101211212223242527282930313233[[#This Row],[Company Panel]]+Table3334567891012112122232425272829303132[[#This Row],[MTD Company]]</f>
        <v>3336.0333333333333</v>
      </c>
      <c r="G22" s="18">
        <f>Table333456789101211212223242527282930313233[[#This Row],[Our panel]]+Table3334567891012112122232425272829303132[[#This Row],[MTD Panel]]</f>
        <v>3336.0333333333333</v>
      </c>
      <c r="H22" s="13">
        <f>Table333456789101211212223242527282930313233[[#This Row],[Company Panel]]-Table333456789101211212223242527282930313233[[#This Row],[Our panel]]</f>
        <v>0</v>
      </c>
      <c r="I22" s="13">
        <f>Table333456789101211212223242527282930313233[[#This Row],[MTD Company]]-Table333456789101211212223242527282930313233[[#This Row],[MTD Panel]]</f>
        <v>0</v>
      </c>
    </row>
    <row r="23" spans="1:9">
      <c r="A23" s="11" t="str">
        <f>Table333456789101217[[#This Row],[Carrier]]</f>
        <v>Glitch</v>
      </c>
      <c r="B23" s="5" t="str">
        <f>Table333456789101217[[#This Row],[IP]]</f>
        <v>198.204.100.12/198.204.100.34/198.204.100.51</v>
      </c>
      <c r="C23" s="6" t="str">
        <f>Table333456789101217[[#This Row],[Carrier Code]]</f>
        <v>GL</v>
      </c>
      <c r="D23" s="53">
        <v>0</v>
      </c>
      <c r="E23" s="53">
        <v>0</v>
      </c>
      <c r="F23" s="18">
        <f>Table333456789101211212223242527282930313233[[#This Row],[Company Panel]]+Table3334567891012112122232425272829303132[[#This Row],[MTD Company]]</f>
        <v>0</v>
      </c>
      <c r="G23" s="18">
        <f>Table333456789101211212223242527282930313233[[#This Row],[Our panel]]+Table3334567891012112122232425272829303132[[#This Row],[MTD Panel]]</f>
        <v>0</v>
      </c>
      <c r="H23" s="13">
        <f>Table333456789101211212223242527282930313233[[#This Row],[Company Panel]]-Table333456789101211212223242527282930313233[[#This Row],[Our panel]]</f>
        <v>0</v>
      </c>
      <c r="I23" s="13">
        <f>Table333456789101211212223242527282930313233[[#This Row],[MTD Company]]-Table333456789101211212223242527282930313233[[#This Row],[MTD Panel]]</f>
        <v>0</v>
      </c>
    </row>
    <row r="24" spans="1:9">
      <c r="A24" s="11" t="str">
        <f>Table333456789101217[[#This Row],[Carrier]]</f>
        <v>Nitro</v>
      </c>
      <c r="B24" s="5" t="str">
        <f>Table333456789101217[[#This Row],[IP]]</f>
        <v>15.150.200.33/119.82.200.100</v>
      </c>
      <c r="C24" s="6" t="str">
        <f>Table333456789101217[[#This Row],[Carrier Code]]</f>
        <v>NI</v>
      </c>
      <c r="D24" s="53">
        <v>0</v>
      </c>
      <c r="E24" s="53">
        <v>0</v>
      </c>
      <c r="F24" s="18">
        <f>Table333456789101211212223242527282930313233[[#This Row],[Company Panel]]+Table3334567891012112122232425272829303132[[#This Row],[MTD Company]]</f>
        <v>0</v>
      </c>
      <c r="G24" s="18">
        <f>Table333456789101211212223242527282930313233[[#This Row],[Our panel]]+Table3334567891012112122232425272829303132[[#This Row],[MTD Panel]]</f>
        <v>0</v>
      </c>
      <c r="H24" s="13">
        <f>Table333456789101211212223242527282930313233[[#This Row],[Company Panel]]-Table333456789101211212223242527282930313233[[#This Row],[Our panel]]</f>
        <v>0</v>
      </c>
      <c r="I24" s="13">
        <f>Table333456789101211212223242527282930313233[[#This Row],[MTD Company]]-Table333456789101211212223242527282930313233[[#This Row],[MTD Panel]]</f>
        <v>0</v>
      </c>
    </row>
    <row r="25" spans="1:9">
      <c r="A25" s="11" t="str">
        <f>Table333456789101217[[#This Row],[Carrier]]</f>
        <v>Drip</v>
      </c>
      <c r="B25" s="5" t="str">
        <f>Table333456789101217[[#This Row],[IP]]</f>
        <v>84.13.76.190/90.945.80.11/198.160.234.5</v>
      </c>
      <c r="C25" s="6" t="str">
        <f>Table333456789101217[[#This Row],[Carrier Code]]</f>
        <v>DR</v>
      </c>
      <c r="D25" s="53">
        <v>0</v>
      </c>
      <c r="E25" s="53">
        <v>0</v>
      </c>
      <c r="F25" s="18">
        <f>Table333456789101211212223242527282930313233[[#This Row],[Company Panel]]+Table3334567891012112122232425272829303132[[#This Row],[MTD Company]]</f>
        <v>0</v>
      </c>
      <c r="G25" s="18">
        <f>Table333456789101211212223242527282930313233[[#This Row],[Our panel]]+Table3334567891012112122232425272829303132[[#This Row],[MTD Panel]]</f>
        <v>0</v>
      </c>
      <c r="H25" s="13">
        <f>Table333456789101211212223242527282930313233[[#This Row],[Company Panel]]-Table333456789101211212223242527282930313233[[#This Row],[Our panel]]</f>
        <v>0</v>
      </c>
      <c r="I25" s="13">
        <f>Table333456789101211212223242527282930313233[[#This Row],[MTD Company]]-Table333456789101211212223242527282930313233[[#This Row],[MTD Panel]]</f>
        <v>0</v>
      </c>
    </row>
    <row r="26" spans="1:9">
      <c r="A26" s="11" t="str">
        <f>Table333456789101217[[#This Row],[Carrier]]</f>
        <v>Glide</v>
      </c>
      <c r="B26" s="5" t="str">
        <f>Table333456789101217[[#This Row],[IP]]</f>
        <v>120.45.12.25/85.739.221.80/85.739.221.93</v>
      </c>
      <c r="C26" s="6" t="str">
        <f>Table333456789101217[[#This Row],[Carrier Code]]</f>
        <v>GI</v>
      </c>
      <c r="D26" s="53">
        <v>0</v>
      </c>
      <c r="E26" s="53">
        <v>0</v>
      </c>
      <c r="F26" s="18">
        <f>Table333456789101211212223242527282930313233[[#This Row],[Company Panel]]+Table3334567891012112122232425272829303132[[#This Row],[MTD Company]]</f>
        <v>0</v>
      </c>
      <c r="G26" s="18">
        <f>Table333456789101211212223242527282930313233[[#This Row],[Our panel]]+Table3334567891012112122232425272829303132[[#This Row],[MTD Panel]]</f>
        <v>0</v>
      </c>
      <c r="H26" s="13">
        <f>Table333456789101211212223242527282930313233[[#This Row],[Company Panel]]-Table333456789101211212223242527282930313233[[#This Row],[Our panel]]</f>
        <v>0</v>
      </c>
      <c r="I26" s="13">
        <f>Table333456789101211212223242527282930313233[[#This Row],[MTD Company]]-Table333456789101211212223242527282930313233[[#This Row],[MTD Panel]]</f>
        <v>0</v>
      </c>
    </row>
    <row r="27" spans="1:9">
      <c r="A27" s="11" t="str">
        <f>Table333456789101217[[#This Row],[Carrier]]</f>
        <v>Orbit</v>
      </c>
      <c r="B27" s="5" t="str">
        <f>Table333456789101217[[#This Row],[IP]]</f>
        <v>176.98.54.112/60.110.154.91/60.110.155.162</v>
      </c>
      <c r="C27" s="6" t="str">
        <f>Table333456789101217[[#This Row],[Carrier Code]]</f>
        <v>OR</v>
      </c>
      <c r="D27" s="53">
        <v>0</v>
      </c>
      <c r="E27" s="53">
        <v>0</v>
      </c>
      <c r="F27" s="18">
        <f>Table333456789101211212223242527282930313233[[#This Row],[Company Panel]]+Table3334567891012112122232425272829303132[[#This Row],[MTD Company]]</f>
        <v>0</v>
      </c>
      <c r="G27" s="18">
        <f>Table333456789101211212223242527282930313233[[#This Row],[Our panel]]+Table3334567891012112122232425272829303132[[#This Row],[MTD Panel]]</f>
        <v>0</v>
      </c>
      <c r="H27" s="13">
        <f>Table333456789101211212223242527282930313233[[#This Row],[Company Panel]]-Table333456789101211212223242527282930313233[[#This Row],[Our panel]]</f>
        <v>0</v>
      </c>
      <c r="I27" s="13">
        <f>Table333456789101211212223242527282930313233[[#This Row],[MTD Company]]-Table333456789101211212223242527282930313233[[#This Row],[MTD Panel]]</f>
        <v>0</v>
      </c>
    </row>
    <row r="28" spans="1:9">
      <c r="A28" s="11" t="str">
        <f>Table333456789101217[[#This Row],[Carrier]]</f>
        <v>Thunder</v>
      </c>
      <c r="B28" s="5" t="str">
        <f>Table333456789101217[[#This Row],[IP]]</f>
        <v>67.102.200.9/81.905.48.847/143.235.100.34</v>
      </c>
      <c r="C28" s="6" t="str">
        <f>Table333456789101217[[#This Row],[Carrier Code]]</f>
        <v>TU</v>
      </c>
      <c r="D28" s="53">
        <v>14.733333333333333</v>
      </c>
      <c r="E28" s="53">
        <v>14.733333333333333</v>
      </c>
      <c r="F28" s="18">
        <f>Table333456789101211212223242527282930313233[[#This Row],[Company Panel]]+Table3334567891012112122232425272829303132[[#This Row],[MTD Company]]</f>
        <v>634.16666666666652</v>
      </c>
      <c r="G28" s="18">
        <f>Table333456789101211212223242527282930313233[[#This Row],[Our panel]]+Table3334567891012112122232425272829303132[[#This Row],[MTD Panel]]</f>
        <v>634.16666666666652</v>
      </c>
      <c r="H28" s="13">
        <f>Table333456789101211212223242527282930313233[[#This Row],[Company Panel]]-Table333456789101211212223242527282930313233[[#This Row],[Our panel]]</f>
        <v>0</v>
      </c>
      <c r="I28" s="13">
        <f>Table333456789101211212223242527282930313233[[#This Row],[MTD Company]]-Table333456789101211212223242527282930313233[[#This Row],[MTD Panel]]</f>
        <v>0</v>
      </c>
    </row>
    <row r="29" spans="1:9">
      <c r="A29" s="11" t="str">
        <f>Table333456789101217[[#This Row],[Carrier]]</f>
        <v>Glimmer</v>
      </c>
      <c r="B29" s="5" t="str">
        <f>Table333456789101217[[#This Row],[IP]]</f>
        <v>99.22.211.100/71.54.85.344/71.54.85.218</v>
      </c>
      <c r="C29" s="6" t="str">
        <f>Table333456789101217[[#This Row],[Carrier Code]]</f>
        <v>GM</v>
      </c>
      <c r="D29" s="53">
        <v>0</v>
      </c>
      <c r="E29" s="53">
        <v>0</v>
      </c>
      <c r="F29" s="18">
        <f>Table333456789101211212223242527282930313233[[#This Row],[Company Panel]]+Table3334567891012112122232425272829303132[[#This Row],[MTD Company]]</f>
        <v>0</v>
      </c>
      <c r="G29" s="18">
        <f>Table333456789101211212223242527282930313233[[#This Row],[Our panel]]+Table3334567891012112122232425272829303132[[#This Row],[MTD Panel]]</f>
        <v>0</v>
      </c>
      <c r="H29" s="13">
        <f>Table333456789101211212223242527282930313233[[#This Row],[Company Panel]]-Table333456789101211212223242527282930313233[[#This Row],[Our panel]]</f>
        <v>0</v>
      </c>
      <c r="I29" s="13">
        <f>Table333456789101211212223242527282930313233[[#This Row],[MTD Company]]-Table333456789101211212223242527282930313233[[#This Row],[MTD Panel]]</f>
        <v>0</v>
      </c>
    </row>
    <row r="30" spans="1:9">
      <c r="A30" s="11" t="str">
        <f>Table333456789101217[[#This Row],[Carrier]]</f>
        <v>Fragment</v>
      </c>
      <c r="B30" s="5" t="str">
        <f>Table333456789101217[[#This Row],[IP]]</f>
        <v>203.0.113.56/195.56.101.10</v>
      </c>
      <c r="C30" s="6" t="str">
        <f>Table333456789101217[[#This Row],[Carrier Code]]</f>
        <v>FR</v>
      </c>
      <c r="D30" s="53">
        <v>0</v>
      </c>
      <c r="E30" s="53">
        <v>0</v>
      </c>
      <c r="F30" s="18">
        <f>Table333456789101211212223242527282930313233[[#This Row],[Company Panel]]+Table3334567891012112122232425272829303132[[#This Row],[MTD Company]]</f>
        <v>0</v>
      </c>
      <c r="G30" s="18">
        <f>Table333456789101211212223242527282930313233[[#This Row],[Our panel]]+Table3334567891012112122232425272829303132[[#This Row],[MTD Panel]]</f>
        <v>0</v>
      </c>
      <c r="H30" s="13">
        <f>Table333456789101211212223242527282930313233[[#This Row],[Company Panel]]-Table333456789101211212223242527282930313233[[#This Row],[Our panel]]</f>
        <v>0</v>
      </c>
      <c r="I30" s="13">
        <f>Table333456789101211212223242527282930313233[[#This Row],[MTD Company]]-Table333456789101211212223242527282930313233[[#This Row],[MTD Panel]]</f>
        <v>0</v>
      </c>
    </row>
    <row r="31" spans="1:9">
      <c r="A31" s="11" t="str">
        <f>Table333456789101217[[#This Row],[Carrier]]</f>
        <v>Dusk</v>
      </c>
      <c r="B31" s="5" t="str">
        <f>Table333456789101217[[#This Row],[IP]]</f>
        <v>33.44.55.66/33.44.55.84/33.44.55.122/214.68.90.122</v>
      </c>
      <c r="C31" s="6" t="str">
        <f>Table333456789101217[[#This Row],[Carrier Code]]</f>
        <v>DK</v>
      </c>
      <c r="D31" s="53">
        <v>0</v>
      </c>
      <c r="E31" s="53">
        <v>0</v>
      </c>
      <c r="F31" s="18">
        <f>Table333456789101211212223242527282930313233[[#This Row],[Company Panel]]+Table3334567891012112122232425272829303132[[#This Row],[MTD Company]]</f>
        <v>0</v>
      </c>
      <c r="G31" s="18">
        <f>Table333456789101211212223242527282930313233[[#This Row],[Our panel]]+Table3334567891012112122232425272829303132[[#This Row],[MTD Panel]]</f>
        <v>0</v>
      </c>
      <c r="H31" s="13">
        <f>Table333456789101211212223242527282930313233[[#This Row],[Company Panel]]-Table333456789101211212223242527282930313233[[#This Row],[Our panel]]</f>
        <v>0</v>
      </c>
      <c r="I31" s="13">
        <f>Table333456789101211212223242527282930313233[[#This Row],[MTD Company]]-Table333456789101211212223242527282930313233[[#This Row],[MTD Panel]]</f>
        <v>0</v>
      </c>
    </row>
    <row r="32" spans="1:9">
      <c r="A32" s="11" t="str">
        <f>Table333456789101217[[#This Row],[Carrier]]</f>
        <v>Breeze</v>
      </c>
      <c r="B32" s="5" t="str">
        <f>Table333456789101217[[#This Row],[IP]]</f>
        <v>199.123.87.45/199.123.34.52/77.189.22.56</v>
      </c>
      <c r="C32" s="6" t="str">
        <f>Table333456789101217[[#This Row],[Carrier Code]]</f>
        <v>BR</v>
      </c>
      <c r="D32" s="53">
        <v>0</v>
      </c>
      <c r="E32" s="53">
        <v>0</v>
      </c>
      <c r="F32" s="18">
        <f>Table333456789101211212223242527282930313233[[#This Row],[Company Panel]]+Table3334567891012112122232425272829303132[[#This Row],[MTD Company]]</f>
        <v>0</v>
      </c>
      <c r="G32" s="18">
        <f>Table333456789101211212223242527282930313233[[#This Row],[Our panel]]+Table3334567891012112122232425272829303132[[#This Row],[MTD Panel]]</f>
        <v>0</v>
      </c>
      <c r="H32" s="13">
        <f>Table333456789101211212223242527282930313233[[#This Row],[Company Panel]]-Table333456789101211212223242527282930313233[[#This Row],[Our panel]]</f>
        <v>0</v>
      </c>
      <c r="I32" s="13">
        <f>Table333456789101211212223242527282930313233[[#This Row],[MTD Company]]-Table333456789101211212223242527282930313233[[#This Row],[MTD Panel]]</f>
        <v>0</v>
      </c>
    </row>
    <row r="33" spans="1:9">
      <c r="A33" s="11" t="str">
        <f>Table333456789101217[[#This Row],[Carrier]]</f>
        <v>Clutch</v>
      </c>
      <c r="B33" s="5" t="str">
        <f>Table333456789101217[[#This Row],[IP]]</f>
        <v>55.66.77.88/84.126.79.28/152.233.45.11</v>
      </c>
      <c r="C33" s="6" t="str">
        <f>Table333456789101217[[#This Row],[Carrier Code]]</f>
        <v>CL</v>
      </c>
      <c r="D33" s="53">
        <v>0</v>
      </c>
      <c r="E33" s="53">
        <v>0</v>
      </c>
      <c r="F33" s="18">
        <f>Table333456789101211212223242527282930313233[[#This Row],[Company Panel]]+Table3334567891012112122232425272829303132[[#This Row],[MTD Company]]</f>
        <v>0</v>
      </c>
      <c r="G33" s="18">
        <f>Table333456789101211212223242527282930313233[[#This Row],[Our panel]]+Table3334567891012112122232425272829303132[[#This Row],[MTD Panel]]</f>
        <v>0</v>
      </c>
      <c r="H33" s="13">
        <f>Table333456789101211212223242527282930313233[[#This Row],[Company Panel]]-Table333456789101211212223242527282930313233[[#This Row],[Our panel]]</f>
        <v>0</v>
      </c>
      <c r="I33" s="13">
        <f>Table333456789101211212223242527282930313233[[#This Row],[MTD Company]]-Table333456789101211212223242527282930313233[[#This Row],[MTD Panel]]</f>
        <v>0</v>
      </c>
    </row>
    <row r="34" spans="1:9">
      <c r="A34" s="11" t="str">
        <f>Table333456789101217[[#This Row],[Carrier]]</f>
        <v>Haze</v>
      </c>
      <c r="B34" s="5" t="str">
        <f>Table333456789101217[[#This Row],[IP]]</f>
        <v>230.111.44.56</v>
      </c>
      <c r="C34" s="6" t="str">
        <f>Table333456789101217[[#This Row],[Carrier Code]]</f>
        <v>HZ</v>
      </c>
      <c r="D34" s="53">
        <v>4127</v>
      </c>
      <c r="E34" s="53">
        <v>4127</v>
      </c>
      <c r="F34" s="18">
        <f>Table333456789101211212223242527282930313233[[#This Row],[Company Panel]]+Table3334567891012112122232425272829303132[[#This Row],[MTD Company]]</f>
        <v>35728.683333333334</v>
      </c>
      <c r="G34" s="18">
        <f>Table333456789101211212223242527282930313233[[#This Row],[Our panel]]+Table3334567891012112122232425272829303132[[#This Row],[MTD Panel]]</f>
        <v>35728.683333333334</v>
      </c>
      <c r="H34" s="13">
        <f>Table333456789101211212223242527282930313233[[#This Row],[Company Panel]]-Table333456789101211212223242527282930313233[[#This Row],[Our panel]]</f>
        <v>0</v>
      </c>
      <c r="I34" s="13">
        <f>Table333456789101211212223242527282930313233[[#This Row],[MTD Company]]-Table333456789101211212223242527282930313233[[#This Row],[MTD Panel]]</f>
        <v>0</v>
      </c>
    </row>
    <row r="35" spans="1:9">
      <c r="A35" s="11" t="str">
        <f>Table333456789101217[[#This Row],[Carrier]]</f>
        <v>Vault</v>
      </c>
      <c r="B35" s="5" t="str">
        <f>Table333456789101217[[#This Row],[IP]]</f>
        <v>213.189.94.5/213.189.94.7/111.180.64.222</v>
      </c>
      <c r="C35" s="6" t="str">
        <f>Table333456789101217[[#This Row],[Carrier Code]]</f>
        <v>VA</v>
      </c>
      <c r="D35" s="53">
        <v>0</v>
      </c>
      <c r="E35" s="53">
        <v>0</v>
      </c>
      <c r="F35" s="18">
        <f>Table333456789101211212223242527282930313233[[#This Row],[Company Panel]]+Table3334567891012112122232425272829303132[[#This Row],[MTD Company]]</f>
        <v>0</v>
      </c>
      <c r="G35" s="18">
        <f>Table333456789101211212223242527282930313233[[#This Row],[Our panel]]+Table3334567891012112122232425272829303132[[#This Row],[MTD Panel]]</f>
        <v>0</v>
      </c>
      <c r="H35" s="13">
        <f>Table333456789101211212223242527282930313233[[#This Row],[Company Panel]]-Table333456789101211212223242527282930313233[[#This Row],[Our panel]]</f>
        <v>0</v>
      </c>
      <c r="I35" s="13">
        <f>Table333456789101211212223242527282930313233[[#This Row],[MTD Company]]-Table333456789101211212223242527282930313233[[#This Row],[MTD Panel]]</f>
        <v>0</v>
      </c>
    </row>
    <row r="36" spans="1:9">
      <c r="A36" s="11" t="str">
        <f>Table333456789101217[[#This Row],[Carrier]]</f>
        <v>Scatter</v>
      </c>
      <c r="B36" s="5" t="str">
        <f>Table333456789101217[[#This Row],[IP]]</f>
        <v>14.123.45.67/168.251.90.15</v>
      </c>
      <c r="C36" s="6" t="str">
        <f>Table333456789101217[[#This Row],[Carrier Code]]</f>
        <v>SC</v>
      </c>
      <c r="D36" s="53">
        <v>89.11666666666666</v>
      </c>
      <c r="E36" s="53">
        <v>89.11666666666666</v>
      </c>
      <c r="F36" s="18">
        <f>Table333456789101211212223242527282930313233[[#This Row],[Company Panel]]+Table3334567891012112122232425272829303132[[#This Row],[MTD Company]]</f>
        <v>1659.1333333333332</v>
      </c>
      <c r="G36" s="18">
        <f>Table333456789101211212223242527282930313233[[#This Row],[Our panel]]+Table3334567891012112122232425272829303132[[#This Row],[MTD Panel]]</f>
        <v>1659.1333333333332</v>
      </c>
      <c r="H36" s="13">
        <f>Table333456789101211212223242527282930313233[[#This Row],[Company Panel]]-Table333456789101211212223242527282930313233[[#This Row],[Our panel]]</f>
        <v>0</v>
      </c>
      <c r="I36" s="13">
        <f>Table333456789101211212223242527282930313233[[#This Row],[MTD Company]]-Table333456789101211212223242527282930313233[[#This Row],[MTD Panel]]</f>
        <v>0</v>
      </c>
    </row>
    <row r="37" spans="1:9">
      <c r="A37" s="11" t="str">
        <f>Table333456789101217[[#This Row],[Carrier]]</f>
        <v>Hammer</v>
      </c>
      <c r="B37" s="5" t="str">
        <f>Table333456789101217[[#This Row],[IP]]</f>
        <v>200.111.78.9/200.111.236.62/200.111.823.89/137.79.48.56</v>
      </c>
      <c r="C37" s="6" t="str">
        <f>Table333456789101217[[#This Row],[Carrier Code]]</f>
        <v>HA</v>
      </c>
      <c r="D37" s="53">
        <v>0</v>
      </c>
      <c r="E37" s="53">
        <v>0</v>
      </c>
      <c r="F37" s="18">
        <f>Table333456789101211212223242527282930313233[[#This Row],[Company Panel]]+Table3334567891012112122232425272829303132[[#This Row],[MTD Company]]</f>
        <v>0</v>
      </c>
      <c r="G37" s="18">
        <f>Table333456789101211212223242527282930313233[[#This Row],[Our panel]]+Table3334567891012112122232425272829303132[[#This Row],[MTD Panel]]</f>
        <v>0</v>
      </c>
      <c r="H37" s="72">
        <f>Table333456789101211212223242527282930313233[[#This Row],[Company Panel]]-Table333456789101211212223242527282930313233[[#This Row],[Our panel]]</f>
        <v>0</v>
      </c>
      <c r="I37" s="72">
        <f>Table333456789101211212223242527282930313233[[#This Row],[MTD Company]]-Table333456789101211212223242527282930313233[[#This Row],[MTD Panel]]</f>
        <v>0</v>
      </c>
    </row>
    <row r="38" spans="1:9">
      <c r="A38" s="11" t="str">
        <f>Table333456789101217[[#This Row],[Carrier]]</f>
        <v>Smudge</v>
      </c>
      <c r="B38" s="5" t="str">
        <f>Table333456789101217[[#This Row],[IP]]</f>
        <v>88.99.233.56/54.71.99.234</v>
      </c>
      <c r="C38" s="6" t="str">
        <f>Table333456789101217[[#This Row],[Carrier Code]]</f>
        <v>SM</v>
      </c>
      <c r="D38" s="53">
        <v>3762.1333333333332</v>
      </c>
      <c r="E38" s="53">
        <v>3762.1333333333332</v>
      </c>
      <c r="F38" s="18">
        <f>Table333456789101211212223242527282930313233[[#This Row],[Company Panel]]+Table3334567891012112122232425272829303132[[#This Row],[MTD Company]]</f>
        <v>4170.0166666666664</v>
      </c>
      <c r="G38" s="18">
        <f>Table333456789101211212223242527282930313233[[#This Row],[Our panel]]+Table3334567891012112122232425272829303132[[#This Row],[MTD Panel]]</f>
        <v>4170.0166666666664</v>
      </c>
      <c r="H38" s="72">
        <f>Table333456789101211212223242527282930313233[[#This Row],[Company Panel]]-Table333456789101211212223242527282930313233[[#This Row],[Our panel]]</f>
        <v>0</v>
      </c>
      <c r="I38" s="72">
        <f>Table333456789101211212223242527282930313233[[#This Row],[MTD Company]]-Table333456789101211212223242527282930313233[[#This Row],[MTD Panel]]</f>
        <v>0</v>
      </c>
    </row>
    <row r="39" spans="1:9">
      <c r="A39" s="11" t="str">
        <f>Table333456789101217[[#This Row],[Carrier]]</f>
        <v>Quirk</v>
      </c>
      <c r="B39" s="5" t="str">
        <f>Table333456789101217[[#This Row],[IP]]</f>
        <v>62.45.100.31/62.45.100.15/62.45.100.65/211.95.102.6</v>
      </c>
      <c r="C39" s="6" t="str">
        <f>Table333456789101217[[#This Row],[Carrier Code]]</f>
        <v>QU</v>
      </c>
      <c r="D39" s="53">
        <v>890</v>
      </c>
      <c r="E39" s="53">
        <v>890</v>
      </c>
      <c r="F39" s="18">
        <f>Table333456789101211212223242527282930313233[[#This Row],[Company Panel]]+Table3334567891012112122232425272829303132[[#This Row],[MTD Company]]</f>
        <v>41880.283333333326</v>
      </c>
      <c r="G39" s="18">
        <f>Table333456789101211212223242527282930313233[[#This Row],[Our panel]]+Table3334567891012112122232425272829303132[[#This Row],[MTD Panel]]</f>
        <v>41880.283333333326</v>
      </c>
      <c r="H39" s="72">
        <f>Table333456789101211212223242527282930313233[[#This Row],[Company Panel]]-Table333456789101211212223242527282930313233[[#This Row],[Our panel]]</f>
        <v>0</v>
      </c>
      <c r="I39" s="72">
        <f>Table333456789101211212223242527282930313233[[#This Row],[MTD Company]]-Table333456789101211212223242527282930313233[[#This Row],[MTD Panel]]</f>
        <v>0</v>
      </c>
    </row>
    <row r="40" spans="1:9">
      <c r="A40" s="11" t="str">
        <f>Table333456789101217[[#This Row],[Carrier]]</f>
        <v>Vortex</v>
      </c>
      <c r="B40" s="5" t="str">
        <f>Table333456789101217[[#This Row],[IP]]</f>
        <v>179.250.91.8/29.540.67.457/94.25.34.78/183.144.27.18</v>
      </c>
      <c r="C40" s="6" t="str">
        <f>Table333456789101217[[#This Row],[Carrier Code]]</f>
        <v>VT</v>
      </c>
      <c r="D40" s="53">
        <v>0</v>
      </c>
      <c r="E40" s="53">
        <v>0</v>
      </c>
      <c r="F40" s="18">
        <f>Table333456789101211212223242527282930313233[[#This Row],[Company Panel]]+Table3334567891012112122232425272829303132[[#This Row],[MTD Company]]</f>
        <v>0.95</v>
      </c>
      <c r="G40" s="18">
        <f>Table333456789101211212223242527282930313233[[#This Row],[Our panel]]+Table3334567891012112122232425272829303132[[#This Row],[MTD Panel]]</f>
        <v>0.95</v>
      </c>
      <c r="H40" s="72">
        <f>Table333456789101211212223242527282930313233[[#This Row],[Company Panel]]-Table333456789101211212223242527282930313233[[#This Row],[Our panel]]</f>
        <v>0</v>
      </c>
      <c r="I40" s="72">
        <f>Table333456789101211212223242527282930313233[[#This Row],[MTD Company]]-Table333456789101211212223242527282930313233[[#This Row],[MTD Panel]]</f>
        <v>0</v>
      </c>
    </row>
    <row r="41" spans="1:9">
      <c r="A41" s="11" t="str">
        <f>Table333456789101217[[#This Row],[Carrier]]</f>
        <v>Void</v>
      </c>
      <c r="B41" s="5" t="str">
        <f>Table333456789101217[[#This Row],[IP]]</f>
        <v>156.34.123.11/156.34.123.25/156.34.123.62/92.44.233.110</v>
      </c>
      <c r="C41" s="6" t="str">
        <f>Table333456789101217[[#This Row],[Carrier Code]]</f>
        <v>VO</v>
      </c>
      <c r="D41" s="53">
        <v>15.2</v>
      </c>
      <c r="E41" s="53">
        <v>15.2</v>
      </c>
      <c r="F41" s="18">
        <f>Table333456789101211212223242527282930313233[[#This Row],[Company Panel]]+Table3334567891012112122232425272829303132[[#This Row],[MTD Company]]</f>
        <v>960.04999999999984</v>
      </c>
      <c r="G41" s="18">
        <f>Table333456789101211212223242527282930313233[[#This Row],[Our panel]]+Table3334567891012112122232425272829303132[[#This Row],[MTD Panel]]</f>
        <v>960.04999999999984</v>
      </c>
      <c r="H41" s="72">
        <f>Table333456789101211212223242527282930313233[[#This Row],[Company Panel]]-Table333456789101211212223242527282930313233[[#This Row],[Our panel]]</f>
        <v>0</v>
      </c>
      <c r="I41" s="72">
        <f>Table333456789101211212223242527282930313233[[#This Row],[MTD Company]]-Table333456789101211212223242527282930313233[[#This Row],[MTD Panel]]</f>
        <v>0</v>
      </c>
    </row>
    <row r="42" spans="1:9">
      <c r="A42" s="11" t="str">
        <f>Table333456789101217[[#This Row],[Carrier]]</f>
        <v>Midnight</v>
      </c>
      <c r="B42" s="5" t="str">
        <f>Table333456789101217[[#This Row],[IP]]</f>
        <v>134.77.22.4/23.97.150.8</v>
      </c>
      <c r="C42" s="6" t="str">
        <f>Table333456789101217[[#This Row],[Carrier Code]]</f>
        <v>MI</v>
      </c>
      <c r="D42" s="53">
        <v>164.5</v>
      </c>
      <c r="E42" s="53">
        <v>164.5</v>
      </c>
      <c r="F42" s="18">
        <f>Table333456789101211212223242527282930313233[[#This Row],[Company Panel]]+Table3334567891012112122232425272829303132[[#This Row],[MTD Company]]</f>
        <v>7909.0166666666664</v>
      </c>
      <c r="G42" s="18">
        <f>Table333456789101211212223242527282930313233[[#This Row],[Our panel]]+Table3334567891012112122232425272829303132[[#This Row],[MTD Panel]]</f>
        <v>7909.0166666666664</v>
      </c>
      <c r="H42" s="72">
        <f>Table333456789101211212223242527282930313233[[#This Row],[Company Panel]]-Table333456789101211212223242527282930313233[[#This Row],[Our panel]]</f>
        <v>0</v>
      </c>
      <c r="I42" s="72">
        <f>Table333456789101211212223242527282930313233[[#This Row],[MTD Company]]-Table333456789101211212223242527282930313233[[#This Row],[MTD Panel]]</f>
        <v>0</v>
      </c>
    </row>
    <row r="43" spans="1:9">
      <c r="A43" s="11" t="str">
        <f>Table333456789101217[[#This Row],[Carrier]]</f>
        <v>Autumn</v>
      </c>
      <c r="B43" s="5" t="str">
        <f>Table333456789101217[[#This Row],[IP]]</f>
        <v>202.54.210.88/12.331.94.73/64.19.28.175</v>
      </c>
      <c r="C43" s="6" t="str">
        <f>Table333456789101217[[#This Row],[Carrier Code]]</f>
        <v>AU</v>
      </c>
      <c r="D43" s="53">
        <v>0.18333333333333332</v>
      </c>
      <c r="E43" s="53">
        <v>0.18333333333333332</v>
      </c>
      <c r="F43" s="18">
        <f>Table333456789101211212223242527282930313233[[#This Row],[Company Panel]]+Table3334567891012112122232425272829303132[[#This Row],[MTD Company]]</f>
        <v>271.11666666666667</v>
      </c>
      <c r="G43" s="18">
        <f>Table333456789101211212223242527282930313233[[#This Row],[Our panel]]+Table3334567891012112122232425272829303132[[#This Row],[MTD Panel]]</f>
        <v>271.11666666666667</v>
      </c>
      <c r="H43" s="72">
        <f>Table333456789101211212223242527282930313233[[#This Row],[Company Panel]]-Table333456789101211212223242527282930313233[[#This Row],[Our panel]]</f>
        <v>0</v>
      </c>
      <c r="I43" s="72">
        <f>Table333456789101211212223242527282930313233[[#This Row],[MTD Company]]-Table333456789101211212223242527282930313233[[#This Row],[MTD Panel]]</f>
        <v>0</v>
      </c>
    </row>
    <row r="44" spans="1:9">
      <c r="A44" s="11" t="str">
        <f>Table333456789101217[[#This Row],[Carrier]]</f>
        <v>Mystic</v>
      </c>
      <c r="B44" s="5" t="str">
        <f>Table333456789101217[[#This Row],[IP]]</f>
        <v>51.233.21.76/82.115.35.60/82.115.35.85</v>
      </c>
      <c r="C44" s="6" t="str">
        <f>Table333456789101217[[#This Row],[Carrier Code]]</f>
        <v>MY</v>
      </c>
      <c r="D44" s="53">
        <v>0</v>
      </c>
      <c r="E44" s="53">
        <v>0</v>
      </c>
      <c r="F44" s="18">
        <f>Table333456789101211212223242527282930313233[[#This Row],[Company Panel]]+Table3334567891012112122232425272829303132[[#This Row],[MTD Company]]</f>
        <v>0</v>
      </c>
      <c r="G44" s="18">
        <f>Table333456789101211212223242527282930313233[[#This Row],[Our panel]]+Table3334567891012112122232425272829303132[[#This Row],[MTD Panel]]</f>
        <v>0</v>
      </c>
      <c r="H44" s="72">
        <f>Table333456789101211212223242527282930313233[[#This Row],[Company Panel]]-Table333456789101211212223242527282930313233[[#This Row],[Our panel]]</f>
        <v>0</v>
      </c>
      <c r="I44" s="72">
        <f>Table333456789101211212223242527282930313233[[#This Row],[MTD Company]]-Table333456789101211212223242527282930313233[[#This Row],[MTD Panel]]</f>
        <v>0</v>
      </c>
    </row>
    <row r="45" spans="1:9">
      <c r="A45" s="11" t="str">
        <f>Table333456789101217[[#This Row],[Carrier]]</f>
        <v>Clover</v>
      </c>
      <c r="B45" s="5" t="str">
        <f>Table333456789101217[[#This Row],[IP]]</f>
        <v>210.150.12.45/84.50.212.66/135.113.88.9</v>
      </c>
      <c r="C45" s="6" t="str">
        <f>Table333456789101217[[#This Row],[Carrier Code]]</f>
        <v>CO</v>
      </c>
      <c r="D45" s="53">
        <v>39.549999999999997</v>
      </c>
      <c r="E45" s="53">
        <v>39.549999999999997</v>
      </c>
      <c r="F45" s="18">
        <f>Table333456789101211212223242527282930313233[[#This Row],[Company Panel]]+Table3334567891012112122232425272829303132[[#This Row],[MTD Company]]</f>
        <v>35274.650000000016</v>
      </c>
      <c r="G45" s="18">
        <f>Table333456789101211212223242527282930313233[[#This Row],[Our panel]]+Table3334567891012112122232425272829303132[[#This Row],[MTD Panel]]</f>
        <v>35274.650000000016</v>
      </c>
      <c r="H45" s="13">
        <f>Table333456789101211212223242527282930313233[[#This Row],[Company Panel]]-Table333456789101211212223242527282930313233[[#This Row],[Our panel]]</f>
        <v>0</v>
      </c>
      <c r="I45" s="13">
        <f>Table333456789101211212223242527282930313233[[#This Row],[MTD Company]]-Table333456789101211212223242527282930313233[[#This Row],[MTD Panel]]</f>
        <v>0</v>
      </c>
    </row>
    <row r="46" spans="1:9">
      <c r="A46" s="11" t="str">
        <f>Table333456789101217[[#This Row],[Carrier]]</f>
        <v>Hunter</v>
      </c>
      <c r="B46" s="5" t="str">
        <f>Table333456789101217[[#This Row],[IP]]</f>
        <v>170.199.20.87/13.693.39.280/78.30.123.47</v>
      </c>
      <c r="C46" s="6" t="str">
        <f>Table333456789101217[[#This Row],[Carrier Code]]</f>
        <v>HU</v>
      </c>
      <c r="D46" s="53">
        <v>13439.75</v>
      </c>
      <c r="E46" s="53">
        <v>13439.75</v>
      </c>
      <c r="F46" s="18">
        <f>Table333456789101211212223242527282930313233[[#This Row],[Company Panel]]+Table3334567891012112122232425272829303132[[#This Row],[MTD Company]]</f>
        <v>31258.466666666667</v>
      </c>
      <c r="G46" s="18">
        <f>Table333456789101211212223242527282930313233[[#This Row],[Our panel]]+Table3334567891012112122232425272829303132[[#This Row],[MTD Panel]]</f>
        <v>31258.466666666667</v>
      </c>
      <c r="H46" s="13">
        <f>Table333456789101211212223242527282930313233[[#This Row],[Company Panel]]-Table333456789101211212223242527282930313233[[#This Row],[Our panel]]</f>
        <v>0</v>
      </c>
      <c r="I46" s="13">
        <f>Table333456789101211212223242527282930313233[[#This Row],[MTD Company]]-Table333456789101211212223242527282930313233[[#This Row],[MTD Panel]]</f>
        <v>0</v>
      </c>
    </row>
    <row r="47" spans="1:9">
      <c r="A47" s="11" t="str">
        <f>Table333456789101217[[#This Row],[Carrier]]</f>
        <v>Invaded</v>
      </c>
      <c r="B47" s="5" t="str">
        <f>Table333456789101217[[#This Row],[IP]]</f>
        <v>182.67.99.120/80.518.230.410/26.847.95.107/188.12.67.92</v>
      </c>
      <c r="C47" s="6" t="str">
        <f>Table333456789101217[[#This Row],[Carrier Code]]</f>
        <v>ID</v>
      </c>
      <c r="D47" s="7">
        <v>0</v>
      </c>
      <c r="E47" s="7">
        <v>0</v>
      </c>
      <c r="F47" s="18">
        <f>Table333456789101211212223242527282930313233[[#This Row],[Company Panel]]+Table3334567891012112122232425272829303132[[#This Row],[MTD Company]]</f>
        <v>0</v>
      </c>
      <c r="G47" s="18">
        <f>Table333456789101211212223242527282930313233[[#This Row],[Our panel]]+Table3334567891012112122232425272829303132[[#This Row],[MTD Panel]]</f>
        <v>0</v>
      </c>
      <c r="H47" s="13">
        <f>Table333456789101211212223242527282930313233[[#This Row],[Company Panel]]-Table333456789101211212223242527282930313233[[#This Row],[Our panel]]</f>
        <v>0</v>
      </c>
      <c r="I47" s="13">
        <f>Table333456789101211212223242527282930313233[[#This Row],[MTD Company]]-Table333456789101211212223242527282930313233[[#This Row],[MTD Panel]]</f>
        <v>0</v>
      </c>
    </row>
    <row r="48" spans="1:9">
      <c r="A48" s="11" t="str">
        <f>Table333456789101217[[#This Row],[Carrier]]</f>
        <v>Delusion</v>
      </c>
      <c r="B48" s="5" t="str">
        <f>Table333456789101217[[#This Row],[IP]]</f>
        <v>198.51.100.72/69.887.74.738/39.153.110.645</v>
      </c>
      <c r="C48" s="6" t="str">
        <f>Table333456789101217[[#This Row],[Carrier Code]]</f>
        <v>DU</v>
      </c>
      <c r="D48" s="7">
        <v>0</v>
      </c>
      <c r="E48" s="7">
        <v>0</v>
      </c>
      <c r="F48" s="18">
        <f>Table333456789101211212223242527282930313233[[#This Row],[Company Panel]]+Table3334567891012112122232425272829303132[[#This Row],[MTD Company]]</f>
        <v>0</v>
      </c>
      <c r="G48" s="18">
        <f>Table333456789101211212223242527282930313233[[#This Row],[Our panel]]+Table3334567891012112122232425272829303132[[#This Row],[MTD Panel]]</f>
        <v>0</v>
      </c>
      <c r="H48" s="13">
        <f>Table333456789101211212223242527282930313233[[#This Row],[Company Panel]]-Table333456789101211212223242527282930313233[[#This Row],[Our panel]]</f>
        <v>0</v>
      </c>
      <c r="I48" s="13">
        <f>Table333456789101211212223242527282930313233[[#This Row],[MTD Company]]-Table333456789101211212223242527282930313233[[#This Row],[MTD Panel]]</f>
        <v>0</v>
      </c>
    </row>
    <row r="49" spans="1:9" ht="15.5">
      <c r="A49" s="11" t="str">
        <f>Table333456789101217[[#This Row],[Carrier]]</f>
        <v>Total</v>
      </c>
      <c r="B49" s="14"/>
      <c r="C49" s="15"/>
      <c r="D49" s="16">
        <f>SUM(D3:D48)</f>
        <v>24669.916666666664</v>
      </c>
      <c r="E49" s="16">
        <f t="shared" ref="E49:I49" si="0">SUM(E3:E48)</f>
        <v>24669.916666666664</v>
      </c>
      <c r="F49" s="16">
        <f t="shared" si="0"/>
        <v>254424.05</v>
      </c>
      <c r="G49" s="16">
        <f t="shared" si="0"/>
        <v>254424.05</v>
      </c>
      <c r="H49" s="16">
        <f t="shared" si="0"/>
        <v>0</v>
      </c>
      <c r="I49" s="16">
        <f t="shared" si="0"/>
        <v>0</v>
      </c>
    </row>
    <row r="52" spans="1:9">
      <c r="G52" s="52"/>
    </row>
    <row r="53" spans="1:9">
      <c r="G53" s="9"/>
    </row>
  </sheetData>
  <conditionalFormatting sqref="H2:I48">
    <cfRule type="cellIs" dxfId="94" priority="12" operator="lessThan">
      <formula>0</formula>
    </cfRule>
  </conditionalFormatting>
  <conditionalFormatting sqref="I30:I48">
    <cfRule type="cellIs" dxfId="93" priority="11" operator="lessThan">
      <formula>0</formula>
    </cfRule>
  </conditionalFormatting>
  <conditionalFormatting sqref="H3:I48">
    <cfRule type="cellIs" dxfId="92" priority="10" operator="lessThan">
      <formula>0</formula>
    </cfRule>
  </conditionalFormatting>
  <conditionalFormatting sqref="I30:I48">
    <cfRule type="cellIs" dxfId="91" priority="9" operator="lessThan">
      <formula>0</formula>
    </cfRule>
  </conditionalFormatting>
  <conditionalFormatting sqref="I3:I48">
    <cfRule type="cellIs" dxfId="90" priority="1" operator="lessThan">
      <formula>0</formula>
    </cfRule>
    <cfRule type="cellIs" dxfId="89" priority="2" operator="lessThan">
      <formula>0</formula>
    </cfRule>
  </conditionalFormatting>
  <hyperlinks>
    <hyperlink ref="E1" location="H!A1" display="Home"/>
    <hyperlink ref="D1" location="'25'!D1" display="←"/>
    <hyperlink ref="F1" location="'27'!F1" display="→"/>
  </hyperlinks>
  <pageMargins left="0.7" right="0.7" top="0.75" bottom="0.75" header="0.3" footer="0.3"/>
  <pageSetup orientation="portrait" r:id="rId1"/>
  <ignoredErrors>
    <ignoredError sqref="A10:C10" formula="1"/>
  </ignoredErrors>
  <drawing r:id="rId2"/>
  <tableParts count="1">
    <tablePart r:id="rId3"/>
  </tableParts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2"/>
  <sheetViews>
    <sheetView workbookViewId="0">
      <selection activeCell="E49" sqref="E49"/>
    </sheetView>
  </sheetViews>
  <sheetFormatPr defaultRowHeight="14.5"/>
  <cols>
    <col min="1" max="1" width="26.7265625" bestFit="1" customWidth="1"/>
    <col min="2" max="2" width="37" bestFit="1" customWidth="1"/>
    <col min="3" max="3" width="10.453125" customWidth="1"/>
    <col min="4" max="9" width="12.7265625" customWidth="1"/>
  </cols>
  <sheetData>
    <row r="1" spans="1:12" ht="18.5">
      <c r="A1" s="23" t="str">
        <f>H!D12</f>
        <v>27th April 2025</v>
      </c>
      <c r="B1" s="24"/>
      <c r="C1" s="24"/>
      <c r="D1" s="22" t="s">
        <v>16</v>
      </c>
      <c r="E1" s="22" t="s">
        <v>9</v>
      </c>
      <c r="F1" s="22" t="s">
        <v>17</v>
      </c>
    </row>
    <row r="2" spans="1:12" ht="31">
      <c r="A2" s="1" t="s">
        <v>0</v>
      </c>
      <c r="B2" s="2" t="s">
        <v>1</v>
      </c>
      <c r="C2" s="2" t="s">
        <v>2</v>
      </c>
      <c r="D2" s="2" t="s">
        <v>3</v>
      </c>
      <c r="E2" s="2" t="s">
        <v>11</v>
      </c>
      <c r="F2" s="2" t="s">
        <v>4</v>
      </c>
      <c r="G2" s="4" t="s">
        <v>6</v>
      </c>
      <c r="H2" s="4" t="s">
        <v>7</v>
      </c>
      <c r="I2" s="3" t="s">
        <v>8</v>
      </c>
    </row>
    <row r="3" spans="1:12">
      <c r="A3" s="11" t="str">
        <f>Table333456789101217[[#This Row],[Carrier]]</f>
        <v>Blaze</v>
      </c>
      <c r="B3" s="5" t="str">
        <f>Table333456789101217[[#This Row],[IP]]</f>
        <v>8.12.34.56/48.163.17.845/60.502.86.203/191.45.28.14</v>
      </c>
      <c r="C3" s="6" t="str">
        <f>Table333456789101217[[#This Row],[Carrier Code]]</f>
        <v>BZ</v>
      </c>
      <c r="D3" s="53">
        <v>0</v>
      </c>
      <c r="E3" s="53">
        <v>0</v>
      </c>
      <c r="F3" s="18">
        <f>Table333456789101211212223242527282930313234[[#This Row],[Company Panel]]+Table333456789101211212223242527282930313233[[#This Row],[MTD Company]]</f>
        <v>0</v>
      </c>
      <c r="G3" s="18">
        <f>Table333456789101211212223242527282930313234[[#This Row],[Our panel]]+Table333456789101211212223242527282930313233[[#This Row],[MTD Panel]]</f>
        <v>0</v>
      </c>
      <c r="H3" s="13">
        <f>Table333456789101211212223242527282930313234[[#This Row],[Company Panel]]-Table333456789101211212223242527282930313234[[#This Row],[Our panel]]</f>
        <v>0</v>
      </c>
      <c r="I3" s="13">
        <f>Table333456789101211212223242527282930313234[[#This Row],[MTD Company]]-Table333456789101211212223242527282930313234[[#This Row],[MTD Panel]]</f>
        <v>0</v>
      </c>
    </row>
    <row r="4" spans="1:12">
      <c r="A4" s="11" t="str">
        <f>Table333456789101217[[#This Row],[Carrier]]</f>
        <v>Titan</v>
      </c>
      <c r="B4" s="5" t="str">
        <f>Table333456789101217[[#This Row],[IP]]</f>
        <v>123.45.67.89/123.45.67.93/203.24.101.65</v>
      </c>
      <c r="C4" s="6" t="str">
        <f>Table333456789101217[[#This Row],[Carrier Code]]</f>
        <v>TI</v>
      </c>
      <c r="D4" s="53">
        <v>0.33333333333333331</v>
      </c>
      <c r="E4" s="53">
        <v>0.33333333333333331</v>
      </c>
      <c r="F4" s="18">
        <f>Table333456789101211212223242527282930313234[[#This Row],[Company Panel]]+Table333456789101211212223242527282930313233[[#This Row],[MTD Company]]</f>
        <v>331.48333333333335</v>
      </c>
      <c r="G4" s="18">
        <f>Table333456789101211212223242527282930313234[[#This Row],[Our panel]]+Table333456789101211212223242527282930313233[[#This Row],[MTD Panel]]</f>
        <v>331.48333333333335</v>
      </c>
      <c r="H4" s="13">
        <f>Table333456789101211212223242527282930313234[[#This Row],[Company Panel]]-Table333456789101211212223242527282930313234[[#This Row],[Our panel]]</f>
        <v>0</v>
      </c>
      <c r="I4" s="13">
        <f>Table333456789101211212223242527282930313234[[#This Row],[MTD Company]]-Table333456789101211212223242527282930313234[[#This Row],[MTD Panel]]</f>
        <v>0</v>
      </c>
      <c r="L4" s="9"/>
    </row>
    <row r="5" spans="1:12">
      <c r="A5" s="11" t="str">
        <f>Table333456789101217[[#This Row],[Carrier]]</f>
        <v>Hollow</v>
      </c>
      <c r="B5" s="5" t="str">
        <f>Table333456789101217[[#This Row],[IP]]</f>
        <v>204.56.78.100/204.56.57.169/52.94.101.12</v>
      </c>
      <c r="C5" s="6" t="str">
        <f>Table333456789101217[[#This Row],[Carrier Code]]</f>
        <v>HO</v>
      </c>
      <c r="D5" s="53">
        <v>0</v>
      </c>
      <c r="E5" s="53">
        <v>0</v>
      </c>
      <c r="F5" s="18">
        <f>Table333456789101211212223242527282930313234[[#This Row],[Company Panel]]+Table333456789101211212223242527282930313233[[#This Row],[MTD Company]]</f>
        <v>0</v>
      </c>
      <c r="G5" s="18">
        <f>Table333456789101211212223242527282930313234[[#This Row],[Our panel]]+Table333456789101211212223242527282930313233[[#This Row],[MTD Panel]]</f>
        <v>0</v>
      </c>
      <c r="H5" s="13">
        <f>Table333456789101211212223242527282930313234[[#This Row],[Company Panel]]-Table333456789101211212223242527282930313234[[#This Row],[Our panel]]</f>
        <v>0</v>
      </c>
      <c r="I5" s="13">
        <f>Table333456789101211212223242527282930313234[[#This Row],[MTD Company]]-Table333456789101211212223242527282930313234[[#This Row],[MTD Panel]]</f>
        <v>0</v>
      </c>
    </row>
    <row r="6" spans="1:12">
      <c r="A6" s="11" t="str">
        <f>Table333456789101217[[#This Row],[Carrier]]</f>
        <v>Prism</v>
      </c>
      <c r="B6" s="5" t="str">
        <f>Table333456789101217[[#This Row],[IP]]</f>
        <v>35.118.22.45/137.63.112.25</v>
      </c>
      <c r="C6" s="6" t="str">
        <f>Table333456789101217[[#This Row],[Carrier Code]]</f>
        <v>PS</v>
      </c>
      <c r="D6" s="53">
        <v>180.6</v>
      </c>
      <c r="E6" s="53">
        <v>180.6</v>
      </c>
      <c r="F6" s="18">
        <f>Table333456789101211212223242527282930313234[[#This Row],[Company Panel]]+Table333456789101211212223242527282930313233[[#This Row],[MTD Company]]</f>
        <v>73311.716666666631</v>
      </c>
      <c r="G6" s="18">
        <f>Table333456789101211212223242527282930313234[[#This Row],[Our panel]]+Table333456789101211212223242527282930313233[[#This Row],[MTD Panel]]</f>
        <v>73311.716666666631</v>
      </c>
      <c r="H6" s="13">
        <f>Table333456789101211212223242527282930313234[[#This Row],[Company Panel]]-Table333456789101211212223242527282930313234[[#This Row],[Our panel]]</f>
        <v>0</v>
      </c>
      <c r="I6" s="13">
        <f>Table333456789101211212223242527282930313234[[#This Row],[MTD Company]]-Table333456789101211212223242527282930313234[[#This Row],[MTD Panel]]</f>
        <v>0</v>
      </c>
    </row>
    <row r="7" spans="1:12">
      <c r="A7" s="11" t="str">
        <f>Table333456789101217[[#This Row],[Carrier]]</f>
        <v>Echo</v>
      </c>
      <c r="B7" s="5" t="str">
        <f>Table333456789101217[[#This Row],[IP]]</f>
        <v>66.89.101.10/66.89.101.19/66.89.101.23/66.89.101.45/66.89.101.81/85.21.34.99</v>
      </c>
      <c r="C7" s="6" t="str">
        <f>Table333456789101217[[#This Row],[Carrier Code]]</f>
        <v>EC</v>
      </c>
      <c r="D7" s="53">
        <v>10.366666666666667</v>
      </c>
      <c r="E7" s="53">
        <v>10.366666666666667</v>
      </c>
      <c r="F7" s="18">
        <f>Table333456789101211212223242527282930313234[[#This Row],[Company Panel]]+Table333456789101211212223242527282930313233[[#This Row],[MTD Company]]</f>
        <v>116.18333333333334</v>
      </c>
      <c r="G7" s="18">
        <f>Table333456789101211212223242527282930313234[[#This Row],[Our panel]]+Table333456789101211212223242527282930313233[[#This Row],[MTD Panel]]</f>
        <v>116.18333333333334</v>
      </c>
      <c r="H7" s="13">
        <f>Table333456789101211212223242527282930313234[[#This Row],[Company Panel]]-Table333456789101211212223242527282930313234[[#This Row],[Our panel]]</f>
        <v>0</v>
      </c>
      <c r="I7" s="13">
        <f>Table333456789101211212223242527282930313234[[#This Row],[MTD Company]]-Table333456789101211212223242527282930313234[[#This Row],[MTD Panel]]</f>
        <v>0</v>
      </c>
    </row>
    <row r="8" spans="1:12">
      <c r="A8" s="11" t="str">
        <f>Table333456789101217[[#This Row],[Carrier]]</f>
        <v>Strike</v>
      </c>
      <c r="B8" s="5" t="str">
        <f>Table333456789101217[[#This Row],[IP]]</f>
        <v>100.200.150.3/100.200.165.38/41.102.90.78</v>
      </c>
      <c r="C8" s="6" t="str">
        <f>Table333456789101217[[#This Row],[Carrier Code]]</f>
        <v>ST</v>
      </c>
      <c r="D8" s="53">
        <v>148.4</v>
      </c>
      <c r="E8" s="53">
        <v>148.4</v>
      </c>
      <c r="F8" s="18">
        <f>Table333456789101211212223242527282930313234[[#This Row],[Company Panel]]+Table333456789101211212223242527282930313233[[#This Row],[MTD Company]]</f>
        <v>3021.75</v>
      </c>
      <c r="G8" s="18">
        <f>Table333456789101211212223242527282930313234[[#This Row],[Our panel]]+Table333456789101211212223242527282930313233[[#This Row],[MTD Panel]]</f>
        <v>3021.75</v>
      </c>
      <c r="H8" s="13">
        <f>Table333456789101211212223242527282930313234[[#This Row],[Company Panel]]-Table333456789101211212223242527282930313234[[#This Row],[Our panel]]</f>
        <v>0</v>
      </c>
      <c r="I8" s="13">
        <f>Table333456789101211212223242527282930313234[[#This Row],[MTD Company]]-Table333456789101211212223242527282930313234[[#This Row],[MTD Panel]]</f>
        <v>0</v>
      </c>
      <c r="L8" s="9"/>
    </row>
    <row r="9" spans="1:12">
      <c r="A9" s="11" t="str">
        <f>Table333456789101217[[#This Row],[Carrier]]</f>
        <v>Blunt</v>
      </c>
      <c r="B9" s="5" t="str">
        <f>Table333456789101217[[#This Row],[IP]]</f>
        <v>52.28.191.25/52.28.191.38/52.28.191.24/61.110.23.45</v>
      </c>
      <c r="C9" s="6" t="str">
        <f>Table333456789101217[[#This Row],[Carrier Code]]</f>
        <v>BL</v>
      </c>
      <c r="D9" s="53">
        <v>227.43333333333334</v>
      </c>
      <c r="E9" s="53">
        <v>227.43333333333334</v>
      </c>
      <c r="F9" s="18">
        <f>Table333456789101211212223242527282930313234[[#This Row],[Company Panel]]+Table333456789101211212223242527282930313233[[#This Row],[MTD Company]]</f>
        <v>11050.000000000002</v>
      </c>
      <c r="G9" s="18">
        <f>Table333456789101211212223242527282930313234[[#This Row],[Our panel]]+Table333456789101211212223242527282930313233[[#This Row],[MTD Panel]]</f>
        <v>11050.000000000002</v>
      </c>
      <c r="H9" s="13">
        <f>Table333456789101211212223242527282930313234[[#This Row],[Company Panel]]-Table333456789101211212223242527282930313234[[#This Row],[Our panel]]</f>
        <v>0</v>
      </c>
      <c r="I9" s="13">
        <f>Table333456789101211212223242527282930313234[[#This Row],[MTD Company]]-Table333456789101211212223242527282930313234[[#This Row],[MTD Panel]]</f>
        <v>0</v>
      </c>
    </row>
    <row r="10" spans="1:12">
      <c r="A10" s="11" t="str">
        <f>Table333456789101217[[#This Row],[Carrier]]</f>
        <v>Law</v>
      </c>
      <c r="B10" s="5" t="str">
        <f>Table333456789101217[[#This Row],[IP]]</f>
        <v>77.88.99.21/77.88.99.88/77.88.99.94/110.56.211.7</v>
      </c>
      <c r="C10" s="6" t="str">
        <f>Table333456789101217[[#This Row],[Carrier Code]]</f>
        <v>LA</v>
      </c>
      <c r="D10" s="53">
        <v>0</v>
      </c>
      <c r="E10" s="53">
        <v>0</v>
      </c>
      <c r="F10" s="18">
        <f>Table333456789101211212223242527282930313234[[#This Row],[Company Panel]]+Table333456789101211212223242527282930313233[[#This Row],[MTD Company]]</f>
        <v>0</v>
      </c>
      <c r="G10" s="18">
        <f>Table333456789101211212223242527282930313234[[#This Row],[Our panel]]+Table333456789101211212223242527282930313233[[#This Row],[MTD Panel]]</f>
        <v>0</v>
      </c>
      <c r="H10" s="13">
        <f>Table333456789101211212223242527282930313234[[#This Row],[Company Panel]]-Table333456789101211212223242527282930313234[[#This Row],[Our panel]]</f>
        <v>0</v>
      </c>
      <c r="I10" s="13">
        <f>Table333456789101211212223242527282930313234[[#This Row],[MTD Company]]-Table333456789101211212223242527282930313234[[#This Row],[MTD Panel]]</f>
        <v>0</v>
      </c>
    </row>
    <row r="11" spans="1:12">
      <c r="A11" s="11" t="str">
        <f>Table333456789101217[[#This Row],[Carrier]]</f>
        <v>Pulse</v>
      </c>
      <c r="B11" s="5" t="str">
        <f>Table333456789101217[[#This Row],[IP]]</f>
        <v>198.51.100.130/31.725.16.608/66.59.61.503/167.34.122.90</v>
      </c>
      <c r="C11" s="6" t="str">
        <f>Table333456789101217[[#This Row],[Carrier Code]]</f>
        <v>PU</v>
      </c>
      <c r="D11" s="53">
        <v>0</v>
      </c>
      <c r="E11" s="53">
        <v>0</v>
      </c>
      <c r="F11" s="18">
        <f>Table333456789101211212223242527282930313234[[#This Row],[Company Panel]]+Table333456789101211212223242527282930313233[[#This Row],[MTD Company]]</f>
        <v>0</v>
      </c>
      <c r="G11" s="18">
        <f>Table333456789101211212223242527282930313234[[#This Row],[Our panel]]+Table333456789101211212223242527282930313233[[#This Row],[MTD Panel]]</f>
        <v>0</v>
      </c>
      <c r="H11" s="13">
        <f>Table333456789101211212223242527282930313234[[#This Row],[Company Panel]]-Table333456789101211212223242527282930313234[[#This Row],[Our panel]]</f>
        <v>0</v>
      </c>
      <c r="I11" s="13">
        <f>Table333456789101211212223242527282930313234[[#This Row],[MTD Company]]-Table333456789101211212223242527282930313234[[#This Row],[MTD Panel]]</f>
        <v>0</v>
      </c>
    </row>
    <row r="12" spans="1:12">
      <c r="A12" s="11" t="str">
        <f>Table333456789101217[[#This Row],[Carrier]]</f>
        <v>Phantom</v>
      </c>
      <c r="B12" s="5" t="str">
        <f>Table333456789101217[[#This Row],[IP]]</f>
        <v>141.15.210.67/141.15.42.82/179.62.211.4</v>
      </c>
      <c r="C12" s="6" t="str">
        <f>Table333456789101217[[#This Row],[Carrier Code]]</f>
        <v>PH</v>
      </c>
      <c r="D12" s="53">
        <v>1.35</v>
      </c>
      <c r="E12" s="53">
        <v>1.35</v>
      </c>
      <c r="F12" s="18">
        <f>Table333456789101211212223242527282930313234[[#This Row],[Company Panel]]+Table333456789101211212223242527282930313233[[#This Row],[MTD Company]]</f>
        <v>3377.7833333333324</v>
      </c>
      <c r="G12" s="18">
        <f>Table333456789101211212223242527282930313234[[#This Row],[Our panel]]+Table333456789101211212223242527282930313233[[#This Row],[MTD Panel]]</f>
        <v>3377.7833333333324</v>
      </c>
      <c r="H12" s="13">
        <f>Table333456789101211212223242527282930313234[[#This Row],[Company Panel]]-Table333456789101211212223242527282930313234[[#This Row],[Our panel]]</f>
        <v>0</v>
      </c>
      <c r="I12" s="13">
        <f>Table333456789101211212223242527282930313234[[#This Row],[MTD Company]]-Table333456789101211212223242527282930313234[[#This Row],[MTD Panel]]</f>
        <v>0</v>
      </c>
    </row>
    <row r="13" spans="1:12">
      <c r="A13" s="11" t="str">
        <f>Table333456789101217[[#This Row],[Carrier]]</f>
        <v>Dragon</v>
      </c>
      <c r="B13" s="5" t="str">
        <f>Table333456789101217[[#This Row],[IP]]</f>
        <v>12.34.56.78/12.34.56.128/200.180.245.18</v>
      </c>
      <c r="C13" s="6" t="str">
        <f>Table333456789101217[[#This Row],[Carrier Code]]</f>
        <v>DG</v>
      </c>
      <c r="D13" s="53">
        <v>0</v>
      </c>
      <c r="E13" s="53">
        <v>0</v>
      </c>
      <c r="F13" s="18">
        <f>Table333456789101211212223242527282930313234[[#This Row],[Company Panel]]+Table333456789101211212223242527282930313233[[#This Row],[MTD Company]]</f>
        <v>0</v>
      </c>
      <c r="G13" s="18">
        <f>Table333456789101211212223242527282930313234[[#This Row],[Our panel]]+Table333456789101211212223242527282930313233[[#This Row],[MTD Panel]]</f>
        <v>0</v>
      </c>
      <c r="H13" s="13">
        <f>Table333456789101211212223242527282930313234[[#This Row],[Company Panel]]-Table333456789101211212223242527282930313234[[#This Row],[Our panel]]</f>
        <v>0</v>
      </c>
      <c r="I13" s="13">
        <f>Table333456789101211212223242527282930313234[[#This Row],[MTD Company]]-Table333456789101211212223242527282930313234[[#This Row],[MTD Panel]]</f>
        <v>0</v>
      </c>
    </row>
    <row r="14" spans="1:12">
      <c r="A14" s="11" t="str">
        <f>Table333456789101217[[#This Row],[Carrier]]</f>
        <v>Tempest</v>
      </c>
      <c r="B14" s="5" t="str">
        <f>Table333456789101217[[#This Row],[IP]]</f>
        <v>59.144.223.88/55.39.99.60</v>
      </c>
      <c r="C14" s="6" t="str">
        <f>Table333456789101217[[#This Row],[Carrier Code]]</f>
        <v>TE</v>
      </c>
      <c r="D14" s="53">
        <v>0</v>
      </c>
      <c r="E14" s="53">
        <v>0</v>
      </c>
      <c r="F14" s="18">
        <f>Table333456789101211212223242527282930313234[[#This Row],[Company Panel]]+Table333456789101211212223242527282930313233[[#This Row],[MTD Company]]</f>
        <v>0</v>
      </c>
      <c r="G14" s="18">
        <f>Table333456789101211212223242527282930313234[[#This Row],[Our panel]]+Table333456789101211212223242527282930313233[[#This Row],[MTD Panel]]</f>
        <v>0</v>
      </c>
      <c r="H14" s="13">
        <f>Table333456789101211212223242527282930313234[[#This Row],[Company Panel]]-Table333456789101211212223242527282930313234[[#This Row],[Our panel]]</f>
        <v>0</v>
      </c>
      <c r="I14" s="13">
        <f>Table333456789101211212223242527282930313234[[#This Row],[MTD Company]]-Table333456789101211212223242527282930313234[[#This Row],[MTD Panel]]</f>
        <v>0</v>
      </c>
    </row>
    <row r="15" spans="1:12">
      <c r="A15" s="11" t="str">
        <f>Table333456789101217[[#This Row],[Carrier]]</f>
        <v>Shadow</v>
      </c>
      <c r="B15" s="5" t="str">
        <f>Table333456789101217[[#This Row],[IP]]</f>
        <v>175.45.112.100/25.851.31.153/39.80.220.100</v>
      </c>
      <c r="C15" s="6" t="str">
        <f>Table333456789101217[[#This Row],[Carrier Code]]</f>
        <v>SH</v>
      </c>
      <c r="D15" s="53">
        <v>0</v>
      </c>
      <c r="E15" s="53">
        <v>0</v>
      </c>
      <c r="F15" s="18">
        <f>Table333456789101211212223242527282930313234[[#This Row],[Company Panel]]+Table333456789101211212223242527282930313233[[#This Row],[MTD Company]]</f>
        <v>0.1</v>
      </c>
      <c r="G15" s="18">
        <f>Table333456789101211212223242527282930313234[[#This Row],[Our panel]]+Table333456789101211212223242527282930313233[[#This Row],[MTD Panel]]</f>
        <v>0.1</v>
      </c>
      <c r="H15" s="13">
        <f>Table333456789101211212223242527282930313234[[#This Row],[Company Panel]]-Table333456789101211212223242527282930313234[[#This Row],[Our panel]]</f>
        <v>0</v>
      </c>
      <c r="I15" s="13">
        <f>Table333456789101211212223242527282930313234[[#This Row],[MTD Company]]-Table333456789101211212223242527282930313234[[#This Row],[MTD Panel]]</f>
        <v>0</v>
      </c>
    </row>
    <row r="16" spans="1:12">
      <c r="A16" s="11" t="str">
        <f>Table333456789101217[[#This Row],[Carrier]]</f>
        <v>Cyclone</v>
      </c>
      <c r="B16" s="5" t="str">
        <f>Table333456789101217[[#This Row],[IP]]</f>
        <v>150.13.75.190/16.160.89.512/72.11.97.34</v>
      </c>
      <c r="C16" s="6" t="str">
        <f>Table333456789101217[[#This Row],[Carrier Code]]</f>
        <v>CY</v>
      </c>
      <c r="D16" s="53">
        <v>0</v>
      </c>
      <c r="E16" s="53">
        <v>0</v>
      </c>
      <c r="F16" s="18">
        <f>Table333456789101211212223242527282930313234[[#This Row],[Company Panel]]+Table333456789101211212223242527282930313233[[#This Row],[MTD Company]]</f>
        <v>0</v>
      </c>
      <c r="G16" s="18">
        <f>Table333456789101211212223242527282930313234[[#This Row],[Our panel]]+Table333456789101211212223242527282930313233[[#This Row],[MTD Panel]]</f>
        <v>0</v>
      </c>
      <c r="H16" s="13">
        <f>Table333456789101211212223242527282930313234[[#This Row],[Company Panel]]-Table333456789101211212223242527282930313234[[#This Row],[Our panel]]</f>
        <v>0</v>
      </c>
      <c r="I16" s="13">
        <f>Table333456789101211212223242527282930313234[[#This Row],[MTD Company]]-Table333456789101211212223242527282930313234[[#This Row],[MTD Panel]]</f>
        <v>0</v>
      </c>
    </row>
    <row r="17" spans="1:9">
      <c r="A17" s="11" t="str">
        <f>Table333456789101217[[#This Row],[Carrier]]</f>
        <v>Reaver</v>
      </c>
      <c r="B17" s="5" t="str">
        <f>Table333456789101217[[#This Row],[IP]]</f>
        <v>203.0.113.44/188.17.56.210</v>
      </c>
      <c r="C17" s="6" t="str">
        <f>Table333456789101217[[#This Row],[Carrier Code]]</f>
        <v>RE</v>
      </c>
      <c r="D17" s="53">
        <v>0</v>
      </c>
      <c r="E17" s="53">
        <v>0</v>
      </c>
      <c r="F17" s="18">
        <f>Table333456789101211212223242527282930313234[[#This Row],[Company Panel]]+Table333456789101211212223242527282930313233[[#This Row],[MTD Company]]</f>
        <v>0</v>
      </c>
      <c r="G17" s="18">
        <f>Table333456789101211212223242527282930313234[[#This Row],[Our panel]]+Table333456789101211212223242527282930313233[[#This Row],[MTD Panel]]</f>
        <v>0</v>
      </c>
      <c r="H17" s="13">
        <f>Table333456789101211212223242527282930313234[[#This Row],[Company Panel]]-Table333456789101211212223242527282930313234[[#This Row],[Our panel]]</f>
        <v>0</v>
      </c>
      <c r="I17" s="13">
        <f>Table333456789101211212223242527282930313234[[#This Row],[MTD Company]]-Table333456789101211212223242527282930313234[[#This Row],[MTD Panel]]</f>
        <v>0</v>
      </c>
    </row>
    <row r="18" spans="1:9">
      <c r="A18" s="11" t="str">
        <f>Table333456789101217[[#This Row],[Carrier]]</f>
        <v>Forge</v>
      </c>
      <c r="B18" s="5" t="str">
        <f>Table333456789101217[[#This Row],[IP]]</f>
        <v>112.54.89.168/112.54.89.138</v>
      </c>
      <c r="C18" s="6" t="str">
        <f>Table333456789101217[[#This Row],[Carrier Code]]</f>
        <v>FO</v>
      </c>
      <c r="D18" s="53">
        <v>19.933333333333334</v>
      </c>
      <c r="E18" s="53">
        <v>19.933333333333334</v>
      </c>
      <c r="F18" s="18">
        <f>Table333456789101211212223242527282930313234[[#This Row],[Company Panel]]+Table333456789101211212223242527282930313233[[#This Row],[MTD Company]]</f>
        <v>674.2166666666667</v>
      </c>
      <c r="G18" s="18">
        <f>Table333456789101211212223242527282930313234[[#This Row],[Our panel]]+Table333456789101211212223242527282930313233[[#This Row],[MTD Panel]]</f>
        <v>674.2166666666667</v>
      </c>
      <c r="H18" s="13">
        <f>Table333456789101211212223242527282930313234[[#This Row],[Company Panel]]-Table333456789101211212223242527282930313234[[#This Row],[Our panel]]</f>
        <v>0</v>
      </c>
      <c r="I18" s="13">
        <f>Table333456789101211212223242527282930313234[[#This Row],[MTD Company]]-Table333456789101211212223242527282930313234[[#This Row],[MTD Panel]]</f>
        <v>0</v>
      </c>
    </row>
    <row r="19" spans="1:9">
      <c r="A19" s="11" t="str">
        <f>Table333456789101217[[#This Row],[Carrier]]</f>
        <v>Ember</v>
      </c>
      <c r="B19" s="5" t="str">
        <f>Table333456789101217[[#This Row],[IP]]</f>
        <v>78.34.90.24/328.56.122.44/142.150.75.22</v>
      </c>
      <c r="C19" s="6" t="str">
        <f>Table333456789101217[[#This Row],[Carrier Code]]</f>
        <v>EM</v>
      </c>
      <c r="D19" s="53">
        <v>0</v>
      </c>
      <c r="E19" s="53">
        <v>0</v>
      </c>
      <c r="F19" s="18">
        <f>Table333456789101211212223242527282930313234[[#This Row],[Company Panel]]+Table333456789101211212223242527282930313233[[#This Row],[MTD Company]]</f>
        <v>1.1499999999999999</v>
      </c>
      <c r="G19" s="18">
        <f>Table333456789101211212223242527282930313234[[#This Row],[Our panel]]+Table333456789101211212223242527282930313233[[#This Row],[MTD Panel]]</f>
        <v>1.1499999999999999</v>
      </c>
      <c r="H19" s="13">
        <f>Table333456789101211212223242527282930313234[[#This Row],[Company Panel]]-Table333456789101211212223242527282930313234[[#This Row],[Our panel]]</f>
        <v>0</v>
      </c>
      <c r="I19" s="13">
        <f>Table333456789101211212223242527282930313234[[#This Row],[MTD Company]]-Table333456789101211212223242527282930313234[[#This Row],[MTD Panel]]</f>
        <v>0</v>
      </c>
    </row>
    <row r="20" spans="1:9">
      <c r="A20" s="11" t="str">
        <f>Table333456789101217[[#This Row],[Carrier]]</f>
        <v>Specter</v>
      </c>
      <c r="B20" s="5" t="str">
        <f>Table333456789101217[[#This Row],[IP]]</f>
        <v>205.60.34.150</v>
      </c>
      <c r="C20" s="6" t="str">
        <f>Table333456789101217[[#This Row],[Carrier Code]]</f>
        <v>SP</v>
      </c>
      <c r="D20" s="53">
        <v>4.5999999999999996</v>
      </c>
      <c r="E20" s="53">
        <v>4.5999999999999996</v>
      </c>
      <c r="F20" s="18">
        <f>Table333456789101211212223242527282930313234[[#This Row],[Company Panel]]+Table333456789101211212223242527282930313233[[#This Row],[MTD Company]]</f>
        <v>50.116666666666674</v>
      </c>
      <c r="G20" s="18">
        <f>Table333456789101211212223242527282930313234[[#This Row],[Our panel]]+Table333456789101211212223242527282930313233[[#This Row],[MTD Panel]]</f>
        <v>50.116666666666674</v>
      </c>
      <c r="H20" s="13">
        <f>Table333456789101211212223242527282930313234[[#This Row],[Company Panel]]-Table333456789101211212223242527282930313234[[#This Row],[Our panel]]</f>
        <v>0</v>
      </c>
      <c r="I20" s="13">
        <f>Table333456789101211212223242527282930313234[[#This Row],[MTD Company]]-Table333456789101211212223242527282930313234[[#This Row],[MTD Panel]]</f>
        <v>0</v>
      </c>
    </row>
    <row r="21" spans="1:9">
      <c r="A21" s="11" t="str">
        <f>Table333456789101217[[#This Row],[Carrier]]</f>
        <v>Throne</v>
      </c>
      <c r="B21" s="5" t="str">
        <f>Table333456789101217[[#This Row],[IP]]</f>
        <v>54.32.11.90/27.758.27.201/125.150.58.20</v>
      </c>
      <c r="C21" s="6" t="str">
        <f>Table333456789101217[[#This Row],[Carrier Code]]</f>
        <v>TH</v>
      </c>
      <c r="D21" s="53">
        <v>0</v>
      </c>
      <c r="E21" s="53">
        <v>0</v>
      </c>
      <c r="F21" s="18">
        <f>Table333456789101211212223242527282930313234[[#This Row],[Company Panel]]+Table333456789101211212223242527282930313233[[#This Row],[MTD Company]]</f>
        <v>0</v>
      </c>
      <c r="G21" s="18">
        <f>Table333456789101211212223242527282930313234[[#This Row],[Our panel]]+Table333456789101211212223242527282930313233[[#This Row],[MTD Panel]]</f>
        <v>0</v>
      </c>
      <c r="H21" s="13">
        <f>Table333456789101211212223242527282930313234[[#This Row],[Company Panel]]-Table333456789101211212223242527282930313234[[#This Row],[Our panel]]</f>
        <v>0</v>
      </c>
      <c r="I21" s="13">
        <f>Table333456789101211212223242527282930313234[[#This Row],[MTD Company]]-Table333456789101211212223242527282930313234[[#This Row],[MTD Panel]]</f>
        <v>0</v>
      </c>
    </row>
    <row r="22" spans="1:9">
      <c r="A22" s="11" t="str">
        <f>Table333456789101217[[#This Row],[Carrier]]</f>
        <v>Arcane</v>
      </c>
      <c r="B22" s="5" t="str">
        <f>Table333456789101217[[#This Row],[IP]]</f>
        <v>212.100.25.78/212.100.25.87</v>
      </c>
      <c r="C22" s="6" t="str">
        <f>Table333456789101217[[#This Row],[Carrier Code]]</f>
        <v>AR</v>
      </c>
      <c r="D22" s="53">
        <v>0</v>
      </c>
      <c r="E22" s="53">
        <v>0</v>
      </c>
      <c r="F22" s="18">
        <f>Table333456789101211212223242527282930313234[[#This Row],[Company Panel]]+Table333456789101211212223242527282930313233[[#This Row],[MTD Company]]</f>
        <v>3336.0333333333333</v>
      </c>
      <c r="G22" s="18">
        <f>Table333456789101211212223242527282930313234[[#This Row],[Our panel]]+Table333456789101211212223242527282930313233[[#This Row],[MTD Panel]]</f>
        <v>3336.0333333333333</v>
      </c>
      <c r="H22" s="13">
        <f>Table333456789101211212223242527282930313234[[#This Row],[Company Panel]]-Table333456789101211212223242527282930313234[[#This Row],[Our panel]]</f>
        <v>0</v>
      </c>
      <c r="I22" s="13">
        <f>Table333456789101211212223242527282930313234[[#This Row],[MTD Company]]-Table333456789101211212223242527282930313234[[#This Row],[MTD Panel]]</f>
        <v>0</v>
      </c>
    </row>
    <row r="23" spans="1:9">
      <c r="A23" s="11" t="str">
        <f>Table333456789101217[[#This Row],[Carrier]]</f>
        <v>Glitch</v>
      </c>
      <c r="B23" s="5" t="str">
        <f>Table333456789101217[[#This Row],[IP]]</f>
        <v>198.204.100.12/198.204.100.34/198.204.100.51</v>
      </c>
      <c r="C23" s="6" t="str">
        <f>Table333456789101217[[#This Row],[Carrier Code]]</f>
        <v>GL</v>
      </c>
      <c r="D23" s="53">
        <v>0</v>
      </c>
      <c r="E23" s="53">
        <v>0</v>
      </c>
      <c r="F23" s="18">
        <f>Table333456789101211212223242527282930313234[[#This Row],[Company Panel]]+Table333456789101211212223242527282930313233[[#This Row],[MTD Company]]</f>
        <v>0</v>
      </c>
      <c r="G23" s="18">
        <f>Table333456789101211212223242527282930313234[[#This Row],[Our panel]]+Table333456789101211212223242527282930313233[[#This Row],[MTD Panel]]</f>
        <v>0</v>
      </c>
      <c r="H23" s="13">
        <f>Table333456789101211212223242527282930313234[[#This Row],[Company Panel]]-Table333456789101211212223242527282930313234[[#This Row],[Our panel]]</f>
        <v>0</v>
      </c>
      <c r="I23" s="13">
        <f>Table333456789101211212223242527282930313234[[#This Row],[MTD Company]]-Table333456789101211212223242527282930313234[[#This Row],[MTD Panel]]</f>
        <v>0</v>
      </c>
    </row>
    <row r="24" spans="1:9">
      <c r="A24" s="11" t="str">
        <f>Table333456789101217[[#This Row],[Carrier]]</f>
        <v>Nitro</v>
      </c>
      <c r="B24" s="5" t="str">
        <f>Table333456789101217[[#This Row],[IP]]</f>
        <v>15.150.200.33/119.82.200.100</v>
      </c>
      <c r="C24" s="6" t="str">
        <f>Table333456789101217[[#This Row],[Carrier Code]]</f>
        <v>NI</v>
      </c>
      <c r="D24" s="53">
        <v>0</v>
      </c>
      <c r="E24" s="53">
        <v>0</v>
      </c>
      <c r="F24" s="18">
        <f>Table333456789101211212223242527282930313234[[#This Row],[Company Panel]]+Table333456789101211212223242527282930313233[[#This Row],[MTD Company]]</f>
        <v>0</v>
      </c>
      <c r="G24" s="18">
        <f>Table333456789101211212223242527282930313234[[#This Row],[Our panel]]+Table333456789101211212223242527282930313233[[#This Row],[MTD Panel]]</f>
        <v>0</v>
      </c>
      <c r="H24" s="13">
        <f>Table333456789101211212223242527282930313234[[#This Row],[Company Panel]]-Table333456789101211212223242527282930313234[[#This Row],[Our panel]]</f>
        <v>0</v>
      </c>
      <c r="I24" s="13">
        <f>Table333456789101211212223242527282930313234[[#This Row],[MTD Company]]-Table333456789101211212223242527282930313234[[#This Row],[MTD Panel]]</f>
        <v>0</v>
      </c>
    </row>
    <row r="25" spans="1:9">
      <c r="A25" s="11" t="str">
        <f>Table333456789101217[[#This Row],[Carrier]]</f>
        <v>Drip</v>
      </c>
      <c r="B25" s="5" t="str">
        <f>Table333456789101217[[#This Row],[IP]]</f>
        <v>84.13.76.190/90.945.80.11/198.160.234.5</v>
      </c>
      <c r="C25" s="6" t="str">
        <f>Table333456789101217[[#This Row],[Carrier Code]]</f>
        <v>DR</v>
      </c>
      <c r="D25" s="53">
        <v>0</v>
      </c>
      <c r="E25" s="53">
        <v>0</v>
      </c>
      <c r="F25" s="18">
        <f>Table333456789101211212223242527282930313234[[#This Row],[Company Panel]]+Table333456789101211212223242527282930313233[[#This Row],[MTD Company]]</f>
        <v>0</v>
      </c>
      <c r="G25" s="18">
        <f>Table333456789101211212223242527282930313234[[#This Row],[Our panel]]+Table333456789101211212223242527282930313233[[#This Row],[MTD Panel]]</f>
        <v>0</v>
      </c>
      <c r="H25" s="13">
        <f>Table333456789101211212223242527282930313234[[#This Row],[Company Panel]]-Table333456789101211212223242527282930313234[[#This Row],[Our panel]]</f>
        <v>0</v>
      </c>
      <c r="I25" s="13">
        <f>Table333456789101211212223242527282930313234[[#This Row],[MTD Company]]-Table333456789101211212223242527282930313234[[#This Row],[MTD Panel]]</f>
        <v>0</v>
      </c>
    </row>
    <row r="26" spans="1:9">
      <c r="A26" s="11" t="str">
        <f>Table333456789101217[[#This Row],[Carrier]]</f>
        <v>Glide</v>
      </c>
      <c r="B26" s="5" t="str">
        <f>Table333456789101217[[#This Row],[IP]]</f>
        <v>120.45.12.25/85.739.221.80/85.739.221.93</v>
      </c>
      <c r="C26" s="6" t="str">
        <f>Table333456789101217[[#This Row],[Carrier Code]]</f>
        <v>GI</v>
      </c>
      <c r="D26" s="53">
        <v>0</v>
      </c>
      <c r="E26" s="53">
        <v>0</v>
      </c>
      <c r="F26" s="18">
        <f>Table333456789101211212223242527282930313234[[#This Row],[Company Panel]]+Table333456789101211212223242527282930313233[[#This Row],[MTD Company]]</f>
        <v>0</v>
      </c>
      <c r="G26" s="18">
        <f>Table333456789101211212223242527282930313234[[#This Row],[Our panel]]+Table333456789101211212223242527282930313233[[#This Row],[MTD Panel]]</f>
        <v>0</v>
      </c>
      <c r="H26" s="13">
        <f>Table333456789101211212223242527282930313234[[#This Row],[Company Panel]]-Table333456789101211212223242527282930313234[[#This Row],[Our panel]]</f>
        <v>0</v>
      </c>
      <c r="I26" s="13">
        <f>Table333456789101211212223242527282930313234[[#This Row],[MTD Company]]-Table333456789101211212223242527282930313234[[#This Row],[MTD Panel]]</f>
        <v>0</v>
      </c>
    </row>
    <row r="27" spans="1:9">
      <c r="A27" s="11" t="str">
        <f>Table333456789101217[[#This Row],[Carrier]]</f>
        <v>Orbit</v>
      </c>
      <c r="B27" s="5" t="str">
        <f>Table333456789101217[[#This Row],[IP]]</f>
        <v>176.98.54.112/60.110.154.91/60.110.155.162</v>
      </c>
      <c r="C27" s="6" t="str">
        <f>Table333456789101217[[#This Row],[Carrier Code]]</f>
        <v>OR</v>
      </c>
      <c r="D27" s="53">
        <v>0</v>
      </c>
      <c r="E27" s="53">
        <v>0</v>
      </c>
      <c r="F27" s="18">
        <f>Table333456789101211212223242527282930313234[[#This Row],[Company Panel]]+Table333456789101211212223242527282930313233[[#This Row],[MTD Company]]</f>
        <v>0</v>
      </c>
      <c r="G27" s="18">
        <f>Table333456789101211212223242527282930313234[[#This Row],[Our panel]]+Table333456789101211212223242527282930313233[[#This Row],[MTD Panel]]</f>
        <v>0</v>
      </c>
      <c r="H27" s="13">
        <f>Table333456789101211212223242527282930313234[[#This Row],[Company Panel]]-Table333456789101211212223242527282930313234[[#This Row],[Our panel]]</f>
        <v>0</v>
      </c>
      <c r="I27" s="13">
        <f>Table333456789101211212223242527282930313234[[#This Row],[MTD Company]]-Table333456789101211212223242527282930313234[[#This Row],[MTD Panel]]</f>
        <v>0</v>
      </c>
    </row>
    <row r="28" spans="1:9">
      <c r="A28" s="11" t="str">
        <f>Table333456789101217[[#This Row],[Carrier]]</f>
        <v>Thunder</v>
      </c>
      <c r="B28" s="5" t="str">
        <f>Table333456789101217[[#This Row],[IP]]</f>
        <v>67.102.200.9/81.905.48.847/143.235.100.34</v>
      </c>
      <c r="C28" s="6" t="str">
        <f>Table333456789101217[[#This Row],[Carrier Code]]</f>
        <v>TU</v>
      </c>
      <c r="D28" s="53">
        <v>17.95</v>
      </c>
      <c r="E28" s="53">
        <v>17.95</v>
      </c>
      <c r="F28" s="18">
        <f>Table333456789101211212223242527282930313234[[#This Row],[Company Panel]]+Table333456789101211212223242527282930313233[[#This Row],[MTD Company]]</f>
        <v>652.11666666666656</v>
      </c>
      <c r="G28" s="18">
        <f>Table333456789101211212223242527282930313234[[#This Row],[Our panel]]+Table333456789101211212223242527282930313233[[#This Row],[MTD Panel]]</f>
        <v>652.11666666666656</v>
      </c>
      <c r="H28" s="13">
        <f>Table333456789101211212223242527282930313234[[#This Row],[Company Panel]]-Table333456789101211212223242527282930313234[[#This Row],[Our panel]]</f>
        <v>0</v>
      </c>
      <c r="I28" s="13">
        <f>Table333456789101211212223242527282930313234[[#This Row],[MTD Company]]-Table333456789101211212223242527282930313234[[#This Row],[MTD Panel]]</f>
        <v>0</v>
      </c>
    </row>
    <row r="29" spans="1:9">
      <c r="A29" s="11" t="str">
        <f>Table333456789101217[[#This Row],[Carrier]]</f>
        <v>Glimmer</v>
      </c>
      <c r="B29" s="5" t="str">
        <f>Table333456789101217[[#This Row],[IP]]</f>
        <v>99.22.211.100/71.54.85.344/71.54.85.218</v>
      </c>
      <c r="C29" s="6" t="str">
        <f>Table333456789101217[[#This Row],[Carrier Code]]</f>
        <v>GM</v>
      </c>
      <c r="D29" s="53">
        <v>0</v>
      </c>
      <c r="E29" s="53">
        <v>0</v>
      </c>
      <c r="F29" s="18">
        <f>Table333456789101211212223242527282930313234[[#This Row],[Company Panel]]+Table333456789101211212223242527282930313233[[#This Row],[MTD Company]]</f>
        <v>0</v>
      </c>
      <c r="G29" s="18">
        <f>Table333456789101211212223242527282930313234[[#This Row],[Our panel]]+Table333456789101211212223242527282930313233[[#This Row],[MTD Panel]]</f>
        <v>0</v>
      </c>
      <c r="H29" s="13">
        <f>Table333456789101211212223242527282930313234[[#This Row],[Company Panel]]-Table333456789101211212223242527282930313234[[#This Row],[Our panel]]</f>
        <v>0</v>
      </c>
      <c r="I29" s="13">
        <f>Table333456789101211212223242527282930313234[[#This Row],[MTD Company]]-Table333456789101211212223242527282930313234[[#This Row],[MTD Panel]]</f>
        <v>0</v>
      </c>
    </row>
    <row r="30" spans="1:9">
      <c r="A30" s="11" t="str">
        <f>Table333456789101217[[#This Row],[Carrier]]</f>
        <v>Fragment</v>
      </c>
      <c r="B30" s="5" t="str">
        <f>Table333456789101217[[#This Row],[IP]]</f>
        <v>203.0.113.56/195.56.101.10</v>
      </c>
      <c r="C30" s="6" t="str">
        <f>Table333456789101217[[#This Row],[Carrier Code]]</f>
        <v>FR</v>
      </c>
      <c r="D30" s="53">
        <v>0</v>
      </c>
      <c r="E30" s="53">
        <v>0</v>
      </c>
      <c r="F30" s="18">
        <f>Table333456789101211212223242527282930313234[[#This Row],[Company Panel]]+Table333456789101211212223242527282930313233[[#This Row],[MTD Company]]</f>
        <v>0</v>
      </c>
      <c r="G30" s="18">
        <f>Table333456789101211212223242527282930313234[[#This Row],[Our panel]]+Table333456789101211212223242527282930313233[[#This Row],[MTD Panel]]</f>
        <v>0</v>
      </c>
      <c r="H30" s="13">
        <f>Table333456789101211212223242527282930313234[[#This Row],[Company Panel]]-Table333456789101211212223242527282930313234[[#This Row],[Our panel]]</f>
        <v>0</v>
      </c>
      <c r="I30" s="13">
        <f>Table333456789101211212223242527282930313234[[#This Row],[MTD Company]]-Table333456789101211212223242527282930313234[[#This Row],[MTD Panel]]</f>
        <v>0</v>
      </c>
    </row>
    <row r="31" spans="1:9">
      <c r="A31" s="11" t="str">
        <f>Table333456789101217[[#This Row],[Carrier]]</f>
        <v>Dusk</v>
      </c>
      <c r="B31" s="5" t="str">
        <f>Table333456789101217[[#This Row],[IP]]</f>
        <v>33.44.55.66/33.44.55.84/33.44.55.122/214.68.90.122</v>
      </c>
      <c r="C31" s="6" t="str">
        <f>Table333456789101217[[#This Row],[Carrier Code]]</f>
        <v>DK</v>
      </c>
      <c r="D31" s="53">
        <v>0</v>
      </c>
      <c r="E31" s="53">
        <v>0</v>
      </c>
      <c r="F31" s="18">
        <f>Table333456789101211212223242527282930313234[[#This Row],[Company Panel]]+Table333456789101211212223242527282930313233[[#This Row],[MTD Company]]</f>
        <v>0</v>
      </c>
      <c r="G31" s="18">
        <f>Table333456789101211212223242527282930313234[[#This Row],[Our panel]]+Table333456789101211212223242527282930313233[[#This Row],[MTD Panel]]</f>
        <v>0</v>
      </c>
      <c r="H31" s="13">
        <f>Table333456789101211212223242527282930313234[[#This Row],[Company Panel]]-Table333456789101211212223242527282930313234[[#This Row],[Our panel]]</f>
        <v>0</v>
      </c>
      <c r="I31" s="13">
        <f>Table333456789101211212223242527282930313234[[#This Row],[MTD Company]]-Table333456789101211212223242527282930313234[[#This Row],[MTD Panel]]</f>
        <v>0</v>
      </c>
    </row>
    <row r="32" spans="1:9">
      <c r="A32" s="11" t="str">
        <f>Table333456789101217[[#This Row],[Carrier]]</f>
        <v>Breeze</v>
      </c>
      <c r="B32" s="5" t="str">
        <f>Table333456789101217[[#This Row],[IP]]</f>
        <v>199.123.87.45/199.123.34.52/77.189.22.56</v>
      </c>
      <c r="C32" s="6" t="str">
        <f>Table333456789101217[[#This Row],[Carrier Code]]</f>
        <v>BR</v>
      </c>
      <c r="D32" s="53">
        <v>0</v>
      </c>
      <c r="E32" s="53">
        <v>0</v>
      </c>
      <c r="F32" s="18">
        <f>Table333456789101211212223242527282930313234[[#This Row],[Company Panel]]+Table333456789101211212223242527282930313233[[#This Row],[MTD Company]]</f>
        <v>0</v>
      </c>
      <c r="G32" s="18">
        <f>Table333456789101211212223242527282930313234[[#This Row],[Our panel]]+Table333456789101211212223242527282930313233[[#This Row],[MTD Panel]]</f>
        <v>0</v>
      </c>
      <c r="H32" s="13">
        <f>Table333456789101211212223242527282930313234[[#This Row],[Company Panel]]-Table333456789101211212223242527282930313234[[#This Row],[Our panel]]</f>
        <v>0</v>
      </c>
      <c r="I32" s="13">
        <f>Table333456789101211212223242527282930313234[[#This Row],[MTD Company]]-Table333456789101211212223242527282930313234[[#This Row],[MTD Panel]]</f>
        <v>0</v>
      </c>
    </row>
    <row r="33" spans="1:9">
      <c r="A33" s="11" t="str">
        <f>Table333456789101217[[#This Row],[Carrier]]</f>
        <v>Clutch</v>
      </c>
      <c r="B33" s="5" t="str">
        <f>Table333456789101217[[#This Row],[IP]]</f>
        <v>55.66.77.88/84.126.79.28/152.233.45.11</v>
      </c>
      <c r="C33" s="6" t="str">
        <f>Table333456789101217[[#This Row],[Carrier Code]]</f>
        <v>CL</v>
      </c>
      <c r="D33" s="53">
        <v>0</v>
      </c>
      <c r="E33" s="53">
        <v>0</v>
      </c>
      <c r="F33" s="18">
        <f>Table333456789101211212223242527282930313234[[#This Row],[Company Panel]]+Table333456789101211212223242527282930313233[[#This Row],[MTD Company]]</f>
        <v>0</v>
      </c>
      <c r="G33" s="18">
        <f>Table333456789101211212223242527282930313234[[#This Row],[Our panel]]+Table333456789101211212223242527282930313233[[#This Row],[MTD Panel]]</f>
        <v>0</v>
      </c>
      <c r="H33" s="13">
        <f>Table333456789101211212223242527282930313234[[#This Row],[Company Panel]]-Table333456789101211212223242527282930313234[[#This Row],[Our panel]]</f>
        <v>0</v>
      </c>
      <c r="I33" s="13">
        <f>Table333456789101211212223242527282930313234[[#This Row],[MTD Company]]-Table333456789101211212223242527282930313234[[#This Row],[MTD Panel]]</f>
        <v>0</v>
      </c>
    </row>
    <row r="34" spans="1:9">
      <c r="A34" s="11" t="str">
        <f>Table333456789101217[[#This Row],[Carrier]]</f>
        <v>Haze</v>
      </c>
      <c r="B34" s="5" t="str">
        <f>Table333456789101217[[#This Row],[IP]]</f>
        <v>230.111.44.56</v>
      </c>
      <c r="C34" s="6" t="str">
        <f>Table333456789101217[[#This Row],[Carrier Code]]</f>
        <v>HZ</v>
      </c>
      <c r="D34" s="53">
        <v>2345.7166666666667</v>
      </c>
      <c r="E34" s="53">
        <v>2345.7166666666667</v>
      </c>
      <c r="F34" s="18">
        <f>Table333456789101211212223242527282930313234[[#This Row],[Company Panel]]+Table333456789101211212223242527282930313233[[#This Row],[MTD Company]]</f>
        <v>38074.400000000001</v>
      </c>
      <c r="G34" s="18">
        <f>Table333456789101211212223242527282930313234[[#This Row],[Our panel]]+Table333456789101211212223242527282930313233[[#This Row],[MTD Panel]]</f>
        <v>38074.400000000001</v>
      </c>
      <c r="H34" s="13">
        <f>Table333456789101211212223242527282930313234[[#This Row],[Company Panel]]-Table333456789101211212223242527282930313234[[#This Row],[Our panel]]</f>
        <v>0</v>
      </c>
      <c r="I34" s="13">
        <f>Table333456789101211212223242527282930313234[[#This Row],[MTD Company]]-Table333456789101211212223242527282930313234[[#This Row],[MTD Panel]]</f>
        <v>0</v>
      </c>
    </row>
    <row r="35" spans="1:9">
      <c r="A35" s="11" t="str">
        <f>Table333456789101217[[#This Row],[Carrier]]</f>
        <v>Vault</v>
      </c>
      <c r="B35" s="5" t="str">
        <f>Table333456789101217[[#This Row],[IP]]</f>
        <v>213.189.94.5/213.189.94.7/111.180.64.222</v>
      </c>
      <c r="C35" s="6" t="str">
        <f>Table333456789101217[[#This Row],[Carrier Code]]</f>
        <v>VA</v>
      </c>
      <c r="D35" s="53">
        <v>0</v>
      </c>
      <c r="E35" s="53">
        <v>0</v>
      </c>
      <c r="F35" s="18">
        <f>Table333456789101211212223242527282930313234[[#This Row],[Company Panel]]+Table333456789101211212223242527282930313233[[#This Row],[MTD Company]]</f>
        <v>0</v>
      </c>
      <c r="G35" s="18">
        <f>Table333456789101211212223242527282930313234[[#This Row],[Our panel]]+Table333456789101211212223242527282930313233[[#This Row],[MTD Panel]]</f>
        <v>0</v>
      </c>
      <c r="H35" s="13">
        <f>Table333456789101211212223242527282930313234[[#This Row],[Company Panel]]-Table333456789101211212223242527282930313234[[#This Row],[Our panel]]</f>
        <v>0</v>
      </c>
      <c r="I35" s="13">
        <f>Table333456789101211212223242527282930313234[[#This Row],[MTD Company]]-Table333456789101211212223242527282930313234[[#This Row],[MTD Panel]]</f>
        <v>0</v>
      </c>
    </row>
    <row r="36" spans="1:9">
      <c r="A36" s="11" t="str">
        <f>Table333456789101217[[#This Row],[Carrier]]</f>
        <v>Scatter</v>
      </c>
      <c r="B36" s="5" t="str">
        <f>Table333456789101217[[#This Row],[IP]]</f>
        <v>14.123.45.67/168.251.90.15</v>
      </c>
      <c r="C36" s="6" t="str">
        <f>Table333456789101217[[#This Row],[Carrier Code]]</f>
        <v>SC</v>
      </c>
      <c r="D36" s="53">
        <v>53.633333333333333</v>
      </c>
      <c r="E36" s="53">
        <v>53.633333333333333</v>
      </c>
      <c r="F36" s="18">
        <f>Table333456789101211212223242527282930313234[[#This Row],[Company Panel]]+Table333456789101211212223242527282930313233[[#This Row],[MTD Company]]</f>
        <v>1712.7666666666667</v>
      </c>
      <c r="G36" s="18">
        <f>Table333456789101211212223242527282930313234[[#This Row],[Our panel]]+Table333456789101211212223242527282930313233[[#This Row],[MTD Panel]]</f>
        <v>1712.7666666666667</v>
      </c>
      <c r="H36" s="13">
        <f>Table333456789101211212223242527282930313234[[#This Row],[Company Panel]]-Table333456789101211212223242527282930313234[[#This Row],[Our panel]]</f>
        <v>0</v>
      </c>
      <c r="I36" s="13">
        <f>Table333456789101211212223242527282930313234[[#This Row],[MTD Company]]-Table333456789101211212223242527282930313234[[#This Row],[MTD Panel]]</f>
        <v>0</v>
      </c>
    </row>
    <row r="37" spans="1:9">
      <c r="A37" s="11" t="str">
        <f>Table333456789101217[[#This Row],[Carrier]]</f>
        <v>Hammer</v>
      </c>
      <c r="B37" s="5" t="str">
        <f>Table333456789101217[[#This Row],[IP]]</f>
        <v>200.111.78.9/200.111.236.62/200.111.823.89/137.79.48.56</v>
      </c>
      <c r="C37" s="6" t="str">
        <f>Table333456789101217[[#This Row],[Carrier Code]]</f>
        <v>HA</v>
      </c>
      <c r="D37" s="53">
        <v>0</v>
      </c>
      <c r="E37" s="53">
        <v>0</v>
      </c>
      <c r="F37" s="18">
        <f>Table333456789101211212223242527282930313234[[#This Row],[Company Panel]]+Table333456789101211212223242527282930313233[[#This Row],[MTD Company]]</f>
        <v>0</v>
      </c>
      <c r="G37" s="18">
        <f>Table333456789101211212223242527282930313234[[#This Row],[Our panel]]+Table333456789101211212223242527282930313233[[#This Row],[MTD Panel]]</f>
        <v>0</v>
      </c>
      <c r="H37" s="72">
        <f>Table333456789101211212223242527282930313234[[#This Row],[Company Panel]]-Table333456789101211212223242527282930313234[[#This Row],[Our panel]]</f>
        <v>0</v>
      </c>
      <c r="I37" s="72">
        <f>Table333456789101211212223242527282930313234[[#This Row],[MTD Company]]-Table333456789101211212223242527282930313234[[#This Row],[MTD Panel]]</f>
        <v>0</v>
      </c>
    </row>
    <row r="38" spans="1:9">
      <c r="A38" s="11" t="str">
        <f>Table333456789101217[[#This Row],[Carrier]]</f>
        <v>Smudge</v>
      </c>
      <c r="B38" s="5" t="str">
        <f>Table333456789101217[[#This Row],[IP]]</f>
        <v>88.99.233.56/54.71.99.234</v>
      </c>
      <c r="C38" s="6" t="str">
        <f>Table333456789101217[[#This Row],[Carrier Code]]</f>
        <v>SM</v>
      </c>
      <c r="D38" s="53">
        <v>1185.6833333333334</v>
      </c>
      <c r="E38" s="53">
        <v>1185.6833333333334</v>
      </c>
      <c r="F38" s="18">
        <f>Table333456789101211212223242527282930313234[[#This Row],[Company Panel]]+Table333456789101211212223242527282930313233[[#This Row],[MTD Company]]</f>
        <v>5355.7</v>
      </c>
      <c r="G38" s="18">
        <f>Table333456789101211212223242527282930313234[[#This Row],[Our panel]]+Table333456789101211212223242527282930313233[[#This Row],[MTD Panel]]</f>
        <v>5355.7</v>
      </c>
      <c r="H38" s="72">
        <f>Table333456789101211212223242527282930313234[[#This Row],[Company Panel]]-Table333456789101211212223242527282930313234[[#This Row],[Our panel]]</f>
        <v>0</v>
      </c>
      <c r="I38" s="72">
        <f>Table333456789101211212223242527282930313234[[#This Row],[MTD Company]]-Table333456789101211212223242527282930313234[[#This Row],[MTD Panel]]</f>
        <v>0</v>
      </c>
    </row>
    <row r="39" spans="1:9">
      <c r="A39" s="11" t="str">
        <f>Table333456789101217[[#This Row],[Carrier]]</f>
        <v>Quirk</v>
      </c>
      <c r="B39" s="5" t="str">
        <f>Table333456789101217[[#This Row],[IP]]</f>
        <v>62.45.100.31/62.45.100.15/62.45.100.65/211.95.102.6</v>
      </c>
      <c r="C39" s="6" t="str">
        <f>Table333456789101217[[#This Row],[Carrier Code]]</f>
        <v>QU</v>
      </c>
      <c r="D39" s="53">
        <v>843.18333333333328</v>
      </c>
      <c r="E39" s="53">
        <v>843.18333333333328</v>
      </c>
      <c r="F39" s="18">
        <f>Table333456789101211212223242527282930313234[[#This Row],[Company Panel]]+Table333456789101211212223242527282930313233[[#This Row],[MTD Company]]</f>
        <v>42723.46666666666</v>
      </c>
      <c r="G39" s="18">
        <f>Table333456789101211212223242527282930313234[[#This Row],[Our panel]]+Table333456789101211212223242527282930313233[[#This Row],[MTD Panel]]</f>
        <v>42723.46666666666</v>
      </c>
      <c r="H39" s="72">
        <f>Table333456789101211212223242527282930313234[[#This Row],[Company Panel]]-Table333456789101211212223242527282930313234[[#This Row],[Our panel]]</f>
        <v>0</v>
      </c>
      <c r="I39" s="72">
        <f>Table333456789101211212223242527282930313234[[#This Row],[MTD Company]]-Table333456789101211212223242527282930313234[[#This Row],[MTD Panel]]</f>
        <v>0</v>
      </c>
    </row>
    <row r="40" spans="1:9">
      <c r="A40" s="11" t="str">
        <f>Table333456789101217[[#This Row],[Carrier]]</f>
        <v>Vortex</v>
      </c>
      <c r="B40" s="5" t="str">
        <f>Table333456789101217[[#This Row],[IP]]</f>
        <v>179.250.91.8/29.540.67.457/94.25.34.78/183.144.27.18</v>
      </c>
      <c r="C40" s="6" t="str">
        <f>Table333456789101217[[#This Row],[Carrier Code]]</f>
        <v>VT</v>
      </c>
      <c r="D40" s="53">
        <v>0</v>
      </c>
      <c r="E40" s="53">
        <v>0</v>
      </c>
      <c r="F40" s="18">
        <f>Table333456789101211212223242527282930313234[[#This Row],[Company Panel]]+Table333456789101211212223242527282930313233[[#This Row],[MTD Company]]</f>
        <v>0.95</v>
      </c>
      <c r="G40" s="18">
        <f>Table333456789101211212223242527282930313234[[#This Row],[Our panel]]+Table333456789101211212223242527282930313233[[#This Row],[MTD Panel]]</f>
        <v>0.95</v>
      </c>
      <c r="H40" s="72">
        <f>Table333456789101211212223242527282930313234[[#This Row],[Company Panel]]-Table333456789101211212223242527282930313234[[#This Row],[Our panel]]</f>
        <v>0</v>
      </c>
      <c r="I40" s="72">
        <f>Table333456789101211212223242527282930313234[[#This Row],[MTD Company]]-Table333456789101211212223242527282930313234[[#This Row],[MTD Panel]]</f>
        <v>0</v>
      </c>
    </row>
    <row r="41" spans="1:9">
      <c r="A41" s="11" t="str">
        <f>Table333456789101217[[#This Row],[Carrier]]</f>
        <v>Void</v>
      </c>
      <c r="B41" s="5" t="str">
        <f>Table333456789101217[[#This Row],[IP]]</f>
        <v>156.34.123.11/156.34.123.25/156.34.123.62/92.44.233.110</v>
      </c>
      <c r="C41" s="6" t="str">
        <f>Table333456789101217[[#This Row],[Carrier Code]]</f>
        <v>VO</v>
      </c>
      <c r="D41" s="53">
        <v>17.283333333333335</v>
      </c>
      <c r="E41" s="53">
        <v>17.283333333333335</v>
      </c>
      <c r="F41" s="18">
        <f>Table333456789101211212223242527282930313234[[#This Row],[Company Panel]]+Table333456789101211212223242527282930313233[[#This Row],[MTD Company]]</f>
        <v>977.33333333333314</v>
      </c>
      <c r="G41" s="18">
        <f>Table333456789101211212223242527282930313234[[#This Row],[Our panel]]+Table333456789101211212223242527282930313233[[#This Row],[MTD Panel]]</f>
        <v>977.33333333333314</v>
      </c>
      <c r="H41" s="72">
        <f>Table333456789101211212223242527282930313234[[#This Row],[Company Panel]]-Table333456789101211212223242527282930313234[[#This Row],[Our panel]]</f>
        <v>0</v>
      </c>
      <c r="I41" s="72">
        <f>Table333456789101211212223242527282930313234[[#This Row],[MTD Company]]-Table333456789101211212223242527282930313234[[#This Row],[MTD Panel]]</f>
        <v>0</v>
      </c>
    </row>
    <row r="42" spans="1:9">
      <c r="A42" s="11" t="str">
        <f>Table333456789101217[[#This Row],[Carrier]]</f>
        <v>Midnight</v>
      </c>
      <c r="B42" s="5" t="str">
        <f>Table333456789101217[[#This Row],[IP]]</f>
        <v>134.77.22.4/23.97.150.8</v>
      </c>
      <c r="C42" s="6" t="str">
        <f>Table333456789101217[[#This Row],[Carrier Code]]</f>
        <v>MI</v>
      </c>
      <c r="D42" s="53">
        <v>139</v>
      </c>
      <c r="E42" s="53">
        <v>139</v>
      </c>
      <c r="F42" s="18">
        <f>Table333456789101211212223242527282930313234[[#This Row],[Company Panel]]+Table333456789101211212223242527282930313233[[#This Row],[MTD Company]]</f>
        <v>8048.0166666666664</v>
      </c>
      <c r="G42" s="18">
        <f>Table333456789101211212223242527282930313234[[#This Row],[Our panel]]+Table333456789101211212223242527282930313233[[#This Row],[MTD Panel]]</f>
        <v>8048.0166666666664</v>
      </c>
      <c r="H42" s="72">
        <f>Table333456789101211212223242527282930313234[[#This Row],[Company Panel]]-Table333456789101211212223242527282930313234[[#This Row],[Our panel]]</f>
        <v>0</v>
      </c>
      <c r="I42" s="72">
        <f>Table333456789101211212223242527282930313234[[#This Row],[MTD Company]]-Table333456789101211212223242527282930313234[[#This Row],[MTD Panel]]</f>
        <v>0</v>
      </c>
    </row>
    <row r="43" spans="1:9">
      <c r="A43" s="11" t="str">
        <f>Table333456789101217[[#This Row],[Carrier]]</f>
        <v>Autumn</v>
      </c>
      <c r="B43" s="5" t="str">
        <f>Table333456789101217[[#This Row],[IP]]</f>
        <v>202.54.210.88/12.331.94.73/64.19.28.175</v>
      </c>
      <c r="C43" s="6" t="str">
        <f>Table333456789101217[[#This Row],[Carrier Code]]</f>
        <v>AU</v>
      </c>
      <c r="D43" s="53">
        <v>0.96666666666666667</v>
      </c>
      <c r="E43" s="53">
        <v>0.96666666666666667</v>
      </c>
      <c r="F43" s="18">
        <f>Table333456789101211212223242527282930313234[[#This Row],[Company Panel]]+Table333456789101211212223242527282930313233[[#This Row],[MTD Company]]</f>
        <v>272.08333333333331</v>
      </c>
      <c r="G43" s="18">
        <f>Table333456789101211212223242527282930313234[[#This Row],[Our panel]]+Table333456789101211212223242527282930313233[[#This Row],[MTD Panel]]</f>
        <v>272.08333333333331</v>
      </c>
      <c r="H43" s="72">
        <f>Table333456789101211212223242527282930313234[[#This Row],[Company Panel]]-Table333456789101211212223242527282930313234[[#This Row],[Our panel]]</f>
        <v>0</v>
      </c>
      <c r="I43" s="72">
        <f>Table333456789101211212223242527282930313234[[#This Row],[MTD Company]]-Table333456789101211212223242527282930313234[[#This Row],[MTD Panel]]</f>
        <v>0</v>
      </c>
    </row>
    <row r="44" spans="1:9">
      <c r="A44" s="11" t="str">
        <f>Table333456789101217[[#This Row],[Carrier]]</f>
        <v>Mystic</v>
      </c>
      <c r="B44" s="5" t="str">
        <f>Table333456789101217[[#This Row],[IP]]</f>
        <v>51.233.21.76/82.115.35.60/82.115.35.85</v>
      </c>
      <c r="C44" s="6" t="str">
        <f>Table333456789101217[[#This Row],[Carrier Code]]</f>
        <v>MY</v>
      </c>
      <c r="D44" s="53">
        <v>0</v>
      </c>
      <c r="E44" s="53">
        <v>0</v>
      </c>
      <c r="F44" s="18">
        <f>Table333456789101211212223242527282930313234[[#This Row],[Company Panel]]+Table333456789101211212223242527282930313233[[#This Row],[MTD Company]]</f>
        <v>0</v>
      </c>
      <c r="G44" s="18">
        <f>Table333456789101211212223242527282930313234[[#This Row],[Our panel]]+Table333456789101211212223242527282930313233[[#This Row],[MTD Panel]]</f>
        <v>0</v>
      </c>
      <c r="H44" s="72">
        <f>Table333456789101211212223242527282930313234[[#This Row],[Company Panel]]-Table333456789101211212223242527282930313234[[#This Row],[Our panel]]</f>
        <v>0</v>
      </c>
      <c r="I44" s="72">
        <f>Table333456789101211212223242527282930313234[[#This Row],[MTD Company]]-Table333456789101211212223242527282930313234[[#This Row],[MTD Panel]]</f>
        <v>0</v>
      </c>
    </row>
    <row r="45" spans="1:9">
      <c r="A45" s="11" t="str">
        <f>Table333456789101217[[#This Row],[Carrier]]</f>
        <v>Clover</v>
      </c>
      <c r="B45" s="5" t="str">
        <f>Table333456789101217[[#This Row],[IP]]</f>
        <v>210.150.12.45/84.50.212.66/135.113.88.9</v>
      </c>
      <c r="C45" s="6" t="str">
        <f>Table333456789101217[[#This Row],[Carrier Code]]</f>
        <v>CO</v>
      </c>
      <c r="D45" s="53">
        <v>110.1</v>
      </c>
      <c r="E45" s="53">
        <v>110.1</v>
      </c>
      <c r="F45" s="18">
        <f>Table333456789101211212223242527282930313234[[#This Row],[Company Panel]]+Table333456789101211212223242527282930313233[[#This Row],[MTD Company]]</f>
        <v>35384.750000000015</v>
      </c>
      <c r="G45" s="18">
        <f>Table333456789101211212223242527282930313234[[#This Row],[Our panel]]+Table333456789101211212223242527282930313233[[#This Row],[MTD Panel]]</f>
        <v>35384.750000000015</v>
      </c>
      <c r="H45" s="13">
        <f>Table333456789101211212223242527282930313234[[#This Row],[Company Panel]]-Table333456789101211212223242527282930313234[[#This Row],[Our panel]]</f>
        <v>0</v>
      </c>
      <c r="I45" s="13">
        <f>Table333456789101211212223242527282930313234[[#This Row],[MTD Company]]-Table333456789101211212223242527282930313234[[#This Row],[MTD Panel]]</f>
        <v>0</v>
      </c>
    </row>
    <row r="46" spans="1:9">
      <c r="A46" s="11" t="str">
        <f>Table333456789101217[[#This Row],[Carrier]]</f>
        <v>Hunter</v>
      </c>
      <c r="B46" s="5" t="str">
        <f>Table333456789101217[[#This Row],[IP]]</f>
        <v>170.199.20.87/13.693.39.280/78.30.123.47</v>
      </c>
      <c r="C46" s="6" t="str">
        <f>Table333456789101217[[#This Row],[Carrier Code]]</f>
        <v>HU</v>
      </c>
      <c r="D46" s="53">
        <v>294.64999999999998</v>
      </c>
      <c r="E46" s="53">
        <v>294.64999999999998</v>
      </c>
      <c r="F46" s="18">
        <f>Table333456789101211212223242527282930313234[[#This Row],[Company Panel]]+Table333456789101211212223242527282930313233[[#This Row],[MTD Company]]</f>
        <v>31553.116666666669</v>
      </c>
      <c r="G46" s="18">
        <f>Table333456789101211212223242527282930313234[[#This Row],[Our panel]]+Table333456789101211212223242527282930313233[[#This Row],[MTD Panel]]</f>
        <v>31553.116666666669</v>
      </c>
      <c r="H46" s="13">
        <f>Table333456789101211212223242527282930313234[[#This Row],[Company Panel]]-Table333456789101211212223242527282930313234[[#This Row],[Our panel]]</f>
        <v>0</v>
      </c>
      <c r="I46" s="13">
        <f>Table333456789101211212223242527282930313234[[#This Row],[MTD Company]]-Table333456789101211212223242527282930313234[[#This Row],[MTD Panel]]</f>
        <v>0</v>
      </c>
    </row>
    <row r="47" spans="1:9">
      <c r="A47" s="11" t="str">
        <f>Table333456789101217[[#This Row],[Carrier]]</f>
        <v>Invaded</v>
      </c>
      <c r="B47" s="5" t="str">
        <f>Table333456789101217[[#This Row],[IP]]</f>
        <v>182.67.99.120/80.518.230.410/26.847.95.107/188.12.67.92</v>
      </c>
      <c r="C47" s="6" t="str">
        <f>Table333456789101217[[#This Row],[Carrier Code]]</f>
        <v>ID</v>
      </c>
      <c r="D47" s="7">
        <v>0</v>
      </c>
      <c r="E47" s="7">
        <v>0</v>
      </c>
      <c r="F47" s="18">
        <f>Table333456789101211212223242527282930313234[[#This Row],[Company Panel]]+Table333456789101211212223242527282930313233[[#This Row],[MTD Company]]</f>
        <v>0</v>
      </c>
      <c r="G47" s="18">
        <f>Table333456789101211212223242527282930313234[[#This Row],[Our panel]]+Table333456789101211212223242527282930313233[[#This Row],[MTD Panel]]</f>
        <v>0</v>
      </c>
      <c r="H47" s="13">
        <f>Table333456789101211212223242527282930313234[[#This Row],[Company Panel]]-Table333456789101211212223242527282930313234[[#This Row],[Our panel]]</f>
        <v>0</v>
      </c>
      <c r="I47" s="13">
        <f>Table333456789101211212223242527282930313234[[#This Row],[MTD Company]]-Table333456789101211212223242527282930313234[[#This Row],[MTD Panel]]</f>
        <v>0</v>
      </c>
    </row>
    <row r="48" spans="1:9">
      <c r="A48" s="11" t="str">
        <f>Table333456789101217[[#This Row],[Carrier]]</f>
        <v>Delusion</v>
      </c>
      <c r="B48" s="5" t="str">
        <f>Table333456789101217[[#This Row],[IP]]</f>
        <v>198.51.100.72/69.887.74.738/39.153.110.645</v>
      </c>
      <c r="C48" s="6" t="str">
        <f>Table333456789101217[[#This Row],[Carrier Code]]</f>
        <v>DU</v>
      </c>
      <c r="D48" s="7">
        <v>0</v>
      </c>
      <c r="E48" s="7">
        <v>0</v>
      </c>
      <c r="F48" s="18">
        <f>Table333456789101211212223242527282930313234[[#This Row],[Company Panel]]+Table333456789101211212223242527282930313233[[#This Row],[MTD Company]]</f>
        <v>0</v>
      </c>
      <c r="G48" s="18">
        <f>Table333456789101211212223242527282930313234[[#This Row],[Our panel]]+Table333456789101211212223242527282930313233[[#This Row],[MTD Panel]]</f>
        <v>0</v>
      </c>
      <c r="H48" s="13">
        <f>Table333456789101211212223242527282930313234[[#This Row],[Company Panel]]-Table333456789101211212223242527282930313234[[#This Row],[Our panel]]</f>
        <v>0</v>
      </c>
      <c r="I48" s="13">
        <f>Table333456789101211212223242527282930313234[[#This Row],[MTD Company]]-Table333456789101211212223242527282930313234[[#This Row],[MTD Panel]]</f>
        <v>0</v>
      </c>
    </row>
    <row r="49" spans="1:9" ht="15.5">
      <c r="A49" s="11" t="str">
        <f>Table333456789101217[[#This Row],[Carrier]]</f>
        <v>Total</v>
      </c>
      <c r="B49" s="14"/>
      <c r="C49" s="15"/>
      <c r="D49" s="16">
        <f>SUM(D3:D48)</f>
        <v>5601.1833333333334</v>
      </c>
      <c r="E49" s="16">
        <f t="shared" ref="E49:I49" si="0">SUM(E3:E48)</f>
        <v>5601.1833333333334</v>
      </c>
      <c r="F49" s="16">
        <f t="shared" si="0"/>
        <v>260025.23333333331</v>
      </c>
      <c r="G49" s="16">
        <f t="shared" si="0"/>
        <v>260025.23333333331</v>
      </c>
      <c r="H49" s="16">
        <f t="shared" si="0"/>
        <v>0</v>
      </c>
      <c r="I49" s="16">
        <f t="shared" si="0"/>
        <v>0</v>
      </c>
    </row>
    <row r="51" spans="1:9">
      <c r="G51" s="61"/>
    </row>
    <row r="52" spans="1:9">
      <c r="G52" s="9"/>
    </row>
  </sheetData>
  <conditionalFormatting sqref="H2:I48">
    <cfRule type="cellIs" dxfId="75" priority="12" operator="lessThan">
      <formula>0</formula>
    </cfRule>
  </conditionalFormatting>
  <conditionalFormatting sqref="I30:I48">
    <cfRule type="cellIs" dxfId="74" priority="11" operator="lessThan">
      <formula>0</formula>
    </cfRule>
  </conditionalFormatting>
  <conditionalFormatting sqref="H3:I48">
    <cfRule type="cellIs" dxfId="73" priority="10" operator="lessThan">
      <formula>0</formula>
    </cfRule>
  </conditionalFormatting>
  <conditionalFormatting sqref="I30:I48">
    <cfRule type="cellIs" dxfId="72" priority="9" operator="lessThan">
      <formula>0</formula>
    </cfRule>
  </conditionalFormatting>
  <conditionalFormatting sqref="I3:I48">
    <cfRule type="cellIs" dxfId="71" priority="1" operator="lessThan">
      <formula>0</formula>
    </cfRule>
    <cfRule type="cellIs" dxfId="70" priority="2" operator="lessThan">
      <formula>0</formula>
    </cfRule>
  </conditionalFormatting>
  <hyperlinks>
    <hyperlink ref="E1" location="H!A1" display="Home"/>
    <hyperlink ref="D1" location="'26'!D1" display="←"/>
    <hyperlink ref="F1" location="'28'!F1" display="→"/>
  </hyperlink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2"/>
  <sheetViews>
    <sheetView zoomScale="98" zoomScaleNormal="98" workbookViewId="0">
      <selection activeCell="E49" sqref="E49"/>
    </sheetView>
  </sheetViews>
  <sheetFormatPr defaultRowHeight="14.5"/>
  <cols>
    <col min="1" max="1" width="26.7265625" bestFit="1" customWidth="1"/>
    <col min="2" max="2" width="37" bestFit="1" customWidth="1"/>
    <col min="3" max="3" width="10.453125" customWidth="1"/>
    <col min="4" max="9" width="12.7265625" customWidth="1"/>
  </cols>
  <sheetData>
    <row r="1" spans="1:12" ht="18.5">
      <c r="A1" s="23" t="str">
        <f>H!D13</f>
        <v>28th April 2025</v>
      </c>
      <c r="B1" s="24"/>
      <c r="C1" s="24"/>
      <c r="D1" s="22" t="s">
        <v>16</v>
      </c>
      <c r="E1" s="22" t="s">
        <v>9</v>
      </c>
      <c r="F1" s="22" t="s">
        <v>17</v>
      </c>
    </row>
    <row r="2" spans="1:12" ht="31">
      <c r="A2" s="1" t="s">
        <v>0</v>
      </c>
      <c r="B2" s="2" t="s">
        <v>1</v>
      </c>
      <c r="C2" s="2" t="s">
        <v>2</v>
      </c>
      <c r="D2" s="2" t="s">
        <v>3</v>
      </c>
      <c r="E2" s="2" t="s">
        <v>11</v>
      </c>
      <c r="F2" s="2" t="s">
        <v>4</v>
      </c>
      <c r="G2" s="4" t="s">
        <v>6</v>
      </c>
      <c r="H2" s="4" t="s">
        <v>7</v>
      </c>
      <c r="I2" s="3" t="s">
        <v>8</v>
      </c>
    </row>
    <row r="3" spans="1:12">
      <c r="A3" s="11" t="str">
        <f>Table333456789101217[[#This Row],[Carrier]]</f>
        <v>Blaze</v>
      </c>
      <c r="B3" s="5" t="str">
        <f>Table333456789101217[[#This Row],[IP]]</f>
        <v>8.12.34.56/48.163.17.845/60.502.86.203/191.45.28.14</v>
      </c>
      <c r="C3" s="6" t="str">
        <f>Table333456789101217[[#This Row],[Carrier Code]]</f>
        <v>BZ</v>
      </c>
      <c r="D3" s="53">
        <v>0</v>
      </c>
      <c r="E3" s="53">
        <v>0</v>
      </c>
      <c r="F3" s="18">
        <f>Table33345678910121121222324252728293031323435[[#This Row],[Company Panel]]+Table333456789101211212223242527282930313234[[#This Row],[MTD Company]]</f>
        <v>0</v>
      </c>
      <c r="G3" s="18">
        <f>Table33345678910121121222324252728293031323435[[#This Row],[Our panel]]+Table333456789101211212223242527282930313234[[#This Row],[MTD Panel]]</f>
        <v>0</v>
      </c>
      <c r="H3" s="13">
        <f>Table33345678910121121222324252728293031323435[[#This Row],[Company Panel]]-Table33345678910121121222324252728293031323435[[#This Row],[Our panel]]</f>
        <v>0</v>
      </c>
      <c r="I3" s="13">
        <f>Table33345678910121121222324252728293031323435[[#This Row],[MTD Company]]-Table33345678910121121222324252728293031323435[[#This Row],[MTD Panel]]</f>
        <v>0</v>
      </c>
    </row>
    <row r="4" spans="1:12">
      <c r="A4" s="11" t="str">
        <f>Table333456789101217[[#This Row],[Carrier]]</f>
        <v>Titan</v>
      </c>
      <c r="B4" s="5" t="str">
        <f>Table333456789101217[[#This Row],[IP]]</f>
        <v>123.45.67.89/123.45.67.93/203.24.101.65</v>
      </c>
      <c r="C4" s="6" t="str">
        <f>Table333456789101217[[#This Row],[Carrier Code]]</f>
        <v>TI</v>
      </c>
      <c r="D4" s="53">
        <v>10.566666666666666</v>
      </c>
      <c r="E4" s="53">
        <v>10.566666666666666</v>
      </c>
      <c r="F4" s="18">
        <f>Table33345678910121121222324252728293031323435[[#This Row],[Company Panel]]+Table333456789101211212223242527282930313234[[#This Row],[MTD Company]]</f>
        <v>342.05</v>
      </c>
      <c r="G4" s="18">
        <f>Table33345678910121121222324252728293031323435[[#This Row],[Our panel]]+Table333456789101211212223242527282930313234[[#This Row],[MTD Panel]]</f>
        <v>342.05</v>
      </c>
      <c r="H4" s="13">
        <f>Table33345678910121121222324252728293031323435[[#This Row],[Company Panel]]-Table33345678910121121222324252728293031323435[[#This Row],[Our panel]]</f>
        <v>0</v>
      </c>
      <c r="I4" s="13">
        <f>Table33345678910121121222324252728293031323435[[#This Row],[MTD Company]]-Table33345678910121121222324252728293031323435[[#This Row],[MTD Panel]]</f>
        <v>0</v>
      </c>
      <c r="L4" s="9"/>
    </row>
    <row r="5" spans="1:12">
      <c r="A5" s="11" t="str">
        <f>Table333456789101217[[#This Row],[Carrier]]</f>
        <v>Hollow</v>
      </c>
      <c r="B5" s="5" t="str">
        <f>Table333456789101217[[#This Row],[IP]]</f>
        <v>204.56.78.100/204.56.57.169/52.94.101.12</v>
      </c>
      <c r="C5" s="6" t="str">
        <f>Table333456789101217[[#This Row],[Carrier Code]]</f>
        <v>HO</v>
      </c>
      <c r="D5" s="53">
        <v>0</v>
      </c>
      <c r="E5" s="53">
        <v>0</v>
      </c>
      <c r="F5" s="18">
        <f>Table33345678910121121222324252728293031323435[[#This Row],[Company Panel]]+Table333456789101211212223242527282930313234[[#This Row],[MTD Company]]</f>
        <v>0</v>
      </c>
      <c r="G5" s="18">
        <f>Table33345678910121121222324252728293031323435[[#This Row],[Our panel]]+Table333456789101211212223242527282930313234[[#This Row],[MTD Panel]]</f>
        <v>0</v>
      </c>
      <c r="H5" s="13">
        <f>Table33345678910121121222324252728293031323435[[#This Row],[Company Panel]]-Table33345678910121121222324252728293031323435[[#This Row],[Our panel]]</f>
        <v>0</v>
      </c>
      <c r="I5" s="13">
        <f>Table33345678910121121222324252728293031323435[[#This Row],[MTD Company]]-Table33345678910121121222324252728293031323435[[#This Row],[MTD Panel]]</f>
        <v>0</v>
      </c>
    </row>
    <row r="6" spans="1:12">
      <c r="A6" s="11" t="str">
        <f>Table333456789101217[[#This Row],[Carrier]]</f>
        <v>Prism</v>
      </c>
      <c r="B6" s="5" t="str">
        <f>Table333456789101217[[#This Row],[IP]]</f>
        <v>35.118.22.45/137.63.112.25</v>
      </c>
      <c r="C6" s="6" t="str">
        <f>Table333456789101217[[#This Row],[Carrier Code]]</f>
        <v>PS</v>
      </c>
      <c r="D6" s="53">
        <v>563.54999999999995</v>
      </c>
      <c r="E6" s="53">
        <v>563.54999999999995</v>
      </c>
      <c r="F6" s="18">
        <f>Table33345678910121121222324252728293031323435[[#This Row],[Company Panel]]+Table333456789101211212223242527282930313234[[#This Row],[MTD Company]]</f>
        <v>73875.266666666634</v>
      </c>
      <c r="G6" s="18">
        <f>Table33345678910121121222324252728293031323435[[#This Row],[Our panel]]+Table333456789101211212223242527282930313234[[#This Row],[MTD Panel]]</f>
        <v>73875.266666666634</v>
      </c>
      <c r="H6" s="13">
        <f>Table33345678910121121222324252728293031323435[[#This Row],[Company Panel]]-Table33345678910121121222324252728293031323435[[#This Row],[Our panel]]</f>
        <v>0</v>
      </c>
      <c r="I6" s="13">
        <f>Table33345678910121121222324252728293031323435[[#This Row],[MTD Company]]-Table33345678910121121222324252728293031323435[[#This Row],[MTD Panel]]</f>
        <v>0</v>
      </c>
    </row>
    <row r="7" spans="1:12">
      <c r="A7" s="11" t="str">
        <f>Table333456789101217[[#This Row],[Carrier]]</f>
        <v>Echo</v>
      </c>
      <c r="B7" s="5" t="str">
        <f>Table333456789101217[[#This Row],[IP]]</f>
        <v>66.89.101.10/66.89.101.19/66.89.101.23/66.89.101.45/66.89.101.81/85.21.34.99</v>
      </c>
      <c r="C7" s="6" t="str">
        <f>Table333456789101217[[#This Row],[Carrier Code]]</f>
        <v>EC</v>
      </c>
      <c r="D7" s="53">
        <v>22.916666666666668</v>
      </c>
      <c r="E7" s="53">
        <v>22.916666666666668</v>
      </c>
      <c r="F7" s="18">
        <f>Table33345678910121121222324252728293031323435[[#This Row],[Company Panel]]+Table333456789101211212223242527282930313234[[#This Row],[MTD Company]]</f>
        <v>139.1</v>
      </c>
      <c r="G7" s="18">
        <f>Table33345678910121121222324252728293031323435[[#This Row],[Our panel]]+Table333456789101211212223242527282930313234[[#This Row],[MTD Panel]]</f>
        <v>139.1</v>
      </c>
      <c r="H7" s="13">
        <f>Table33345678910121121222324252728293031323435[[#This Row],[Company Panel]]-Table33345678910121121222324252728293031323435[[#This Row],[Our panel]]</f>
        <v>0</v>
      </c>
      <c r="I7" s="13">
        <f>Table33345678910121121222324252728293031323435[[#This Row],[MTD Company]]-Table33345678910121121222324252728293031323435[[#This Row],[MTD Panel]]</f>
        <v>0</v>
      </c>
    </row>
    <row r="8" spans="1:12">
      <c r="A8" s="11" t="str">
        <f>Table333456789101217[[#This Row],[Carrier]]</f>
        <v>Strike</v>
      </c>
      <c r="B8" s="5" t="str">
        <f>Table333456789101217[[#This Row],[IP]]</f>
        <v>100.200.150.3/100.200.165.38/41.102.90.78</v>
      </c>
      <c r="C8" s="6" t="str">
        <f>Table333456789101217[[#This Row],[Carrier Code]]</f>
        <v>ST</v>
      </c>
      <c r="D8" s="53">
        <v>96.86666666666666</v>
      </c>
      <c r="E8" s="53">
        <v>96.86666666666666</v>
      </c>
      <c r="F8" s="18">
        <f>Table33345678910121121222324252728293031323435[[#This Row],[Company Panel]]+Table333456789101211212223242527282930313234[[#This Row],[MTD Company]]</f>
        <v>3118.6166666666668</v>
      </c>
      <c r="G8" s="18">
        <f>Table33345678910121121222324252728293031323435[[#This Row],[Our panel]]+Table333456789101211212223242527282930313234[[#This Row],[MTD Panel]]</f>
        <v>3118.6166666666668</v>
      </c>
      <c r="H8" s="13">
        <f>Table33345678910121121222324252728293031323435[[#This Row],[Company Panel]]-Table33345678910121121222324252728293031323435[[#This Row],[Our panel]]</f>
        <v>0</v>
      </c>
      <c r="I8" s="13">
        <f>Table33345678910121121222324252728293031323435[[#This Row],[MTD Company]]-Table33345678910121121222324252728293031323435[[#This Row],[MTD Panel]]</f>
        <v>0</v>
      </c>
      <c r="L8" s="9"/>
    </row>
    <row r="9" spans="1:12">
      <c r="A9" s="11" t="str">
        <f>Table333456789101217[[#This Row],[Carrier]]</f>
        <v>Blunt</v>
      </c>
      <c r="B9" s="5" t="str">
        <f>Table333456789101217[[#This Row],[IP]]</f>
        <v>52.28.191.25/52.28.191.38/52.28.191.24/61.110.23.45</v>
      </c>
      <c r="C9" s="6" t="str">
        <f>Table333456789101217[[#This Row],[Carrier Code]]</f>
        <v>BL</v>
      </c>
      <c r="D9" s="53">
        <v>189.53333333333333</v>
      </c>
      <c r="E9" s="53">
        <v>189.53333333333333</v>
      </c>
      <c r="F9" s="18">
        <f>Table33345678910121121222324252728293031323435[[#This Row],[Company Panel]]+Table333456789101211212223242527282930313234[[#This Row],[MTD Company]]</f>
        <v>11239.533333333335</v>
      </c>
      <c r="G9" s="18">
        <f>Table33345678910121121222324252728293031323435[[#This Row],[Our panel]]+Table333456789101211212223242527282930313234[[#This Row],[MTD Panel]]</f>
        <v>11239.533333333335</v>
      </c>
      <c r="H9" s="13">
        <f>Table33345678910121121222324252728293031323435[[#This Row],[Company Panel]]-Table33345678910121121222324252728293031323435[[#This Row],[Our panel]]</f>
        <v>0</v>
      </c>
      <c r="I9" s="13">
        <f>Table33345678910121121222324252728293031323435[[#This Row],[MTD Company]]-Table33345678910121121222324252728293031323435[[#This Row],[MTD Panel]]</f>
        <v>0</v>
      </c>
    </row>
    <row r="10" spans="1:12">
      <c r="A10" s="11" t="str">
        <f>Table333456789101217[[#This Row],[Carrier]]</f>
        <v>Law</v>
      </c>
      <c r="B10" s="5" t="str">
        <f>Table333456789101217[[#This Row],[IP]]</f>
        <v>77.88.99.21/77.88.99.88/77.88.99.94/110.56.211.7</v>
      </c>
      <c r="C10" s="6" t="str">
        <f>Table333456789101217[[#This Row],[Carrier Code]]</f>
        <v>LA</v>
      </c>
      <c r="D10" s="53">
        <v>0</v>
      </c>
      <c r="E10" s="53">
        <v>0</v>
      </c>
      <c r="F10" s="18">
        <f>Table33345678910121121222324252728293031323435[[#This Row],[Company Panel]]+Table333456789101211212223242527282930313234[[#This Row],[MTD Company]]</f>
        <v>0</v>
      </c>
      <c r="G10" s="18">
        <f>Table33345678910121121222324252728293031323435[[#This Row],[Our panel]]+Table333456789101211212223242527282930313234[[#This Row],[MTD Panel]]</f>
        <v>0</v>
      </c>
      <c r="H10" s="13">
        <f>Table33345678910121121222324252728293031323435[[#This Row],[Company Panel]]-Table33345678910121121222324252728293031323435[[#This Row],[Our panel]]</f>
        <v>0</v>
      </c>
      <c r="I10" s="13">
        <f>Table33345678910121121222324252728293031323435[[#This Row],[MTD Company]]-Table33345678910121121222324252728293031323435[[#This Row],[MTD Panel]]</f>
        <v>0</v>
      </c>
    </row>
    <row r="11" spans="1:12">
      <c r="A11" s="11" t="str">
        <f>Table333456789101217[[#This Row],[Carrier]]</f>
        <v>Pulse</v>
      </c>
      <c r="B11" s="5" t="str">
        <f>Table333456789101217[[#This Row],[IP]]</f>
        <v>198.51.100.130/31.725.16.608/66.59.61.503/167.34.122.90</v>
      </c>
      <c r="C11" s="6" t="str">
        <f>Table333456789101217[[#This Row],[Carrier Code]]</f>
        <v>PU</v>
      </c>
      <c r="D11" s="53">
        <v>0</v>
      </c>
      <c r="E11" s="53">
        <v>0</v>
      </c>
      <c r="F11" s="18">
        <f>Table33345678910121121222324252728293031323435[[#This Row],[Company Panel]]+Table333456789101211212223242527282930313234[[#This Row],[MTD Company]]</f>
        <v>0</v>
      </c>
      <c r="G11" s="18">
        <f>Table33345678910121121222324252728293031323435[[#This Row],[Our panel]]+Table333456789101211212223242527282930313234[[#This Row],[MTD Panel]]</f>
        <v>0</v>
      </c>
      <c r="H11" s="13">
        <f>Table33345678910121121222324252728293031323435[[#This Row],[Company Panel]]-Table33345678910121121222324252728293031323435[[#This Row],[Our panel]]</f>
        <v>0</v>
      </c>
      <c r="I11" s="13">
        <f>Table33345678910121121222324252728293031323435[[#This Row],[MTD Company]]-Table33345678910121121222324252728293031323435[[#This Row],[MTD Panel]]</f>
        <v>0</v>
      </c>
    </row>
    <row r="12" spans="1:12">
      <c r="A12" s="11" t="str">
        <f>Table333456789101217[[#This Row],[Carrier]]</f>
        <v>Phantom</v>
      </c>
      <c r="B12" s="5" t="str">
        <f>Table333456789101217[[#This Row],[IP]]</f>
        <v>141.15.210.67/141.15.42.82/179.62.211.4</v>
      </c>
      <c r="C12" s="6" t="str">
        <f>Table333456789101217[[#This Row],[Carrier Code]]</f>
        <v>PH</v>
      </c>
      <c r="D12" s="53">
        <v>5.0333333333333332</v>
      </c>
      <c r="E12" s="53">
        <v>5.0333333333333332</v>
      </c>
      <c r="F12" s="18">
        <f>Table33345678910121121222324252728293031323435[[#This Row],[Company Panel]]+Table333456789101211212223242527282930313234[[#This Row],[MTD Company]]</f>
        <v>3382.8166666666657</v>
      </c>
      <c r="G12" s="18">
        <f>Table33345678910121121222324252728293031323435[[#This Row],[Our panel]]+Table333456789101211212223242527282930313234[[#This Row],[MTD Panel]]</f>
        <v>3382.8166666666657</v>
      </c>
      <c r="H12" s="13">
        <f>Table33345678910121121222324252728293031323435[[#This Row],[Company Panel]]-Table33345678910121121222324252728293031323435[[#This Row],[Our panel]]</f>
        <v>0</v>
      </c>
      <c r="I12" s="13">
        <f>Table33345678910121121222324252728293031323435[[#This Row],[MTD Company]]-Table33345678910121121222324252728293031323435[[#This Row],[MTD Panel]]</f>
        <v>0</v>
      </c>
    </row>
    <row r="13" spans="1:12">
      <c r="A13" s="11" t="str">
        <f>Table333456789101217[[#This Row],[Carrier]]</f>
        <v>Dragon</v>
      </c>
      <c r="B13" s="5" t="str">
        <f>Table333456789101217[[#This Row],[IP]]</f>
        <v>12.34.56.78/12.34.56.128/200.180.245.18</v>
      </c>
      <c r="C13" s="6" t="str">
        <f>Table333456789101217[[#This Row],[Carrier Code]]</f>
        <v>DG</v>
      </c>
      <c r="D13" s="53">
        <v>0</v>
      </c>
      <c r="E13" s="53">
        <v>0</v>
      </c>
      <c r="F13" s="18">
        <f>Table33345678910121121222324252728293031323435[[#This Row],[Company Panel]]+Table333456789101211212223242527282930313234[[#This Row],[MTD Company]]</f>
        <v>0</v>
      </c>
      <c r="G13" s="18">
        <f>Table33345678910121121222324252728293031323435[[#This Row],[Our panel]]+Table333456789101211212223242527282930313234[[#This Row],[MTD Panel]]</f>
        <v>0</v>
      </c>
      <c r="H13" s="13">
        <f>Table33345678910121121222324252728293031323435[[#This Row],[Company Panel]]-Table33345678910121121222324252728293031323435[[#This Row],[Our panel]]</f>
        <v>0</v>
      </c>
      <c r="I13" s="13">
        <f>Table33345678910121121222324252728293031323435[[#This Row],[MTD Company]]-Table33345678910121121222324252728293031323435[[#This Row],[MTD Panel]]</f>
        <v>0</v>
      </c>
    </row>
    <row r="14" spans="1:12">
      <c r="A14" s="11" t="str">
        <f>Table333456789101217[[#This Row],[Carrier]]</f>
        <v>Tempest</v>
      </c>
      <c r="B14" s="5" t="str">
        <f>Table333456789101217[[#This Row],[IP]]</f>
        <v>59.144.223.88/55.39.99.60</v>
      </c>
      <c r="C14" s="6" t="str">
        <f>Table333456789101217[[#This Row],[Carrier Code]]</f>
        <v>TE</v>
      </c>
      <c r="D14" s="53">
        <v>0</v>
      </c>
      <c r="E14" s="53">
        <v>0</v>
      </c>
      <c r="F14" s="18">
        <f>Table33345678910121121222324252728293031323435[[#This Row],[Company Panel]]+Table333456789101211212223242527282930313234[[#This Row],[MTD Company]]</f>
        <v>0</v>
      </c>
      <c r="G14" s="18">
        <f>Table33345678910121121222324252728293031323435[[#This Row],[Our panel]]+Table333456789101211212223242527282930313234[[#This Row],[MTD Panel]]</f>
        <v>0</v>
      </c>
      <c r="H14" s="13">
        <f>Table33345678910121121222324252728293031323435[[#This Row],[Company Panel]]-Table33345678910121121222324252728293031323435[[#This Row],[Our panel]]</f>
        <v>0</v>
      </c>
      <c r="I14" s="13">
        <f>Table33345678910121121222324252728293031323435[[#This Row],[MTD Company]]-Table33345678910121121222324252728293031323435[[#This Row],[MTD Panel]]</f>
        <v>0</v>
      </c>
    </row>
    <row r="15" spans="1:12">
      <c r="A15" s="11" t="str">
        <f>Table333456789101217[[#This Row],[Carrier]]</f>
        <v>Shadow</v>
      </c>
      <c r="B15" s="5" t="str">
        <f>Table333456789101217[[#This Row],[IP]]</f>
        <v>175.45.112.100/25.851.31.153/39.80.220.100</v>
      </c>
      <c r="C15" s="6" t="str">
        <f>Table333456789101217[[#This Row],[Carrier Code]]</f>
        <v>SH</v>
      </c>
      <c r="D15" s="53">
        <v>1.35</v>
      </c>
      <c r="E15" s="53">
        <v>1.35</v>
      </c>
      <c r="F15" s="18">
        <f>Table33345678910121121222324252728293031323435[[#This Row],[Company Panel]]+Table333456789101211212223242527282930313234[[#This Row],[MTD Company]]</f>
        <v>1.4500000000000002</v>
      </c>
      <c r="G15" s="18">
        <f>Table33345678910121121222324252728293031323435[[#This Row],[Our panel]]+Table333456789101211212223242527282930313234[[#This Row],[MTD Panel]]</f>
        <v>1.4500000000000002</v>
      </c>
      <c r="H15" s="13">
        <f>Table33345678910121121222324252728293031323435[[#This Row],[Company Panel]]-Table33345678910121121222324252728293031323435[[#This Row],[Our panel]]</f>
        <v>0</v>
      </c>
      <c r="I15" s="13">
        <f>Table33345678910121121222324252728293031323435[[#This Row],[MTD Company]]-Table33345678910121121222324252728293031323435[[#This Row],[MTD Panel]]</f>
        <v>0</v>
      </c>
    </row>
    <row r="16" spans="1:12">
      <c r="A16" s="11" t="str">
        <f>Table333456789101217[[#This Row],[Carrier]]</f>
        <v>Cyclone</v>
      </c>
      <c r="B16" s="5" t="str">
        <f>Table333456789101217[[#This Row],[IP]]</f>
        <v>150.13.75.190/16.160.89.512/72.11.97.34</v>
      </c>
      <c r="C16" s="6" t="s">
        <v>28</v>
      </c>
      <c r="D16" s="53">
        <v>0</v>
      </c>
      <c r="E16" s="53">
        <v>0</v>
      </c>
      <c r="F16" s="18">
        <f>Table33345678910121121222324252728293031323435[[#This Row],[Company Panel]]+Table333456789101211212223242527282930313234[[#This Row],[MTD Company]]</f>
        <v>0</v>
      </c>
      <c r="G16" s="18">
        <f>Table33345678910121121222324252728293031323435[[#This Row],[Our panel]]+Table333456789101211212223242527282930313234[[#This Row],[MTD Panel]]</f>
        <v>0</v>
      </c>
      <c r="H16" s="13">
        <f>Table33345678910121121222324252728293031323435[[#This Row],[Company Panel]]-Table33345678910121121222324252728293031323435[[#This Row],[Our panel]]</f>
        <v>0</v>
      </c>
      <c r="I16" s="13">
        <f>Table33345678910121121222324252728293031323435[[#This Row],[MTD Company]]-Table33345678910121121222324252728293031323435[[#This Row],[MTD Panel]]</f>
        <v>0</v>
      </c>
    </row>
    <row r="17" spans="1:9">
      <c r="A17" s="11" t="str">
        <f>Table333456789101217[[#This Row],[Carrier]]</f>
        <v>Reaver</v>
      </c>
      <c r="B17" s="5" t="str">
        <f>Table333456789101217[[#This Row],[IP]]</f>
        <v>203.0.113.44/188.17.56.210</v>
      </c>
      <c r="C17" s="6" t="str">
        <f>Table333456789101217[[#This Row],[Carrier Code]]</f>
        <v>RE</v>
      </c>
      <c r="D17" s="53">
        <v>0</v>
      </c>
      <c r="E17" s="53">
        <v>0</v>
      </c>
      <c r="F17" s="18">
        <f>Table33345678910121121222324252728293031323435[[#This Row],[Company Panel]]+Table333456789101211212223242527282930313234[[#This Row],[MTD Company]]</f>
        <v>0</v>
      </c>
      <c r="G17" s="18">
        <f>Table33345678910121121222324252728293031323435[[#This Row],[Our panel]]+Table333456789101211212223242527282930313234[[#This Row],[MTD Panel]]</f>
        <v>0</v>
      </c>
      <c r="H17" s="13">
        <f>Table33345678910121121222324252728293031323435[[#This Row],[Company Panel]]-Table33345678910121121222324252728293031323435[[#This Row],[Our panel]]</f>
        <v>0</v>
      </c>
      <c r="I17" s="13">
        <f>Table33345678910121121222324252728293031323435[[#This Row],[MTD Company]]-Table33345678910121121222324252728293031323435[[#This Row],[MTD Panel]]</f>
        <v>0</v>
      </c>
    </row>
    <row r="18" spans="1:9">
      <c r="A18" s="11" t="str">
        <f>Table333456789101217[[#This Row],[Carrier]]</f>
        <v>Forge</v>
      </c>
      <c r="B18" s="5" t="str">
        <f>Table333456789101217[[#This Row],[IP]]</f>
        <v>112.54.89.168/112.54.89.138</v>
      </c>
      <c r="C18" s="6" t="str">
        <f>Table333456789101217[[#This Row],[Carrier Code]]</f>
        <v>FO</v>
      </c>
      <c r="D18" s="53">
        <v>40.200000000000003</v>
      </c>
      <c r="E18" s="53">
        <v>40.200000000000003</v>
      </c>
      <c r="F18" s="18">
        <f>Table33345678910121121222324252728293031323435[[#This Row],[Company Panel]]+Table333456789101211212223242527282930313234[[#This Row],[MTD Company]]</f>
        <v>714.41666666666674</v>
      </c>
      <c r="G18" s="18">
        <f>Table33345678910121121222324252728293031323435[[#This Row],[Our panel]]+Table333456789101211212223242527282930313234[[#This Row],[MTD Panel]]</f>
        <v>714.41666666666674</v>
      </c>
      <c r="H18" s="13">
        <f>Table33345678910121121222324252728293031323435[[#This Row],[Company Panel]]-Table33345678910121121222324252728293031323435[[#This Row],[Our panel]]</f>
        <v>0</v>
      </c>
      <c r="I18" s="13">
        <f>Table33345678910121121222324252728293031323435[[#This Row],[MTD Company]]-Table33345678910121121222324252728293031323435[[#This Row],[MTD Panel]]</f>
        <v>0</v>
      </c>
    </row>
    <row r="19" spans="1:9">
      <c r="A19" s="11" t="str">
        <f>Table333456789101217[[#This Row],[Carrier]]</f>
        <v>Ember</v>
      </c>
      <c r="B19" s="5" t="str">
        <f>Table333456789101217[[#This Row],[IP]]</f>
        <v>78.34.90.24/328.56.122.44/142.150.75.22</v>
      </c>
      <c r="C19" s="6" t="str">
        <f>Table333456789101217[[#This Row],[Carrier Code]]</f>
        <v>EM</v>
      </c>
      <c r="D19" s="53">
        <v>0</v>
      </c>
      <c r="E19" s="53">
        <v>0</v>
      </c>
      <c r="F19" s="18">
        <f>Table33345678910121121222324252728293031323435[[#This Row],[Company Panel]]+Table333456789101211212223242527282930313234[[#This Row],[MTD Company]]</f>
        <v>1.1499999999999999</v>
      </c>
      <c r="G19" s="18">
        <f>Table33345678910121121222324252728293031323435[[#This Row],[Our panel]]+Table333456789101211212223242527282930313234[[#This Row],[MTD Panel]]</f>
        <v>1.1499999999999999</v>
      </c>
      <c r="H19" s="13">
        <f>Table33345678910121121222324252728293031323435[[#This Row],[Company Panel]]-Table33345678910121121222324252728293031323435[[#This Row],[Our panel]]</f>
        <v>0</v>
      </c>
      <c r="I19" s="13">
        <f>Table33345678910121121222324252728293031323435[[#This Row],[MTD Company]]-Table33345678910121121222324252728293031323435[[#This Row],[MTD Panel]]</f>
        <v>0</v>
      </c>
    </row>
    <row r="20" spans="1:9">
      <c r="A20" s="11" t="str">
        <f>Table333456789101217[[#This Row],[Carrier]]</f>
        <v>Specter</v>
      </c>
      <c r="B20" s="5" t="str">
        <f>Table333456789101217[[#This Row],[IP]]</f>
        <v>205.60.34.150</v>
      </c>
      <c r="C20" s="6" t="str">
        <f>Table333456789101217[[#This Row],[Carrier Code]]</f>
        <v>SP</v>
      </c>
      <c r="D20" s="53">
        <v>2.9</v>
      </c>
      <c r="E20" s="53">
        <v>2.9</v>
      </c>
      <c r="F20" s="18">
        <f>Table33345678910121121222324252728293031323435[[#This Row],[Company Panel]]+Table333456789101211212223242527282930313234[[#This Row],[MTD Company]]</f>
        <v>53.016666666666673</v>
      </c>
      <c r="G20" s="18">
        <f>Table33345678910121121222324252728293031323435[[#This Row],[Our panel]]+Table333456789101211212223242527282930313234[[#This Row],[MTD Panel]]</f>
        <v>53.016666666666673</v>
      </c>
      <c r="H20" s="13">
        <f>Table33345678910121121222324252728293031323435[[#This Row],[Company Panel]]-Table33345678910121121222324252728293031323435[[#This Row],[Our panel]]</f>
        <v>0</v>
      </c>
      <c r="I20" s="13">
        <f>Table33345678910121121222324252728293031323435[[#This Row],[MTD Company]]-Table33345678910121121222324252728293031323435[[#This Row],[MTD Panel]]</f>
        <v>0</v>
      </c>
    </row>
    <row r="21" spans="1:9">
      <c r="A21" s="11" t="str">
        <f>Table333456789101217[[#This Row],[Carrier]]</f>
        <v>Throne</v>
      </c>
      <c r="B21" s="5" t="str">
        <f>Table333456789101217[[#This Row],[IP]]</f>
        <v>54.32.11.90/27.758.27.201/125.150.58.20</v>
      </c>
      <c r="C21" s="6" t="str">
        <f>Table333456789101217[[#This Row],[Carrier Code]]</f>
        <v>TH</v>
      </c>
      <c r="D21" s="53">
        <v>0</v>
      </c>
      <c r="E21" s="53">
        <v>0</v>
      </c>
      <c r="F21" s="18">
        <f>Table33345678910121121222324252728293031323435[[#This Row],[Company Panel]]+Table333456789101211212223242527282930313234[[#This Row],[MTD Company]]</f>
        <v>0</v>
      </c>
      <c r="G21" s="18">
        <f>Table33345678910121121222324252728293031323435[[#This Row],[Our panel]]+Table333456789101211212223242527282930313234[[#This Row],[MTD Panel]]</f>
        <v>0</v>
      </c>
      <c r="H21" s="13">
        <f>Table33345678910121121222324252728293031323435[[#This Row],[Company Panel]]-Table33345678910121121222324252728293031323435[[#This Row],[Our panel]]</f>
        <v>0</v>
      </c>
      <c r="I21" s="13">
        <f>Table33345678910121121222324252728293031323435[[#This Row],[MTD Company]]-Table33345678910121121222324252728293031323435[[#This Row],[MTD Panel]]</f>
        <v>0</v>
      </c>
    </row>
    <row r="22" spans="1:9">
      <c r="A22" s="11" t="str">
        <f>Table333456789101217[[#This Row],[Carrier]]</f>
        <v>Arcane</v>
      </c>
      <c r="B22" s="5" t="str">
        <f>Table333456789101217[[#This Row],[IP]]</f>
        <v>212.100.25.78/212.100.25.87</v>
      </c>
      <c r="C22" s="6" t="s">
        <v>30</v>
      </c>
      <c r="D22" s="53">
        <v>0</v>
      </c>
      <c r="E22" s="53">
        <v>0</v>
      </c>
      <c r="F22" s="18">
        <f>Table33345678910121121222324252728293031323435[[#This Row],[Company Panel]]+Table333456789101211212223242527282930313234[[#This Row],[MTD Company]]</f>
        <v>3336.0333333333333</v>
      </c>
      <c r="G22" s="18">
        <f>Table33345678910121121222324252728293031323435[[#This Row],[Our panel]]+Table333456789101211212223242527282930313234[[#This Row],[MTD Panel]]</f>
        <v>3336.0333333333333</v>
      </c>
      <c r="H22" s="13">
        <f>Table33345678910121121222324252728293031323435[[#This Row],[Company Panel]]-Table33345678910121121222324252728293031323435[[#This Row],[Our panel]]</f>
        <v>0</v>
      </c>
      <c r="I22" s="13">
        <f>Table33345678910121121222324252728293031323435[[#This Row],[MTD Company]]-Table33345678910121121222324252728293031323435[[#This Row],[MTD Panel]]</f>
        <v>0</v>
      </c>
    </row>
    <row r="23" spans="1:9">
      <c r="A23" s="11" t="str">
        <f>Table333456789101217[[#This Row],[Carrier]]</f>
        <v>Glitch</v>
      </c>
      <c r="B23" s="5" t="str">
        <f>Table333456789101217[[#This Row],[IP]]</f>
        <v>198.204.100.12/198.204.100.34/198.204.100.51</v>
      </c>
      <c r="C23" s="6" t="str">
        <f>Table333456789101217[[#This Row],[Carrier Code]]</f>
        <v>GL</v>
      </c>
      <c r="D23" s="53">
        <v>0</v>
      </c>
      <c r="E23" s="53">
        <v>0</v>
      </c>
      <c r="F23" s="18">
        <f>Table33345678910121121222324252728293031323435[[#This Row],[Company Panel]]+Table333456789101211212223242527282930313234[[#This Row],[MTD Company]]</f>
        <v>0</v>
      </c>
      <c r="G23" s="18">
        <f>Table33345678910121121222324252728293031323435[[#This Row],[Our panel]]+Table333456789101211212223242527282930313234[[#This Row],[MTD Panel]]</f>
        <v>0</v>
      </c>
      <c r="H23" s="13">
        <f>Table33345678910121121222324252728293031323435[[#This Row],[Company Panel]]-Table33345678910121121222324252728293031323435[[#This Row],[Our panel]]</f>
        <v>0</v>
      </c>
      <c r="I23" s="13">
        <f>Table33345678910121121222324252728293031323435[[#This Row],[MTD Company]]-Table33345678910121121222324252728293031323435[[#This Row],[MTD Panel]]</f>
        <v>0</v>
      </c>
    </row>
    <row r="24" spans="1:9">
      <c r="A24" s="11" t="str">
        <f>Table333456789101217[[#This Row],[Carrier]]</f>
        <v>Nitro</v>
      </c>
      <c r="B24" s="5" t="str">
        <f>Table333456789101217[[#This Row],[IP]]</f>
        <v>15.150.200.33/119.82.200.100</v>
      </c>
      <c r="C24" s="6" t="str">
        <f>Table333456789101217[[#This Row],[Carrier Code]]</f>
        <v>NI</v>
      </c>
      <c r="D24" s="53">
        <v>0</v>
      </c>
      <c r="E24" s="53">
        <v>0</v>
      </c>
      <c r="F24" s="18">
        <f>Table33345678910121121222324252728293031323435[[#This Row],[Company Panel]]+Table333456789101211212223242527282930313234[[#This Row],[MTD Company]]</f>
        <v>0</v>
      </c>
      <c r="G24" s="18">
        <f>Table33345678910121121222324252728293031323435[[#This Row],[Our panel]]+Table333456789101211212223242527282930313234[[#This Row],[MTD Panel]]</f>
        <v>0</v>
      </c>
      <c r="H24" s="13">
        <f>Table33345678910121121222324252728293031323435[[#This Row],[Company Panel]]-Table33345678910121121222324252728293031323435[[#This Row],[Our panel]]</f>
        <v>0</v>
      </c>
      <c r="I24" s="13">
        <f>Table33345678910121121222324252728293031323435[[#This Row],[MTD Company]]-Table33345678910121121222324252728293031323435[[#This Row],[MTD Panel]]</f>
        <v>0</v>
      </c>
    </row>
    <row r="25" spans="1:9">
      <c r="A25" s="11" t="str">
        <f>Table333456789101217[[#This Row],[Carrier]]</f>
        <v>Drip</v>
      </c>
      <c r="B25" s="5" t="str">
        <f>Table333456789101217[[#This Row],[IP]]</f>
        <v>84.13.76.190/90.945.80.11/198.160.234.5</v>
      </c>
      <c r="C25" s="6" t="str">
        <f>Table333456789101217[[#This Row],[Carrier Code]]</f>
        <v>DR</v>
      </c>
      <c r="D25" s="53">
        <v>0</v>
      </c>
      <c r="E25" s="53">
        <v>0</v>
      </c>
      <c r="F25" s="18">
        <f>Table33345678910121121222324252728293031323435[[#This Row],[Company Panel]]+Table333456789101211212223242527282930313234[[#This Row],[MTD Company]]</f>
        <v>0</v>
      </c>
      <c r="G25" s="18">
        <f>Table33345678910121121222324252728293031323435[[#This Row],[Our panel]]+Table333456789101211212223242527282930313234[[#This Row],[MTD Panel]]</f>
        <v>0</v>
      </c>
      <c r="H25" s="13">
        <f>Table33345678910121121222324252728293031323435[[#This Row],[Company Panel]]-Table33345678910121121222324252728293031323435[[#This Row],[Our panel]]</f>
        <v>0</v>
      </c>
      <c r="I25" s="13">
        <f>Table33345678910121121222324252728293031323435[[#This Row],[MTD Company]]-Table33345678910121121222324252728293031323435[[#This Row],[MTD Panel]]</f>
        <v>0</v>
      </c>
    </row>
    <row r="26" spans="1:9">
      <c r="A26" s="11" t="str">
        <f>Table333456789101217[[#This Row],[Carrier]]</f>
        <v>Glide</v>
      </c>
      <c r="B26" s="5" t="str">
        <f>Table333456789101217[[#This Row],[IP]]</f>
        <v>120.45.12.25/85.739.221.80/85.739.221.93</v>
      </c>
      <c r="C26" s="6" t="str">
        <f>Table333456789101217[[#This Row],[Carrier Code]]</f>
        <v>GI</v>
      </c>
      <c r="D26" s="53">
        <v>0</v>
      </c>
      <c r="E26" s="53">
        <v>0</v>
      </c>
      <c r="F26" s="18">
        <f>Table33345678910121121222324252728293031323435[[#This Row],[Company Panel]]+Table333456789101211212223242527282930313234[[#This Row],[MTD Company]]</f>
        <v>0</v>
      </c>
      <c r="G26" s="18">
        <f>Table33345678910121121222324252728293031323435[[#This Row],[Our panel]]+Table333456789101211212223242527282930313234[[#This Row],[MTD Panel]]</f>
        <v>0</v>
      </c>
      <c r="H26" s="13">
        <f>Table33345678910121121222324252728293031323435[[#This Row],[Company Panel]]-Table33345678910121121222324252728293031323435[[#This Row],[Our panel]]</f>
        <v>0</v>
      </c>
      <c r="I26" s="13">
        <f>Table33345678910121121222324252728293031323435[[#This Row],[MTD Company]]-Table33345678910121121222324252728293031323435[[#This Row],[MTD Panel]]</f>
        <v>0</v>
      </c>
    </row>
    <row r="27" spans="1:9">
      <c r="A27" s="11" t="str">
        <f>Table333456789101217[[#This Row],[Carrier]]</f>
        <v>Orbit</v>
      </c>
      <c r="B27" s="5" t="str">
        <f>Table333456789101217[[#This Row],[IP]]</f>
        <v>176.98.54.112/60.110.154.91/60.110.155.162</v>
      </c>
      <c r="C27" s="6" t="str">
        <f>Table333456789101217[[#This Row],[Carrier Code]]</f>
        <v>OR</v>
      </c>
      <c r="D27" s="53">
        <v>0</v>
      </c>
      <c r="E27" s="53">
        <v>0</v>
      </c>
      <c r="F27" s="18">
        <f>Table33345678910121121222324252728293031323435[[#This Row],[Company Panel]]+Table333456789101211212223242527282930313234[[#This Row],[MTD Company]]</f>
        <v>0</v>
      </c>
      <c r="G27" s="18">
        <f>Table33345678910121121222324252728293031323435[[#This Row],[Our panel]]+Table333456789101211212223242527282930313234[[#This Row],[MTD Panel]]</f>
        <v>0</v>
      </c>
      <c r="H27" s="13">
        <f>Table33345678910121121222324252728293031323435[[#This Row],[Company Panel]]-Table33345678910121121222324252728293031323435[[#This Row],[Our panel]]</f>
        <v>0</v>
      </c>
      <c r="I27" s="13">
        <f>Table33345678910121121222324252728293031323435[[#This Row],[MTD Company]]-Table33345678910121121222324252728293031323435[[#This Row],[MTD Panel]]</f>
        <v>0</v>
      </c>
    </row>
    <row r="28" spans="1:9">
      <c r="A28" s="11" t="str">
        <f>Table333456789101217[[#This Row],[Carrier]]</f>
        <v>Thunder</v>
      </c>
      <c r="B28" s="5" t="str">
        <f>Table333456789101217[[#This Row],[IP]]</f>
        <v>67.102.200.9/81.905.48.847/143.235.100.34</v>
      </c>
      <c r="C28" s="6" t="str">
        <f>Table333456789101217[[#This Row],[Carrier Code]]</f>
        <v>TU</v>
      </c>
      <c r="D28" s="53">
        <v>82.066666666666663</v>
      </c>
      <c r="E28" s="53">
        <v>82.066666666666663</v>
      </c>
      <c r="F28" s="18">
        <f>Table33345678910121121222324252728293031323435[[#This Row],[Company Panel]]+Table333456789101211212223242527282930313234[[#This Row],[MTD Company]]</f>
        <v>734.18333333333317</v>
      </c>
      <c r="G28" s="18">
        <f>Table33345678910121121222324252728293031323435[[#This Row],[Our panel]]+Table333456789101211212223242527282930313234[[#This Row],[MTD Panel]]</f>
        <v>734.18333333333317</v>
      </c>
      <c r="H28" s="13">
        <f>Table33345678910121121222324252728293031323435[[#This Row],[Company Panel]]-Table33345678910121121222324252728293031323435[[#This Row],[Our panel]]</f>
        <v>0</v>
      </c>
      <c r="I28" s="13">
        <f>Table33345678910121121222324252728293031323435[[#This Row],[MTD Company]]-Table33345678910121121222324252728293031323435[[#This Row],[MTD Panel]]</f>
        <v>0</v>
      </c>
    </row>
    <row r="29" spans="1:9">
      <c r="A29" s="11" t="str">
        <f>Table333456789101217[[#This Row],[Carrier]]</f>
        <v>Glimmer</v>
      </c>
      <c r="B29" s="5" t="str">
        <f>Table333456789101217[[#This Row],[IP]]</f>
        <v>99.22.211.100/71.54.85.344/71.54.85.218</v>
      </c>
      <c r="C29" s="6" t="str">
        <f>Table333456789101217[[#This Row],[Carrier Code]]</f>
        <v>GM</v>
      </c>
      <c r="D29" s="53">
        <v>0</v>
      </c>
      <c r="E29" s="53">
        <v>0</v>
      </c>
      <c r="F29" s="18">
        <f>Table33345678910121121222324252728293031323435[[#This Row],[Company Panel]]+Table333456789101211212223242527282930313234[[#This Row],[MTD Company]]</f>
        <v>0</v>
      </c>
      <c r="G29" s="18">
        <f>Table33345678910121121222324252728293031323435[[#This Row],[Our panel]]+Table333456789101211212223242527282930313234[[#This Row],[MTD Panel]]</f>
        <v>0</v>
      </c>
      <c r="H29" s="13">
        <f>Table33345678910121121222324252728293031323435[[#This Row],[Company Panel]]-Table33345678910121121222324252728293031323435[[#This Row],[Our panel]]</f>
        <v>0</v>
      </c>
      <c r="I29" s="13">
        <f>Table33345678910121121222324252728293031323435[[#This Row],[MTD Company]]-Table33345678910121121222324252728293031323435[[#This Row],[MTD Panel]]</f>
        <v>0</v>
      </c>
    </row>
    <row r="30" spans="1:9">
      <c r="A30" s="11" t="str">
        <f>Table333456789101217[[#This Row],[Carrier]]</f>
        <v>Fragment</v>
      </c>
      <c r="B30" s="5" t="str">
        <f>Table333456789101217[[#This Row],[IP]]</f>
        <v>203.0.113.56/195.56.101.10</v>
      </c>
      <c r="C30" s="6" t="str">
        <f>Table333456789101217[[#This Row],[Carrier Code]]</f>
        <v>FR</v>
      </c>
      <c r="D30" s="53">
        <v>0</v>
      </c>
      <c r="E30" s="53">
        <v>0</v>
      </c>
      <c r="F30" s="18">
        <f>Table33345678910121121222324252728293031323435[[#This Row],[Company Panel]]+Table333456789101211212223242527282930313234[[#This Row],[MTD Company]]</f>
        <v>0</v>
      </c>
      <c r="G30" s="18">
        <f>Table33345678910121121222324252728293031323435[[#This Row],[Our panel]]+Table333456789101211212223242527282930313234[[#This Row],[MTD Panel]]</f>
        <v>0</v>
      </c>
      <c r="H30" s="13">
        <f>Table33345678910121121222324252728293031323435[[#This Row],[Company Panel]]-Table33345678910121121222324252728293031323435[[#This Row],[Our panel]]</f>
        <v>0</v>
      </c>
      <c r="I30" s="13">
        <f>Table33345678910121121222324252728293031323435[[#This Row],[MTD Company]]-Table33345678910121121222324252728293031323435[[#This Row],[MTD Panel]]</f>
        <v>0</v>
      </c>
    </row>
    <row r="31" spans="1:9">
      <c r="A31" s="11" t="str">
        <f>Table333456789101217[[#This Row],[Carrier]]</f>
        <v>Dusk</v>
      </c>
      <c r="B31" s="5" t="str">
        <f>Table333456789101217[[#This Row],[IP]]</f>
        <v>33.44.55.66/33.44.55.84/33.44.55.122/214.68.90.122</v>
      </c>
      <c r="C31" s="54" t="str">
        <f>Table333456789101217[[#This Row],[Carrier Code]]</f>
        <v>DK</v>
      </c>
      <c r="D31" s="53">
        <v>0</v>
      </c>
      <c r="E31" s="53">
        <v>0</v>
      </c>
      <c r="F31" s="18">
        <f>Table33345678910121121222324252728293031323435[[#This Row],[Company Panel]]+Table333456789101211212223242527282930313234[[#This Row],[MTD Company]]</f>
        <v>0</v>
      </c>
      <c r="G31" s="18">
        <f>Table33345678910121121222324252728293031323435[[#This Row],[Our panel]]+Table333456789101211212223242527282930313234[[#This Row],[MTD Panel]]</f>
        <v>0</v>
      </c>
      <c r="H31" s="13">
        <f>Table33345678910121121222324252728293031323435[[#This Row],[Company Panel]]-Table33345678910121121222324252728293031323435[[#This Row],[Our panel]]</f>
        <v>0</v>
      </c>
      <c r="I31" s="13">
        <f>Table33345678910121121222324252728293031323435[[#This Row],[MTD Company]]-Table33345678910121121222324252728293031323435[[#This Row],[MTD Panel]]</f>
        <v>0</v>
      </c>
    </row>
    <row r="32" spans="1:9">
      <c r="A32" s="11" t="str">
        <f>Table333456789101217[[#This Row],[Carrier]]</f>
        <v>Breeze</v>
      </c>
      <c r="B32" s="5" t="str">
        <f>Table333456789101217[[#This Row],[IP]]</f>
        <v>199.123.87.45/199.123.34.52/77.189.22.56</v>
      </c>
      <c r="C32" s="54" t="str">
        <f>Table333456789101217[[#This Row],[Carrier Code]]</f>
        <v>BR</v>
      </c>
      <c r="D32" s="53">
        <v>0</v>
      </c>
      <c r="E32" s="53">
        <v>0</v>
      </c>
      <c r="F32" s="18">
        <f>Table33345678910121121222324252728293031323435[[#This Row],[Company Panel]]+Table333456789101211212223242527282930313234[[#This Row],[MTD Company]]</f>
        <v>0</v>
      </c>
      <c r="G32" s="18">
        <f>Table33345678910121121222324252728293031323435[[#This Row],[Our panel]]+Table333456789101211212223242527282930313234[[#This Row],[MTD Panel]]</f>
        <v>0</v>
      </c>
      <c r="H32" s="13">
        <f>Table33345678910121121222324252728293031323435[[#This Row],[Company Panel]]-Table33345678910121121222324252728293031323435[[#This Row],[Our panel]]</f>
        <v>0</v>
      </c>
      <c r="I32" s="13">
        <f>Table33345678910121121222324252728293031323435[[#This Row],[MTD Company]]-Table33345678910121121222324252728293031323435[[#This Row],[MTD Panel]]</f>
        <v>0</v>
      </c>
    </row>
    <row r="33" spans="1:9">
      <c r="A33" s="11" t="str">
        <f>Table333456789101217[[#This Row],[Carrier]]</f>
        <v>Clutch</v>
      </c>
      <c r="B33" s="5" t="str">
        <f>Table333456789101217[[#This Row],[IP]]</f>
        <v>55.66.77.88/84.126.79.28/152.233.45.11</v>
      </c>
      <c r="C33" s="54" t="str">
        <f>Table333456789101217[[#This Row],[Carrier Code]]</f>
        <v>CL</v>
      </c>
      <c r="D33" s="53">
        <v>0</v>
      </c>
      <c r="E33" s="53">
        <v>0</v>
      </c>
      <c r="F33" s="18">
        <f>Table33345678910121121222324252728293031323435[[#This Row],[Company Panel]]+Table333456789101211212223242527282930313234[[#This Row],[MTD Company]]</f>
        <v>0</v>
      </c>
      <c r="G33" s="18">
        <f>Table33345678910121121222324252728293031323435[[#This Row],[Our panel]]+Table333456789101211212223242527282930313234[[#This Row],[MTD Panel]]</f>
        <v>0</v>
      </c>
      <c r="H33" s="13">
        <f>Table33345678910121121222324252728293031323435[[#This Row],[Company Panel]]-Table33345678910121121222324252728293031323435[[#This Row],[Our panel]]</f>
        <v>0</v>
      </c>
      <c r="I33" s="13">
        <f>Table33345678910121121222324252728293031323435[[#This Row],[MTD Company]]-Table33345678910121121222324252728293031323435[[#This Row],[MTD Panel]]</f>
        <v>0</v>
      </c>
    </row>
    <row r="34" spans="1:9">
      <c r="A34" s="11" t="str">
        <f>Table333456789101217[[#This Row],[Carrier]]</f>
        <v>Haze</v>
      </c>
      <c r="B34" s="5" t="str">
        <f>Table333456789101217[[#This Row],[IP]]</f>
        <v>230.111.44.56</v>
      </c>
      <c r="C34" s="54" t="str">
        <f>Table333456789101217[[#This Row],[Carrier Code]]</f>
        <v>HZ</v>
      </c>
      <c r="D34" s="53">
        <v>2360.5</v>
      </c>
      <c r="E34" s="53">
        <v>2360.5</v>
      </c>
      <c r="F34" s="18">
        <f>Table33345678910121121222324252728293031323435[[#This Row],[Company Panel]]+Table333456789101211212223242527282930313234[[#This Row],[MTD Company]]</f>
        <v>40434.9</v>
      </c>
      <c r="G34" s="18">
        <f>Table33345678910121121222324252728293031323435[[#This Row],[Our panel]]+Table333456789101211212223242527282930313234[[#This Row],[MTD Panel]]</f>
        <v>40434.9</v>
      </c>
      <c r="H34" s="13">
        <f>Table33345678910121121222324252728293031323435[[#This Row],[Company Panel]]-Table33345678910121121222324252728293031323435[[#This Row],[Our panel]]</f>
        <v>0</v>
      </c>
      <c r="I34" s="13">
        <f>Table33345678910121121222324252728293031323435[[#This Row],[MTD Company]]-Table33345678910121121222324252728293031323435[[#This Row],[MTD Panel]]</f>
        <v>0</v>
      </c>
    </row>
    <row r="35" spans="1:9">
      <c r="A35" s="11" t="str">
        <f>Table333456789101217[[#This Row],[Carrier]]</f>
        <v>Vault</v>
      </c>
      <c r="B35" s="5" t="str">
        <f>Table333456789101217[[#This Row],[IP]]</f>
        <v>213.189.94.5/213.189.94.7/111.180.64.222</v>
      </c>
      <c r="C35" s="54" t="str">
        <f>Table333456789101217[[#This Row],[Carrier Code]]</f>
        <v>VA</v>
      </c>
      <c r="D35" s="53">
        <v>0</v>
      </c>
      <c r="E35" s="53">
        <v>0</v>
      </c>
      <c r="F35" s="18">
        <f>Table33345678910121121222324252728293031323435[[#This Row],[Company Panel]]+Table333456789101211212223242527282930313234[[#This Row],[MTD Company]]</f>
        <v>0</v>
      </c>
      <c r="G35" s="18">
        <f>Table33345678910121121222324252728293031323435[[#This Row],[Our panel]]+Table333456789101211212223242527282930313234[[#This Row],[MTD Panel]]</f>
        <v>0</v>
      </c>
      <c r="H35" s="13">
        <f>Table33345678910121121222324252728293031323435[[#This Row],[Company Panel]]-Table33345678910121121222324252728293031323435[[#This Row],[Our panel]]</f>
        <v>0</v>
      </c>
      <c r="I35" s="13">
        <f>Table33345678910121121222324252728293031323435[[#This Row],[MTD Company]]-Table33345678910121121222324252728293031323435[[#This Row],[MTD Panel]]</f>
        <v>0</v>
      </c>
    </row>
    <row r="36" spans="1:9">
      <c r="A36" s="11" t="str">
        <f>Table333456789101217[[#This Row],[Carrier]]</f>
        <v>Scatter</v>
      </c>
      <c r="B36" s="5" t="str">
        <f>Table333456789101217[[#This Row],[IP]]</f>
        <v>14.123.45.67/168.251.90.15</v>
      </c>
      <c r="C36" s="54" t="str">
        <f>Table333456789101217[[#This Row],[Carrier Code]]</f>
        <v>SC</v>
      </c>
      <c r="D36" s="53">
        <v>99.533333333333331</v>
      </c>
      <c r="E36" s="53">
        <v>99.533333333333331</v>
      </c>
      <c r="F36" s="18">
        <f>Table33345678910121121222324252728293031323435[[#This Row],[Company Panel]]+Table333456789101211212223242527282930313234[[#This Row],[MTD Company]]</f>
        <v>1812.3</v>
      </c>
      <c r="G36" s="18">
        <f>Table33345678910121121222324252728293031323435[[#This Row],[Our panel]]+Table333456789101211212223242527282930313234[[#This Row],[MTD Panel]]</f>
        <v>1812.3</v>
      </c>
      <c r="H36" s="13">
        <f>Table33345678910121121222324252728293031323435[[#This Row],[Company Panel]]-Table33345678910121121222324252728293031323435[[#This Row],[Our panel]]</f>
        <v>0</v>
      </c>
      <c r="I36" s="13">
        <f>Table33345678910121121222324252728293031323435[[#This Row],[MTD Company]]-Table33345678910121121222324252728293031323435[[#This Row],[MTD Panel]]</f>
        <v>0</v>
      </c>
    </row>
    <row r="37" spans="1:9">
      <c r="A37" s="11" t="str">
        <f>Table333456789101217[[#This Row],[Carrier]]</f>
        <v>Hammer</v>
      </c>
      <c r="B37" s="5" t="str">
        <f>Table333456789101217[[#This Row],[IP]]</f>
        <v>200.111.78.9/200.111.236.62/200.111.823.89/137.79.48.56</v>
      </c>
      <c r="C37" s="54" t="str">
        <f>Table333456789101217[[#This Row],[Carrier Code]]</f>
        <v>HA</v>
      </c>
      <c r="D37" s="53">
        <v>0</v>
      </c>
      <c r="E37" s="53">
        <v>0</v>
      </c>
      <c r="F37" s="18">
        <f>Table33345678910121121222324252728293031323435[[#This Row],[Company Panel]]+Table333456789101211212223242527282930313234[[#This Row],[MTD Company]]</f>
        <v>0</v>
      </c>
      <c r="G37" s="18">
        <f>Table33345678910121121222324252728293031323435[[#This Row],[Our panel]]+Table333456789101211212223242527282930313234[[#This Row],[MTD Panel]]</f>
        <v>0</v>
      </c>
      <c r="H37" s="72">
        <f>Table33345678910121121222324252728293031323435[[#This Row],[Company Panel]]-Table33345678910121121222324252728293031323435[[#This Row],[Our panel]]</f>
        <v>0</v>
      </c>
      <c r="I37" s="72">
        <f>Table33345678910121121222324252728293031323435[[#This Row],[MTD Company]]-Table33345678910121121222324252728293031323435[[#This Row],[MTD Panel]]</f>
        <v>0</v>
      </c>
    </row>
    <row r="38" spans="1:9">
      <c r="A38" s="11" t="str">
        <f>Table333456789101217[[#This Row],[Carrier]]</f>
        <v>Smudge</v>
      </c>
      <c r="B38" s="5" t="str">
        <f>Table333456789101217[[#This Row],[IP]]</f>
        <v>88.99.233.56/54.71.99.234</v>
      </c>
      <c r="C38" s="54" t="str">
        <f>Table333456789101217[[#This Row],[Carrier Code]]</f>
        <v>SM</v>
      </c>
      <c r="D38" s="53">
        <v>17.833333333333332</v>
      </c>
      <c r="E38" s="53">
        <v>17.833333333333332</v>
      </c>
      <c r="F38" s="18">
        <f>Table33345678910121121222324252728293031323435[[#This Row],[Company Panel]]+Table333456789101211212223242527282930313234[[#This Row],[MTD Company]]</f>
        <v>5373.5333333333328</v>
      </c>
      <c r="G38" s="18">
        <f>Table33345678910121121222324252728293031323435[[#This Row],[Our panel]]+Table333456789101211212223242527282930313234[[#This Row],[MTD Panel]]</f>
        <v>5373.5333333333328</v>
      </c>
      <c r="H38" s="72">
        <f>Table33345678910121121222324252728293031323435[[#This Row],[Company Panel]]-Table33345678910121121222324252728293031323435[[#This Row],[Our panel]]</f>
        <v>0</v>
      </c>
      <c r="I38" s="72">
        <f>Table33345678910121121222324252728293031323435[[#This Row],[MTD Company]]-Table33345678910121121222324252728293031323435[[#This Row],[MTD Panel]]</f>
        <v>0</v>
      </c>
    </row>
    <row r="39" spans="1:9">
      <c r="A39" s="11" t="str">
        <f>Table333456789101217[[#This Row],[Carrier]]</f>
        <v>Quirk</v>
      </c>
      <c r="B39" s="5" t="str">
        <f>Table333456789101217[[#This Row],[IP]]</f>
        <v>62.45.100.31/62.45.100.15/62.45.100.65/211.95.102.6</v>
      </c>
      <c r="C39" s="54" t="str">
        <f>Table333456789101217[[#This Row],[Carrier Code]]</f>
        <v>QU</v>
      </c>
      <c r="D39" s="53">
        <v>1201.1833333333334</v>
      </c>
      <c r="E39" s="53">
        <v>1201.1833333333334</v>
      </c>
      <c r="F39" s="18">
        <f>Table33345678910121121222324252728293031323435[[#This Row],[Company Panel]]+Table333456789101211212223242527282930313234[[#This Row],[MTD Company]]</f>
        <v>43924.649999999994</v>
      </c>
      <c r="G39" s="18">
        <f>Table33345678910121121222324252728293031323435[[#This Row],[Our panel]]+Table333456789101211212223242527282930313234[[#This Row],[MTD Panel]]</f>
        <v>43924.649999999994</v>
      </c>
      <c r="H39" s="72">
        <f>Table33345678910121121222324252728293031323435[[#This Row],[Company Panel]]-Table33345678910121121222324252728293031323435[[#This Row],[Our panel]]</f>
        <v>0</v>
      </c>
      <c r="I39" s="72">
        <f>Table33345678910121121222324252728293031323435[[#This Row],[MTD Company]]-Table33345678910121121222324252728293031323435[[#This Row],[MTD Panel]]</f>
        <v>0</v>
      </c>
    </row>
    <row r="40" spans="1:9">
      <c r="A40" s="11" t="str">
        <f>Table333456789101217[[#This Row],[Carrier]]</f>
        <v>Vortex</v>
      </c>
      <c r="B40" s="5" t="str">
        <f>Table333456789101217[[#This Row],[IP]]</f>
        <v>179.250.91.8/29.540.67.457/94.25.34.78/183.144.27.18</v>
      </c>
      <c r="C40" s="54" t="str">
        <f>Table333456789101217[[#This Row],[Carrier Code]]</f>
        <v>VT</v>
      </c>
      <c r="D40" s="53">
        <v>0.73333333333333328</v>
      </c>
      <c r="E40" s="53">
        <v>0.73333333333333328</v>
      </c>
      <c r="F40" s="18">
        <f>Table33345678910121121222324252728293031323435[[#This Row],[Company Panel]]+Table333456789101211212223242527282930313234[[#This Row],[MTD Company]]</f>
        <v>1.6833333333333331</v>
      </c>
      <c r="G40" s="18">
        <f>Table33345678910121121222324252728293031323435[[#This Row],[Our panel]]+Table333456789101211212223242527282930313234[[#This Row],[MTD Panel]]</f>
        <v>1.6833333333333331</v>
      </c>
      <c r="H40" s="72">
        <f>Table33345678910121121222324252728293031323435[[#This Row],[Company Panel]]-Table33345678910121121222324252728293031323435[[#This Row],[Our panel]]</f>
        <v>0</v>
      </c>
      <c r="I40" s="72">
        <f>Table33345678910121121222324252728293031323435[[#This Row],[MTD Company]]-Table33345678910121121222324252728293031323435[[#This Row],[MTD Panel]]</f>
        <v>0</v>
      </c>
    </row>
    <row r="41" spans="1:9">
      <c r="A41" s="11" t="str">
        <f>Table333456789101217[[#This Row],[Carrier]]</f>
        <v>Void</v>
      </c>
      <c r="B41" s="5" t="str">
        <f>Table333456789101217[[#This Row],[IP]]</f>
        <v>156.34.123.11/156.34.123.25/156.34.123.62/92.44.233.110</v>
      </c>
      <c r="C41" s="54" t="str">
        <f>Table333456789101217[[#This Row],[Carrier Code]]</f>
        <v>VO</v>
      </c>
      <c r="D41" s="53">
        <v>132.28333333333333</v>
      </c>
      <c r="E41" s="53">
        <v>132.28333333333333</v>
      </c>
      <c r="F41" s="18">
        <f>Table33345678910121121222324252728293031323435[[#This Row],[Company Panel]]+Table333456789101211212223242527282930313234[[#This Row],[MTD Company]]</f>
        <v>1109.6166666666666</v>
      </c>
      <c r="G41" s="18">
        <f>Table33345678910121121222324252728293031323435[[#This Row],[Our panel]]+Table333456789101211212223242527282930313234[[#This Row],[MTD Panel]]</f>
        <v>1109.6166666666666</v>
      </c>
      <c r="H41" s="72">
        <f>Table33345678910121121222324252728293031323435[[#This Row],[Company Panel]]-Table33345678910121121222324252728293031323435[[#This Row],[Our panel]]</f>
        <v>0</v>
      </c>
      <c r="I41" s="72">
        <f>Table33345678910121121222324252728293031323435[[#This Row],[MTD Company]]-Table33345678910121121222324252728293031323435[[#This Row],[MTD Panel]]</f>
        <v>0</v>
      </c>
    </row>
    <row r="42" spans="1:9">
      <c r="A42" s="11" t="str">
        <f>Table333456789101217[[#This Row],[Carrier]]</f>
        <v>Midnight</v>
      </c>
      <c r="B42" s="5" t="str">
        <f>Table333456789101217[[#This Row],[IP]]</f>
        <v>134.77.22.4/23.97.150.8</v>
      </c>
      <c r="C42" s="54" t="str">
        <f>Table333456789101217[[#This Row],[Carrier Code]]</f>
        <v>MI</v>
      </c>
      <c r="D42" s="53">
        <v>167.06666666666666</v>
      </c>
      <c r="E42" s="53">
        <v>167.06666666666666</v>
      </c>
      <c r="F42" s="18">
        <f>Table33345678910121121222324252728293031323435[[#This Row],[Company Panel]]+Table333456789101211212223242527282930313234[[#This Row],[MTD Company]]</f>
        <v>8215.0833333333339</v>
      </c>
      <c r="G42" s="18">
        <f>Table33345678910121121222324252728293031323435[[#This Row],[Our panel]]+Table333456789101211212223242527282930313234[[#This Row],[MTD Panel]]</f>
        <v>8215.0833333333339</v>
      </c>
      <c r="H42" s="72">
        <f>Table33345678910121121222324252728293031323435[[#This Row],[Company Panel]]-Table33345678910121121222324252728293031323435[[#This Row],[Our panel]]</f>
        <v>0</v>
      </c>
      <c r="I42" s="72">
        <f>Table33345678910121121222324252728293031323435[[#This Row],[MTD Company]]-Table33345678910121121222324252728293031323435[[#This Row],[MTD Panel]]</f>
        <v>0</v>
      </c>
    </row>
    <row r="43" spans="1:9">
      <c r="A43" s="11" t="str">
        <f>Table333456789101217[[#This Row],[Carrier]]</f>
        <v>Autumn</v>
      </c>
      <c r="B43" s="5" t="str">
        <f>Table333456789101217[[#This Row],[IP]]</f>
        <v>202.54.210.88/12.331.94.73/64.19.28.175</v>
      </c>
      <c r="C43" s="54" t="str">
        <f>Table333456789101217[[#This Row],[Carrier Code]]</f>
        <v>AU</v>
      </c>
      <c r="D43" s="53">
        <v>0.2</v>
      </c>
      <c r="E43" s="53">
        <v>0.2</v>
      </c>
      <c r="F43" s="18">
        <f>Table33345678910121121222324252728293031323435[[#This Row],[Company Panel]]+Table333456789101211212223242527282930313234[[#This Row],[MTD Company]]</f>
        <v>272.2833333333333</v>
      </c>
      <c r="G43" s="18">
        <f>Table33345678910121121222324252728293031323435[[#This Row],[Our panel]]+Table333456789101211212223242527282930313234[[#This Row],[MTD Panel]]</f>
        <v>272.2833333333333</v>
      </c>
      <c r="H43" s="72">
        <f>Table33345678910121121222324252728293031323435[[#This Row],[Company Panel]]-Table33345678910121121222324252728293031323435[[#This Row],[Our panel]]</f>
        <v>0</v>
      </c>
      <c r="I43" s="72">
        <f>Table33345678910121121222324252728293031323435[[#This Row],[MTD Company]]-Table33345678910121121222324252728293031323435[[#This Row],[MTD Panel]]</f>
        <v>0</v>
      </c>
    </row>
    <row r="44" spans="1:9">
      <c r="A44" s="11" t="str">
        <f>Table333456789101217[[#This Row],[Carrier]]</f>
        <v>Mystic</v>
      </c>
      <c r="B44" s="5" t="str">
        <f>Table333456789101217[[#This Row],[IP]]</f>
        <v>51.233.21.76/82.115.35.60/82.115.35.85</v>
      </c>
      <c r="C44" s="54" t="str">
        <f>Table333456789101217[[#This Row],[Carrier Code]]</f>
        <v>MY</v>
      </c>
      <c r="D44" s="53">
        <v>0</v>
      </c>
      <c r="E44" s="53">
        <v>0</v>
      </c>
      <c r="F44" s="18">
        <f>Table33345678910121121222324252728293031323435[[#This Row],[Company Panel]]+Table333456789101211212223242527282930313234[[#This Row],[MTD Company]]</f>
        <v>0</v>
      </c>
      <c r="G44" s="18">
        <f>Table33345678910121121222324252728293031323435[[#This Row],[Our panel]]+Table333456789101211212223242527282930313234[[#This Row],[MTD Panel]]</f>
        <v>0</v>
      </c>
      <c r="H44" s="72">
        <f>Table33345678910121121222324252728293031323435[[#This Row],[Company Panel]]-Table33345678910121121222324252728293031323435[[#This Row],[Our panel]]</f>
        <v>0</v>
      </c>
      <c r="I44" s="72">
        <f>Table33345678910121121222324252728293031323435[[#This Row],[MTD Company]]-Table33345678910121121222324252728293031323435[[#This Row],[MTD Panel]]</f>
        <v>0</v>
      </c>
    </row>
    <row r="45" spans="1:9">
      <c r="A45" s="11" t="str">
        <f>Table333456789101217[[#This Row],[Carrier]]</f>
        <v>Clover</v>
      </c>
      <c r="B45" s="5" t="str">
        <f>Table333456789101217[[#This Row],[IP]]</f>
        <v>210.150.12.45/84.50.212.66/135.113.88.9</v>
      </c>
      <c r="C45" s="54" t="str">
        <f>Table333456789101217[[#This Row],[Carrier Code]]</f>
        <v>CO</v>
      </c>
      <c r="D45" s="53">
        <v>166.13333333333333</v>
      </c>
      <c r="E45" s="53">
        <v>166.13333333333333</v>
      </c>
      <c r="F45" s="18">
        <f>Table33345678910121121222324252728293031323435[[#This Row],[Company Panel]]+Table333456789101211212223242527282930313234[[#This Row],[MTD Company]]</f>
        <v>35550.883333333346</v>
      </c>
      <c r="G45" s="18">
        <f>Table33345678910121121222324252728293031323435[[#This Row],[Our panel]]+Table333456789101211212223242527282930313234[[#This Row],[MTD Panel]]</f>
        <v>35550.883333333346</v>
      </c>
      <c r="H45" s="13">
        <f>Table33345678910121121222324252728293031323435[[#This Row],[Company Panel]]-Table33345678910121121222324252728293031323435[[#This Row],[Our panel]]</f>
        <v>0</v>
      </c>
      <c r="I45" s="13">
        <f>Table33345678910121121222324252728293031323435[[#This Row],[MTD Company]]-Table33345678910121121222324252728293031323435[[#This Row],[MTD Panel]]</f>
        <v>0</v>
      </c>
    </row>
    <row r="46" spans="1:9">
      <c r="A46" s="11" t="str">
        <f>Table333456789101217[[#This Row],[Carrier]]</f>
        <v>Hunter</v>
      </c>
      <c r="B46" s="5" t="str">
        <f>Table333456789101217[[#This Row],[IP]]</f>
        <v>170.199.20.87/13.693.39.280/78.30.123.47</v>
      </c>
      <c r="C46" s="54" t="str">
        <f>Table333456789101217[[#This Row],[Carrier Code]]</f>
        <v>HU</v>
      </c>
      <c r="D46" s="53">
        <v>15794.883333333333</v>
      </c>
      <c r="E46" s="53">
        <v>15794.883333333333</v>
      </c>
      <c r="F46" s="18">
        <f>Table33345678910121121222324252728293031323435[[#This Row],[Company Panel]]+Table333456789101211212223242527282930313234[[#This Row],[MTD Company]]</f>
        <v>47348</v>
      </c>
      <c r="G46" s="18">
        <f>Table33345678910121121222324252728293031323435[[#This Row],[Our panel]]+Table333456789101211212223242527282930313234[[#This Row],[MTD Panel]]</f>
        <v>47348</v>
      </c>
      <c r="H46" s="13">
        <f>Table33345678910121121222324252728293031323435[[#This Row],[Company Panel]]-Table33345678910121121222324252728293031323435[[#This Row],[Our panel]]</f>
        <v>0</v>
      </c>
      <c r="I46" s="13">
        <f>Table33345678910121121222324252728293031323435[[#This Row],[MTD Company]]-Table33345678910121121222324252728293031323435[[#This Row],[MTD Panel]]</f>
        <v>0</v>
      </c>
    </row>
    <row r="47" spans="1:9">
      <c r="A47" s="11" t="str">
        <f>Table333456789101217[[#This Row],[Carrier]]</f>
        <v>Invaded</v>
      </c>
      <c r="B47" s="5" t="str">
        <f>Table333456789101217[[#This Row],[IP]]</f>
        <v>182.67.99.120/80.518.230.410/26.847.95.107/188.12.67.92</v>
      </c>
      <c r="C47" s="54" t="str">
        <f>Table333456789101217[[#This Row],[Carrier Code]]</f>
        <v>ID</v>
      </c>
      <c r="D47" s="7">
        <v>0</v>
      </c>
      <c r="E47" s="7">
        <v>0</v>
      </c>
      <c r="F47" s="18">
        <f>Table33345678910121121222324252728293031323435[[#This Row],[Company Panel]]+Table333456789101211212223242527282930313234[[#This Row],[MTD Company]]</f>
        <v>0</v>
      </c>
      <c r="G47" s="18">
        <f>Table33345678910121121222324252728293031323435[[#This Row],[Our panel]]+Table333456789101211212223242527282930313234[[#This Row],[MTD Panel]]</f>
        <v>0</v>
      </c>
      <c r="H47" s="13">
        <f>Table33345678910121121222324252728293031323435[[#This Row],[Company Panel]]-Table33345678910121121222324252728293031323435[[#This Row],[Our panel]]</f>
        <v>0</v>
      </c>
      <c r="I47" s="13">
        <f>Table33345678910121121222324252728293031323435[[#This Row],[MTD Company]]-Table33345678910121121222324252728293031323435[[#This Row],[MTD Panel]]</f>
        <v>0</v>
      </c>
    </row>
    <row r="48" spans="1:9">
      <c r="A48" s="11" t="str">
        <f>Table333456789101217[[#This Row],[Carrier]]</f>
        <v>Delusion</v>
      </c>
      <c r="B48" s="5" t="str">
        <f>Table333456789101217[[#This Row],[IP]]</f>
        <v>198.51.100.72/69.887.74.738/39.153.110.645</v>
      </c>
      <c r="C48" s="54" t="str">
        <f>Table333456789101217[[#This Row],[Carrier Code]]</f>
        <v>DU</v>
      </c>
      <c r="D48" s="7">
        <v>0</v>
      </c>
      <c r="E48" s="7">
        <v>0</v>
      </c>
      <c r="F48" s="18">
        <f>Table33345678910121121222324252728293031323435[[#This Row],[Company Panel]]+Table333456789101211212223242527282930313234[[#This Row],[MTD Company]]</f>
        <v>0</v>
      </c>
      <c r="G48" s="18">
        <f>Table33345678910121121222324252728293031323435[[#This Row],[Our panel]]+Table333456789101211212223242527282930313234[[#This Row],[MTD Panel]]</f>
        <v>0</v>
      </c>
      <c r="H48" s="13">
        <f>Table33345678910121121222324252728293031323435[[#This Row],[Company Panel]]-Table33345678910121121222324252728293031323435[[#This Row],[Our panel]]</f>
        <v>0</v>
      </c>
      <c r="I48" s="13">
        <f>Table33345678910121121222324252728293031323435[[#This Row],[MTD Company]]-Table33345678910121121222324252728293031323435[[#This Row],[MTD Panel]]</f>
        <v>0</v>
      </c>
    </row>
    <row r="49" spans="1:9" ht="15.5">
      <c r="A49" s="11" t="str">
        <f>Table333456789101217[[#This Row],[Carrier]]</f>
        <v>Total</v>
      </c>
      <c r="B49" s="14"/>
      <c r="C49" s="15"/>
      <c r="D49" s="16">
        <f>SUM(D3:D48)</f>
        <v>20955.333333333336</v>
      </c>
      <c r="E49" s="16">
        <f t="shared" ref="E49:I49" si="0">SUM(E3:E48)</f>
        <v>20955.333333333336</v>
      </c>
      <c r="F49" s="16">
        <f t="shared" si="0"/>
        <v>280980.56666666665</v>
      </c>
      <c r="G49" s="16">
        <f t="shared" si="0"/>
        <v>280980.56666666665</v>
      </c>
      <c r="H49" s="16">
        <f t="shared" si="0"/>
        <v>0</v>
      </c>
      <c r="I49" s="16">
        <f t="shared" si="0"/>
        <v>0</v>
      </c>
    </row>
    <row r="51" spans="1:9">
      <c r="G51" s="52"/>
    </row>
    <row r="52" spans="1:9">
      <c r="G52" s="9"/>
    </row>
  </sheetData>
  <conditionalFormatting sqref="H2:I48">
    <cfRule type="cellIs" dxfId="56" priority="12" operator="lessThan">
      <formula>0</formula>
    </cfRule>
  </conditionalFormatting>
  <conditionalFormatting sqref="I30:I48">
    <cfRule type="cellIs" dxfId="55" priority="11" operator="lessThan">
      <formula>0</formula>
    </cfRule>
  </conditionalFormatting>
  <conditionalFormatting sqref="H3:I48">
    <cfRule type="cellIs" dxfId="54" priority="10" operator="lessThan">
      <formula>0</formula>
    </cfRule>
  </conditionalFormatting>
  <conditionalFormatting sqref="I30:I48">
    <cfRule type="cellIs" dxfId="53" priority="9" operator="lessThan">
      <formula>0</formula>
    </cfRule>
  </conditionalFormatting>
  <conditionalFormatting sqref="I3:I48">
    <cfRule type="cellIs" dxfId="52" priority="1" operator="lessThan">
      <formula>0</formula>
    </cfRule>
    <cfRule type="cellIs" dxfId="51" priority="2" operator="lessThan">
      <formula>0</formula>
    </cfRule>
  </conditionalFormatting>
  <hyperlinks>
    <hyperlink ref="E1" location="H!A1" display="Home"/>
    <hyperlink ref="D1" location="'27'!D1" display="←"/>
    <hyperlink ref="F1" location="'29'!F1" display="→"/>
  </hyperlink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3"/>
  <sheetViews>
    <sheetView workbookViewId="0">
      <selection activeCell="F49" sqref="F49"/>
    </sheetView>
  </sheetViews>
  <sheetFormatPr defaultRowHeight="14.5"/>
  <cols>
    <col min="1" max="1" width="26.7265625" bestFit="1" customWidth="1"/>
    <col min="2" max="2" width="37" bestFit="1" customWidth="1"/>
    <col min="3" max="3" width="10.453125" customWidth="1"/>
    <col min="4" max="9" width="12.7265625" customWidth="1"/>
  </cols>
  <sheetData>
    <row r="1" spans="1:12" ht="18.5">
      <c r="A1" s="23" t="str">
        <f>H!D14</f>
        <v>29th April 2025</v>
      </c>
      <c r="B1" s="24"/>
      <c r="C1" s="24"/>
      <c r="D1" s="22" t="s">
        <v>16</v>
      </c>
      <c r="E1" s="22" t="s">
        <v>9</v>
      </c>
      <c r="F1" s="22" t="s">
        <v>17</v>
      </c>
    </row>
    <row r="2" spans="1:12" ht="31">
      <c r="A2" s="1" t="s">
        <v>0</v>
      </c>
      <c r="B2" s="2" t="s">
        <v>1</v>
      </c>
      <c r="C2" s="2" t="s">
        <v>2</v>
      </c>
      <c r="D2" s="2" t="s">
        <v>3</v>
      </c>
      <c r="E2" s="2" t="s">
        <v>11</v>
      </c>
      <c r="F2" s="2" t="s">
        <v>4</v>
      </c>
      <c r="G2" s="4" t="s">
        <v>6</v>
      </c>
      <c r="H2" s="4" t="s">
        <v>7</v>
      </c>
      <c r="I2" s="3" t="s">
        <v>8</v>
      </c>
    </row>
    <row r="3" spans="1:12">
      <c r="A3" s="11" t="str">
        <f>Table333456789101217[[#This Row],[Carrier]]</f>
        <v>Blaze</v>
      </c>
      <c r="B3" s="5" t="str">
        <f>Table333456789101217[[#This Row],[IP]]</f>
        <v>8.12.34.56/48.163.17.845/60.502.86.203/191.45.28.14</v>
      </c>
      <c r="C3" s="6" t="str">
        <f>Table333456789101217[[#This Row],[Carrier Code]]</f>
        <v>BZ</v>
      </c>
      <c r="D3" s="53">
        <v>0</v>
      </c>
      <c r="E3" s="53">
        <v>0</v>
      </c>
      <c r="F3" s="18">
        <f>Table33345678910121121222324252728293031323436[[#This Row],[Company Panel]]+Table33345678910121121222324252728293031323435[[#This Row],[MTD Company]]</f>
        <v>0</v>
      </c>
      <c r="G3" s="18">
        <f>Table33345678910121121222324252728293031323436[[#This Row],[Our panel]]+Table33345678910121121222324252728293031323435[[#This Row],[MTD Panel]]</f>
        <v>0</v>
      </c>
      <c r="H3" s="13">
        <f>Table33345678910121121222324252728293031323436[[#This Row],[Company Panel]]-Table33345678910121121222324252728293031323436[[#This Row],[Our panel]]</f>
        <v>0</v>
      </c>
      <c r="I3" s="13">
        <f>Table33345678910121121222324252728293031323436[[#This Row],[MTD Company]]-Table33345678910121121222324252728293031323436[[#This Row],[MTD Panel]]</f>
        <v>0</v>
      </c>
    </row>
    <row r="4" spans="1:12">
      <c r="A4" s="11" t="str">
        <f>Table333456789101217[[#This Row],[Carrier]]</f>
        <v>Titan</v>
      </c>
      <c r="B4" s="5" t="str">
        <f>Table333456789101217[[#This Row],[IP]]</f>
        <v>123.45.67.89/123.45.67.93/203.24.101.65</v>
      </c>
      <c r="C4" s="6" t="str">
        <f>Table333456789101217[[#This Row],[Carrier Code]]</f>
        <v>TI</v>
      </c>
      <c r="D4" s="53">
        <v>87.3</v>
      </c>
      <c r="E4" s="53">
        <v>87.3</v>
      </c>
      <c r="F4" s="18">
        <f>Table33345678910121121222324252728293031323436[[#This Row],[Company Panel]]+Table33345678910121121222324252728293031323435[[#This Row],[MTD Company]]</f>
        <v>429.35</v>
      </c>
      <c r="G4" s="18">
        <f>Table33345678910121121222324252728293031323436[[#This Row],[Our panel]]+Table33345678910121121222324252728293031323435[[#This Row],[MTD Panel]]</f>
        <v>429.35</v>
      </c>
      <c r="H4" s="13">
        <f>Table33345678910121121222324252728293031323436[[#This Row],[Company Panel]]-Table33345678910121121222324252728293031323436[[#This Row],[Our panel]]</f>
        <v>0</v>
      </c>
      <c r="I4" s="13">
        <f>Table33345678910121121222324252728293031323436[[#This Row],[MTD Company]]-Table33345678910121121222324252728293031323436[[#This Row],[MTD Panel]]</f>
        <v>0</v>
      </c>
      <c r="L4" s="9"/>
    </row>
    <row r="5" spans="1:12">
      <c r="A5" s="11" t="str">
        <f>Table333456789101217[[#This Row],[Carrier]]</f>
        <v>Hollow</v>
      </c>
      <c r="B5" s="5" t="str">
        <f>Table333456789101217[[#This Row],[IP]]</f>
        <v>204.56.78.100/204.56.57.169/52.94.101.12</v>
      </c>
      <c r="C5" s="6" t="str">
        <f>Table333456789101217[[#This Row],[Carrier Code]]</f>
        <v>HO</v>
      </c>
      <c r="D5" s="53">
        <v>0</v>
      </c>
      <c r="E5" s="53">
        <v>0</v>
      </c>
      <c r="F5" s="18">
        <f>Table33345678910121121222324252728293031323436[[#This Row],[Company Panel]]+Table33345678910121121222324252728293031323435[[#This Row],[MTD Company]]</f>
        <v>0</v>
      </c>
      <c r="G5" s="18">
        <f>Table33345678910121121222324252728293031323436[[#This Row],[Our panel]]+Table33345678910121121222324252728293031323435[[#This Row],[MTD Panel]]</f>
        <v>0</v>
      </c>
      <c r="H5" s="13">
        <f>Table33345678910121121222324252728293031323436[[#This Row],[Company Panel]]-Table33345678910121121222324252728293031323436[[#This Row],[Our panel]]</f>
        <v>0</v>
      </c>
      <c r="I5" s="13">
        <f>Table33345678910121121222324252728293031323436[[#This Row],[MTD Company]]-Table33345678910121121222324252728293031323436[[#This Row],[MTD Panel]]</f>
        <v>0</v>
      </c>
    </row>
    <row r="6" spans="1:12">
      <c r="A6" s="11" t="str">
        <f>Table333456789101217[[#This Row],[Carrier]]</f>
        <v>Prism</v>
      </c>
      <c r="B6" s="5" t="str">
        <f>Table333456789101217[[#This Row],[IP]]</f>
        <v>35.118.22.45/137.63.112.25</v>
      </c>
      <c r="C6" s="6" t="str">
        <f>Table333456789101217[[#This Row],[Carrier Code]]</f>
        <v>PS</v>
      </c>
      <c r="D6" s="53">
        <v>3311.0833333333335</v>
      </c>
      <c r="E6" s="53">
        <v>3311.0833333333335</v>
      </c>
      <c r="F6" s="18">
        <f>Table33345678910121121222324252728293031323436[[#This Row],[Company Panel]]+Table33345678910121121222324252728293031323435[[#This Row],[MTD Company]]</f>
        <v>77186.349999999962</v>
      </c>
      <c r="G6" s="18">
        <f>Table33345678910121121222324252728293031323436[[#This Row],[Our panel]]+Table33345678910121121222324252728293031323435[[#This Row],[MTD Panel]]</f>
        <v>77186.349999999962</v>
      </c>
      <c r="H6" s="13">
        <f>Table33345678910121121222324252728293031323436[[#This Row],[Company Panel]]-Table33345678910121121222324252728293031323436[[#This Row],[Our panel]]</f>
        <v>0</v>
      </c>
      <c r="I6" s="13">
        <f>Table33345678910121121222324252728293031323436[[#This Row],[MTD Company]]-Table33345678910121121222324252728293031323436[[#This Row],[MTD Panel]]</f>
        <v>0</v>
      </c>
    </row>
    <row r="7" spans="1:12">
      <c r="A7" s="11" t="str">
        <f>Table333456789101217[[#This Row],[Carrier]]</f>
        <v>Echo</v>
      </c>
      <c r="B7" s="5" t="str">
        <f>Table333456789101217[[#This Row],[IP]]</f>
        <v>66.89.101.10/66.89.101.19/66.89.101.23/66.89.101.45/66.89.101.81/85.21.34.99</v>
      </c>
      <c r="C7" s="6" t="str">
        <f>Table333456789101217[[#This Row],[Carrier Code]]</f>
        <v>EC</v>
      </c>
      <c r="D7" s="53">
        <v>14.75</v>
      </c>
      <c r="E7" s="53">
        <v>14.75</v>
      </c>
      <c r="F7" s="18">
        <f>Table33345678910121121222324252728293031323436[[#This Row],[Company Panel]]+Table33345678910121121222324252728293031323435[[#This Row],[MTD Company]]</f>
        <v>153.85</v>
      </c>
      <c r="G7" s="18">
        <f>Table33345678910121121222324252728293031323436[[#This Row],[Our panel]]+Table33345678910121121222324252728293031323435[[#This Row],[MTD Panel]]</f>
        <v>153.85</v>
      </c>
      <c r="H7" s="13">
        <f>Table33345678910121121222324252728293031323436[[#This Row],[Company Panel]]-Table33345678910121121222324252728293031323436[[#This Row],[Our panel]]</f>
        <v>0</v>
      </c>
      <c r="I7" s="13">
        <f>Table33345678910121121222324252728293031323436[[#This Row],[MTD Company]]-Table33345678910121121222324252728293031323436[[#This Row],[MTD Panel]]</f>
        <v>0</v>
      </c>
    </row>
    <row r="8" spans="1:12">
      <c r="A8" s="11" t="str">
        <f>Table333456789101217[[#This Row],[Carrier]]</f>
        <v>Strike</v>
      </c>
      <c r="B8" s="5" t="str">
        <f>Table333456789101217[[#This Row],[IP]]</f>
        <v>100.200.150.3/100.200.165.38/41.102.90.78</v>
      </c>
      <c r="C8" s="6" t="str">
        <f>Table333456789101217[[#This Row],[Carrier Code]]</f>
        <v>ST</v>
      </c>
      <c r="D8" s="53">
        <v>118.31666666666666</v>
      </c>
      <c r="E8" s="53">
        <v>118.31666666666666</v>
      </c>
      <c r="F8" s="18">
        <f>Table33345678910121121222324252728293031323436[[#This Row],[Company Panel]]+Table33345678910121121222324252728293031323435[[#This Row],[MTD Company]]</f>
        <v>3236.9333333333334</v>
      </c>
      <c r="G8" s="18">
        <f>Table33345678910121121222324252728293031323436[[#This Row],[Our panel]]+Table33345678910121121222324252728293031323435[[#This Row],[MTD Panel]]</f>
        <v>3236.9333333333334</v>
      </c>
      <c r="H8" s="13">
        <f>Table33345678910121121222324252728293031323436[[#This Row],[Company Panel]]-Table33345678910121121222324252728293031323436[[#This Row],[Our panel]]</f>
        <v>0</v>
      </c>
      <c r="I8" s="13">
        <f>Table33345678910121121222324252728293031323436[[#This Row],[MTD Company]]-Table33345678910121121222324252728293031323436[[#This Row],[MTD Panel]]</f>
        <v>0</v>
      </c>
      <c r="L8" s="9"/>
    </row>
    <row r="9" spans="1:12">
      <c r="A9" s="11" t="str">
        <f>Table333456789101217[[#This Row],[Carrier]]</f>
        <v>Blunt</v>
      </c>
      <c r="B9" s="5" t="str">
        <f>Table333456789101217[[#This Row],[IP]]</f>
        <v>52.28.191.25/52.28.191.38/52.28.191.24/61.110.23.45</v>
      </c>
      <c r="C9" s="6" t="str">
        <f>Table333456789101217[[#This Row],[Carrier Code]]</f>
        <v>BL</v>
      </c>
      <c r="D9" s="53">
        <v>118.41666666666667</v>
      </c>
      <c r="E9" s="53">
        <v>118.41666666666667</v>
      </c>
      <c r="F9" s="18">
        <f>Table33345678910121121222324252728293031323436[[#This Row],[Company Panel]]+Table33345678910121121222324252728293031323435[[#This Row],[MTD Company]]</f>
        <v>11357.95</v>
      </c>
      <c r="G9" s="18">
        <f>Table33345678910121121222324252728293031323436[[#This Row],[Our panel]]+Table33345678910121121222324252728293031323435[[#This Row],[MTD Panel]]</f>
        <v>11357.95</v>
      </c>
      <c r="H9" s="13">
        <f>Table33345678910121121222324252728293031323436[[#This Row],[Company Panel]]-Table33345678910121121222324252728293031323436[[#This Row],[Our panel]]</f>
        <v>0</v>
      </c>
      <c r="I9" s="13">
        <f>Table33345678910121121222324252728293031323436[[#This Row],[MTD Company]]-Table33345678910121121222324252728293031323436[[#This Row],[MTD Panel]]</f>
        <v>0</v>
      </c>
    </row>
    <row r="10" spans="1:12">
      <c r="A10" s="11" t="str">
        <f>Table333456789101217[[#This Row],[Carrier]]</f>
        <v>Law</v>
      </c>
      <c r="B10" s="5" t="str">
        <f>Table333456789101217[[#This Row],[IP]]</f>
        <v>77.88.99.21/77.88.99.88/77.88.99.94/110.56.211.7</v>
      </c>
      <c r="C10" s="6" t="str">
        <f>Table333456789101217[[#This Row],[Carrier Code]]</f>
        <v>LA</v>
      </c>
      <c r="D10" s="53">
        <v>0</v>
      </c>
      <c r="E10" s="53">
        <v>0</v>
      </c>
      <c r="F10" s="18">
        <f>Table33345678910121121222324252728293031323436[[#This Row],[Company Panel]]+Table33345678910121121222324252728293031323435[[#This Row],[MTD Company]]</f>
        <v>0</v>
      </c>
      <c r="G10" s="18">
        <f>Table33345678910121121222324252728293031323436[[#This Row],[Our panel]]+Table33345678910121121222324252728293031323435[[#This Row],[MTD Panel]]</f>
        <v>0</v>
      </c>
      <c r="H10" s="13">
        <f>Table33345678910121121222324252728293031323436[[#This Row],[Company Panel]]-Table33345678910121121222324252728293031323436[[#This Row],[Our panel]]</f>
        <v>0</v>
      </c>
      <c r="I10" s="13">
        <f>Table33345678910121121222324252728293031323436[[#This Row],[MTD Company]]-Table33345678910121121222324252728293031323436[[#This Row],[MTD Panel]]</f>
        <v>0</v>
      </c>
    </row>
    <row r="11" spans="1:12">
      <c r="A11" s="11" t="str">
        <f>Table333456789101217[[#This Row],[Carrier]]</f>
        <v>Pulse</v>
      </c>
      <c r="B11" s="5" t="str">
        <f>Table333456789101217[[#This Row],[IP]]</f>
        <v>198.51.100.130/31.725.16.608/66.59.61.503/167.34.122.90</v>
      </c>
      <c r="C11" s="6" t="str">
        <f>Table333456789101217[[#This Row],[Carrier Code]]</f>
        <v>PU</v>
      </c>
      <c r="D11" s="53">
        <v>0</v>
      </c>
      <c r="E11" s="53">
        <v>0</v>
      </c>
      <c r="F11" s="18">
        <f>Table33345678910121121222324252728293031323436[[#This Row],[Company Panel]]+Table33345678910121121222324252728293031323435[[#This Row],[MTD Company]]</f>
        <v>0</v>
      </c>
      <c r="G11" s="18">
        <f>Table33345678910121121222324252728293031323436[[#This Row],[Our panel]]+Table33345678910121121222324252728293031323435[[#This Row],[MTD Panel]]</f>
        <v>0</v>
      </c>
      <c r="H11" s="13">
        <f>Table33345678910121121222324252728293031323436[[#This Row],[Company Panel]]-Table33345678910121121222324252728293031323436[[#This Row],[Our panel]]</f>
        <v>0</v>
      </c>
      <c r="I11" s="13">
        <f>Table33345678910121121222324252728293031323436[[#This Row],[MTD Company]]-Table33345678910121121222324252728293031323436[[#This Row],[MTD Panel]]</f>
        <v>0</v>
      </c>
    </row>
    <row r="12" spans="1:12">
      <c r="A12" s="11" t="str">
        <f>Table333456789101217[[#This Row],[Carrier]]</f>
        <v>Phantom</v>
      </c>
      <c r="B12" s="5" t="str">
        <f>Table333456789101217[[#This Row],[IP]]</f>
        <v>141.15.210.67/141.15.42.82/179.62.211.4</v>
      </c>
      <c r="C12" s="6" t="str">
        <f>Table333456789101217[[#This Row],[Carrier Code]]</f>
        <v>PH</v>
      </c>
      <c r="D12" s="53">
        <v>1.8</v>
      </c>
      <c r="E12" s="53">
        <v>1.8</v>
      </c>
      <c r="F12" s="18">
        <f>Table33345678910121121222324252728293031323436[[#This Row],[Company Panel]]+Table33345678910121121222324252728293031323435[[#This Row],[MTD Company]]</f>
        <v>3384.6166666666659</v>
      </c>
      <c r="G12" s="18">
        <f>Table33345678910121121222324252728293031323436[[#This Row],[Our panel]]+Table33345678910121121222324252728293031323435[[#This Row],[MTD Panel]]</f>
        <v>3384.6166666666659</v>
      </c>
      <c r="H12" s="13">
        <f>Table33345678910121121222324252728293031323436[[#This Row],[Company Panel]]-Table33345678910121121222324252728293031323436[[#This Row],[Our panel]]</f>
        <v>0</v>
      </c>
      <c r="I12" s="13">
        <f>Table33345678910121121222324252728293031323436[[#This Row],[MTD Company]]-Table33345678910121121222324252728293031323436[[#This Row],[MTD Panel]]</f>
        <v>0</v>
      </c>
    </row>
    <row r="13" spans="1:12">
      <c r="A13" s="11" t="str">
        <f>Table333456789101217[[#This Row],[Carrier]]</f>
        <v>Dragon</v>
      </c>
      <c r="B13" s="5" t="str">
        <f>Table333456789101217[[#This Row],[IP]]</f>
        <v>12.34.56.78/12.34.56.128/200.180.245.18</v>
      </c>
      <c r="C13" s="6" t="str">
        <f>Table333456789101217[[#This Row],[Carrier Code]]</f>
        <v>DG</v>
      </c>
      <c r="D13" s="53">
        <v>0</v>
      </c>
      <c r="E13" s="53">
        <v>0</v>
      </c>
      <c r="F13" s="18">
        <f>Table33345678910121121222324252728293031323436[[#This Row],[Company Panel]]+Table33345678910121121222324252728293031323435[[#This Row],[MTD Company]]</f>
        <v>0</v>
      </c>
      <c r="G13" s="18">
        <f>Table33345678910121121222324252728293031323436[[#This Row],[Our panel]]+Table33345678910121121222324252728293031323435[[#This Row],[MTD Panel]]</f>
        <v>0</v>
      </c>
      <c r="H13" s="13">
        <f>Table33345678910121121222324252728293031323436[[#This Row],[Company Panel]]-Table33345678910121121222324252728293031323436[[#This Row],[Our panel]]</f>
        <v>0</v>
      </c>
      <c r="I13" s="13">
        <f>Table33345678910121121222324252728293031323436[[#This Row],[MTD Company]]-Table33345678910121121222324252728293031323436[[#This Row],[MTD Panel]]</f>
        <v>0</v>
      </c>
    </row>
    <row r="14" spans="1:12">
      <c r="A14" s="11" t="str">
        <f>Table333456789101217[[#This Row],[Carrier]]</f>
        <v>Tempest</v>
      </c>
      <c r="B14" s="5" t="str">
        <f>Table333456789101217[[#This Row],[IP]]</f>
        <v>59.144.223.88/55.39.99.60</v>
      </c>
      <c r="C14" s="6" t="str">
        <f>Table333456789101217[[#This Row],[Carrier Code]]</f>
        <v>TE</v>
      </c>
      <c r="D14" s="53">
        <v>0</v>
      </c>
      <c r="E14" s="53">
        <v>0</v>
      </c>
      <c r="F14" s="18">
        <f>Table33345678910121121222324252728293031323436[[#This Row],[Company Panel]]+Table33345678910121121222324252728293031323435[[#This Row],[MTD Company]]</f>
        <v>0</v>
      </c>
      <c r="G14" s="18">
        <f>Table33345678910121121222324252728293031323436[[#This Row],[Our panel]]+Table33345678910121121222324252728293031323435[[#This Row],[MTD Panel]]</f>
        <v>0</v>
      </c>
      <c r="H14" s="13">
        <f>Table33345678910121121222324252728293031323436[[#This Row],[Company Panel]]-Table33345678910121121222324252728293031323436[[#This Row],[Our panel]]</f>
        <v>0</v>
      </c>
      <c r="I14" s="13">
        <f>Table33345678910121121222324252728293031323436[[#This Row],[MTD Company]]-Table33345678910121121222324252728293031323436[[#This Row],[MTD Panel]]</f>
        <v>0</v>
      </c>
    </row>
    <row r="15" spans="1:12">
      <c r="A15" s="11" t="str">
        <f>Table333456789101217[[#This Row],[Carrier]]</f>
        <v>Shadow</v>
      </c>
      <c r="B15" s="5" t="str">
        <f>Table333456789101217[[#This Row],[IP]]</f>
        <v>175.45.112.100/25.851.31.153/39.80.220.100</v>
      </c>
      <c r="C15" s="6" t="str">
        <f>Table333456789101217[[#This Row],[Carrier Code]]</f>
        <v>SH</v>
      </c>
      <c r="D15" s="53">
        <v>0</v>
      </c>
      <c r="E15" s="53">
        <v>0</v>
      </c>
      <c r="F15" s="18">
        <f>Table33345678910121121222324252728293031323436[[#This Row],[Company Panel]]+Table33345678910121121222324252728293031323435[[#This Row],[MTD Company]]</f>
        <v>1.4500000000000002</v>
      </c>
      <c r="G15" s="18">
        <f>Table33345678910121121222324252728293031323436[[#This Row],[Our panel]]+Table33345678910121121222324252728293031323435[[#This Row],[MTD Panel]]</f>
        <v>1.4500000000000002</v>
      </c>
      <c r="H15" s="13">
        <f>Table33345678910121121222324252728293031323436[[#This Row],[Company Panel]]-Table33345678910121121222324252728293031323436[[#This Row],[Our panel]]</f>
        <v>0</v>
      </c>
      <c r="I15" s="13">
        <f>Table33345678910121121222324252728293031323436[[#This Row],[MTD Company]]-Table33345678910121121222324252728293031323436[[#This Row],[MTD Panel]]</f>
        <v>0</v>
      </c>
    </row>
    <row r="16" spans="1:12">
      <c r="A16" s="11" t="str">
        <f>Table333456789101217[[#This Row],[Carrier]]</f>
        <v>Cyclone</v>
      </c>
      <c r="B16" s="5" t="str">
        <f>Table333456789101217[[#This Row],[IP]]</f>
        <v>150.13.75.190/16.160.89.512/72.11.97.34</v>
      </c>
      <c r="C16" s="6" t="str">
        <f>Table333456789101217[[#This Row],[Carrier Code]]</f>
        <v>CY</v>
      </c>
      <c r="D16" s="53">
        <v>0</v>
      </c>
      <c r="E16" s="53">
        <v>0</v>
      </c>
      <c r="F16" s="18">
        <f>Table33345678910121121222324252728293031323436[[#This Row],[Company Panel]]+Table33345678910121121222324252728293031323435[[#This Row],[MTD Company]]</f>
        <v>0</v>
      </c>
      <c r="G16" s="18">
        <f>Table33345678910121121222324252728293031323436[[#This Row],[Our panel]]+Table33345678910121121222324252728293031323435[[#This Row],[MTD Panel]]</f>
        <v>0</v>
      </c>
      <c r="H16" s="13">
        <f>Table33345678910121121222324252728293031323436[[#This Row],[Company Panel]]-Table33345678910121121222324252728293031323436[[#This Row],[Our panel]]</f>
        <v>0</v>
      </c>
      <c r="I16" s="13">
        <f>Table33345678910121121222324252728293031323436[[#This Row],[MTD Company]]-Table33345678910121121222324252728293031323436[[#This Row],[MTD Panel]]</f>
        <v>0</v>
      </c>
    </row>
    <row r="17" spans="1:9">
      <c r="A17" s="11" t="str">
        <f>Table333456789101217[[#This Row],[Carrier]]</f>
        <v>Reaver</v>
      </c>
      <c r="B17" s="5" t="str">
        <f>Table333456789101217[[#This Row],[IP]]</f>
        <v>203.0.113.44/188.17.56.210</v>
      </c>
      <c r="C17" s="6" t="str">
        <f>Table333456789101217[[#This Row],[Carrier Code]]</f>
        <v>RE</v>
      </c>
      <c r="D17" s="53">
        <v>0</v>
      </c>
      <c r="E17" s="53">
        <v>0</v>
      </c>
      <c r="F17" s="18">
        <f>Table33345678910121121222324252728293031323436[[#This Row],[Company Panel]]+Table33345678910121121222324252728293031323435[[#This Row],[MTD Company]]</f>
        <v>0</v>
      </c>
      <c r="G17" s="18">
        <f>Table33345678910121121222324252728293031323436[[#This Row],[Our panel]]+Table33345678910121121222324252728293031323435[[#This Row],[MTD Panel]]</f>
        <v>0</v>
      </c>
      <c r="H17" s="13">
        <f>Table33345678910121121222324252728293031323436[[#This Row],[Company Panel]]-Table33345678910121121222324252728293031323436[[#This Row],[Our panel]]</f>
        <v>0</v>
      </c>
      <c r="I17" s="13">
        <f>Table33345678910121121222324252728293031323436[[#This Row],[MTD Company]]-Table33345678910121121222324252728293031323436[[#This Row],[MTD Panel]]</f>
        <v>0</v>
      </c>
    </row>
    <row r="18" spans="1:9">
      <c r="A18" s="11" t="str">
        <f>Table333456789101217[[#This Row],[Carrier]]</f>
        <v>Forge</v>
      </c>
      <c r="B18" s="5" t="str">
        <f>Table333456789101217[[#This Row],[IP]]</f>
        <v>112.54.89.168/112.54.89.138</v>
      </c>
      <c r="C18" s="6" t="str">
        <f>Table333456789101217[[#This Row],[Carrier Code]]</f>
        <v>FO</v>
      </c>
      <c r="D18" s="53">
        <v>30.466666666666665</v>
      </c>
      <c r="E18" s="53">
        <v>30.466666666666665</v>
      </c>
      <c r="F18" s="18">
        <f>Table33345678910121121222324252728293031323436[[#This Row],[Company Panel]]+Table33345678910121121222324252728293031323435[[#This Row],[MTD Company]]</f>
        <v>744.88333333333344</v>
      </c>
      <c r="G18" s="18">
        <f>Table33345678910121121222324252728293031323436[[#This Row],[Our panel]]+Table33345678910121121222324252728293031323435[[#This Row],[MTD Panel]]</f>
        <v>744.88333333333344</v>
      </c>
      <c r="H18" s="13">
        <f>Table33345678910121121222324252728293031323436[[#This Row],[Company Panel]]-Table33345678910121121222324252728293031323436[[#This Row],[Our panel]]</f>
        <v>0</v>
      </c>
      <c r="I18" s="13">
        <f>Table33345678910121121222324252728293031323436[[#This Row],[MTD Company]]-Table33345678910121121222324252728293031323436[[#This Row],[MTD Panel]]</f>
        <v>0</v>
      </c>
    </row>
    <row r="19" spans="1:9">
      <c r="A19" s="11" t="str">
        <f>Table333456789101217[[#This Row],[Carrier]]</f>
        <v>Ember</v>
      </c>
      <c r="B19" s="5" t="str">
        <f>Table333456789101217[[#This Row],[IP]]</f>
        <v>78.34.90.24/328.56.122.44/142.150.75.22</v>
      </c>
      <c r="C19" s="6" t="str">
        <f>Table333456789101217[[#This Row],[Carrier Code]]</f>
        <v>EM</v>
      </c>
      <c r="D19" s="53">
        <v>0</v>
      </c>
      <c r="E19" s="53">
        <v>0</v>
      </c>
      <c r="F19" s="18">
        <f>Table33345678910121121222324252728293031323436[[#This Row],[Company Panel]]+Table33345678910121121222324252728293031323435[[#This Row],[MTD Company]]</f>
        <v>1.1499999999999999</v>
      </c>
      <c r="G19" s="18">
        <f>Table33345678910121121222324252728293031323436[[#This Row],[Our panel]]+Table33345678910121121222324252728293031323435[[#This Row],[MTD Panel]]</f>
        <v>1.1499999999999999</v>
      </c>
      <c r="H19" s="13">
        <f>Table33345678910121121222324252728293031323436[[#This Row],[Company Panel]]-Table33345678910121121222324252728293031323436[[#This Row],[Our panel]]</f>
        <v>0</v>
      </c>
      <c r="I19" s="13">
        <f>Table33345678910121121222324252728293031323436[[#This Row],[MTD Company]]-Table33345678910121121222324252728293031323436[[#This Row],[MTD Panel]]</f>
        <v>0</v>
      </c>
    </row>
    <row r="20" spans="1:9">
      <c r="A20" s="11" t="str">
        <f>Table333456789101217[[#This Row],[Carrier]]</f>
        <v>Specter</v>
      </c>
      <c r="B20" s="5" t="str">
        <f>Table333456789101217[[#This Row],[IP]]</f>
        <v>205.60.34.150</v>
      </c>
      <c r="C20" s="6" t="str">
        <f>Table333456789101217[[#This Row],[Carrier Code]]</f>
        <v>SP</v>
      </c>
      <c r="D20" s="53">
        <v>0.71666666666666667</v>
      </c>
      <c r="E20" s="53">
        <v>0.71666666666666667</v>
      </c>
      <c r="F20" s="18">
        <f>Table33345678910121121222324252728293031323436[[#This Row],[Company Panel]]+Table33345678910121121222324252728293031323435[[#This Row],[MTD Company]]</f>
        <v>53.733333333333341</v>
      </c>
      <c r="G20" s="18">
        <f>Table33345678910121121222324252728293031323436[[#This Row],[Our panel]]+Table33345678910121121222324252728293031323435[[#This Row],[MTD Panel]]</f>
        <v>53.733333333333341</v>
      </c>
      <c r="H20" s="13">
        <f>Table33345678910121121222324252728293031323436[[#This Row],[Company Panel]]-Table33345678910121121222324252728293031323436[[#This Row],[Our panel]]</f>
        <v>0</v>
      </c>
      <c r="I20" s="13">
        <f>Table33345678910121121222324252728293031323436[[#This Row],[MTD Company]]-Table33345678910121121222324252728293031323436[[#This Row],[MTD Panel]]</f>
        <v>0</v>
      </c>
    </row>
    <row r="21" spans="1:9">
      <c r="A21" s="11" t="str">
        <f>Table333456789101217[[#This Row],[Carrier]]</f>
        <v>Throne</v>
      </c>
      <c r="B21" s="5" t="str">
        <f>Table333456789101217[[#This Row],[IP]]</f>
        <v>54.32.11.90/27.758.27.201/125.150.58.20</v>
      </c>
      <c r="C21" s="6" t="str">
        <f>Table333456789101217[[#This Row],[Carrier Code]]</f>
        <v>TH</v>
      </c>
      <c r="D21" s="53">
        <v>0</v>
      </c>
      <c r="E21" s="53">
        <v>0</v>
      </c>
      <c r="F21" s="18">
        <f>Table33345678910121121222324252728293031323436[[#This Row],[Company Panel]]+Table33345678910121121222324252728293031323435[[#This Row],[MTD Company]]</f>
        <v>0</v>
      </c>
      <c r="G21" s="18">
        <f>Table33345678910121121222324252728293031323436[[#This Row],[Our panel]]+Table33345678910121121222324252728293031323435[[#This Row],[MTD Panel]]</f>
        <v>0</v>
      </c>
      <c r="H21" s="13">
        <f>Table33345678910121121222324252728293031323436[[#This Row],[Company Panel]]-Table33345678910121121222324252728293031323436[[#This Row],[Our panel]]</f>
        <v>0</v>
      </c>
      <c r="I21" s="13">
        <f>Table33345678910121121222324252728293031323436[[#This Row],[MTD Company]]-Table33345678910121121222324252728293031323436[[#This Row],[MTD Panel]]</f>
        <v>0</v>
      </c>
    </row>
    <row r="22" spans="1:9">
      <c r="A22" s="11" t="str">
        <f>Table333456789101217[[#This Row],[Carrier]]</f>
        <v>Arcane</v>
      </c>
      <c r="B22" s="5" t="str">
        <f>Table333456789101217[[#This Row],[IP]]</f>
        <v>212.100.25.78/212.100.25.87</v>
      </c>
      <c r="C22" s="6" t="str">
        <f>Table333456789101217[[#This Row],[Carrier Code]]</f>
        <v>AR</v>
      </c>
      <c r="D22" s="53">
        <v>0</v>
      </c>
      <c r="E22" s="53">
        <v>0</v>
      </c>
      <c r="F22" s="18">
        <f>Table33345678910121121222324252728293031323436[[#This Row],[Company Panel]]+Table33345678910121121222324252728293031323435[[#This Row],[MTD Company]]</f>
        <v>3336.0333333333333</v>
      </c>
      <c r="G22" s="18">
        <f>Table33345678910121121222324252728293031323436[[#This Row],[Our panel]]+Table33345678910121121222324252728293031323435[[#This Row],[MTD Panel]]</f>
        <v>3336.0333333333333</v>
      </c>
      <c r="H22" s="13">
        <f>Table33345678910121121222324252728293031323436[[#This Row],[Company Panel]]-Table33345678910121121222324252728293031323436[[#This Row],[Our panel]]</f>
        <v>0</v>
      </c>
      <c r="I22" s="13">
        <f>Table33345678910121121222324252728293031323436[[#This Row],[MTD Company]]-Table33345678910121121222324252728293031323436[[#This Row],[MTD Panel]]</f>
        <v>0</v>
      </c>
    </row>
    <row r="23" spans="1:9">
      <c r="A23" s="11" t="str">
        <f>Table333456789101217[[#This Row],[Carrier]]</f>
        <v>Glitch</v>
      </c>
      <c r="B23" s="5" t="str">
        <f>Table333456789101217[[#This Row],[IP]]</f>
        <v>198.204.100.12/198.204.100.34/198.204.100.51</v>
      </c>
      <c r="C23" s="6" t="str">
        <f>Table333456789101217[[#This Row],[Carrier Code]]</f>
        <v>GL</v>
      </c>
      <c r="D23" s="53">
        <v>0</v>
      </c>
      <c r="E23" s="53">
        <v>0</v>
      </c>
      <c r="F23" s="18">
        <f>Table33345678910121121222324252728293031323436[[#This Row],[Company Panel]]+Table33345678910121121222324252728293031323435[[#This Row],[MTD Company]]</f>
        <v>0</v>
      </c>
      <c r="G23" s="18">
        <f>Table33345678910121121222324252728293031323436[[#This Row],[Our panel]]+Table33345678910121121222324252728293031323435[[#This Row],[MTD Panel]]</f>
        <v>0</v>
      </c>
      <c r="H23" s="13">
        <f>Table33345678910121121222324252728293031323436[[#This Row],[Company Panel]]-Table33345678910121121222324252728293031323436[[#This Row],[Our panel]]</f>
        <v>0</v>
      </c>
      <c r="I23" s="13">
        <f>Table33345678910121121222324252728293031323436[[#This Row],[MTD Company]]-Table33345678910121121222324252728293031323436[[#This Row],[MTD Panel]]</f>
        <v>0</v>
      </c>
    </row>
    <row r="24" spans="1:9">
      <c r="A24" s="11" t="str">
        <f>Table333456789101217[[#This Row],[Carrier]]</f>
        <v>Nitro</v>
      </c>
      <c r="B24" s="5" t="str">
        <f>Table333456789101217[[#This Row],[IP]]</f>
        <v>15.150.200.33/119.82.200.100</v>
      </c>
      <c r="C24" s="6" t="str">
        <f>Table333456789101217[[#This Row],[Carrier Code]]</f>
        <v>NI</v>
      </c>
      <c r="D24" s="53">
        <v>0</v>
      </c>
      <c r="E24" s="53">
        <v>0</v>
      </c>
      <c r="F24" s="18">
        <f>Table33345678910121121222324252728293031323436[[#This Row],[Company Panel]]+Table33345678910121121222324252728293031323435[[#This Row],[MTD Company]]</f>
        <v>0</v>
      </c>
      <c r="G24" s="18">
        <f>Table33345678910121121222324252728293031323436[[#This Row],[Our panel]]+Table33345678910121121222324252728293031323435[[#This Row],[MTD Panel]]</f>
        <v>0</v>
      </c>
      <c r="H24" s="13">
        <f>Table33345678910121121222324252728293031323436[[#This Row],[Company Panel]]-Table33345678910121121222324252728293031323436[[#This Row],[Our panel]]</f>
        <v>0</v>
      </c>
      <c r="I24" s="13">
        <f>Table33345678910121121222324252728293031323436[[#This Row],[MTD Company]]-Table33345678910121121222324252728293031323436[[#This Row],[MTD Panel]]</f>
        <v>0</v>
      </c>
    </row>
    <row r="25" spans="1:9">
      <c r="A25" s="11" t="str">
        <f>Table333456789101217[[#This Row],[Carrier]]</f>
        <v>Drip</v>
      </c>
      <c r="B25" s="5" t="str">
        <f>Table333456789101217[[#This Row],[IP]]</f>
        <v>84.13.76.190/90.945.80.11/198.160.234.5</v>
      </c>
      <c r="C25" s="6" t="str">
        <f>Table333456789101217[[#This Row],[Carrier Code]]</f>
        <v>DR</v>
      </c>
      <c r="D25" s="53">
        <v>0</v>
      </c>
      <c r="E25" s="53">
        <v>0</v>
      </c>
      <c r="F25" s="18">
        <f>Table33345678910121121222324252728293031323436[[#This Row],[Company Panel]]+Table33345678910121121222324252728293031323435[[#This Row],[MTD Company]]</f>
        <v>0</v>
      </c>
      <c r="G25" s="18">
        <f>Table33345678910121121222324252728293031323436[[#This Row],[Our panel]]+Table33345678910121121222324252728293031323435[[#This Row],[MTD Panel]]</f>
        <v>0</v>
      </c>
      <c r="H25" s="13">
        <f>Table33345678910121121222324252728293031323436[[#This Row],[Company Panel]]-Table33345678910121121222324252728293031323436[[#This Row],[Our panel]]</f>
        <v>0</v>
      </c>
      <c r="I25" s="13">
        <f>Table33345678910121121222324252728293031323436[[#This Row],[MTD Company]]-Table33345678910121121222324252728293031323436[[#This Row],[MTD Panel]]</f>
        <v>0</v>
      </c>
    </row>
    <row r="26" spans="1:9">
      <c r="A26" s="11" t="str">
        <f>Table333456789101217[[#This Row],[Carrier]]</f>
        <v>Glide</v>
      </c>
      <c r="B26" s="5" t="str">
        <f>Table333456789101217[[#This Row],[IP]]</f>
        <v>120.45.12.25/85.739.221.80/85.739.221.93</v>
      </c>
      <c r="C26" s="6" t="str">
        <f>Table333456789101217[[#This Row],[Carrier Code]]</f>
        <v>GI</v>
      </c>
      <c r="D26" s="53">
        <v>0</v>
      </c>
      <c r="E26" s="53">
        <v>0</v>
      </c>
      <c r="F26" s="18">
        <f>Table33345678910121121222324252728293031323436[[#This Row],[Company Panel]]+Table33345678910121121222324252728293031323435[[#This Row],[MTD Company]]</f>
        <v>0</v>
      </c>
      <c r="G26" s="18">
        <f>Table33345678910121121222324252728293031323436[[#This Row],[Our panel]]+Table33345678910121121222324252728293031323435[[#This Row],[MTD Panel]]</f>
        <v>0</v>
      </c>
      <c r="H26" s="13">
        <f>Table33345678910121121222324252728293031323436[[#This Row],[Company Panel]]-Table33345678910121121222324252728293031323436[[#This Row],[Our panel]]</f>
        <v>0</v>
      </c>
      <c r="I26" s="13">
        <f>Table33345678910121121222324252728293031323436[[#This Row],[MTD Company]]-Table33345678910121121222324252728293031323436[[#This Row],[MTD Panel]]</f>
        <v>0</v>
      </c>
    </row>
    <row r="27" spans="1:9">
      <c r="A27" s="11" t="str">
        <f>Table333456789101217[[#This Row],[Carrier]]</f>
        <v>Orbit</v>
      </c>
      <c r="B27" s="5" t="str">
        <f>Table333456789101217[[#This Row],[IP]]</f>
        <v>176.98.54.112/60.110.154.91/60.110.155.162</v>
      </c>
      <c r="C27" s="6" t="str">
        <f>Table333456789101217[[#This Row],[Carrier Code]]</f>
        <v>OR</v>
      </c>
      <c r="D27" s="53">
        <v>0</v>
      </c>
      <c r="E27" s="53">
        <v>0</v>
      </c>
      <c r="F27" s="18">
        <f>Table33345678910121121222324252728293031323436[[#This Row],[Company Panel]]+Table33345678910121121222324252728293031323435[[#This Row],[MTD Company]]</f>
        <v>0</v>
      </c>
      <c r="G27" s="18">
        <f>Table33345678910121121222324252728293031323436[[#This Row],[Our panel]]+Table33345678910121121222324252728293031323435[[#This Row],[MTD Panel]]</f>
        <v>0</v>
      </c>
      <c r="H27" s="13">
        <f>Table33345678910121121222324252728293031323436[[#This Row],[Company Panel]]-Table33345678910121121222324252728293031323436[[#This Row],[Our panel]]</f>
        <v>0</v>
      </c>
      <c r="I27" s="13">
        <f>Table33345678910121121222324252728293031323436[[#This Row],[MTD Company]]-Table33345678910121121222324252728293031323436[[#This Row],[MTD Panel]]</f>
        <v>0</v>
      </c>
    </row>
    <row r="28" spans="1:9">
      <c r="A28" s="11" t="str">
        <f>Table333456789101217[[#This Row],[Carrier]]</f>
        <v>Thunder</v>
      </c>
      <c r="B28" s="5" t="str">
        <f>Table333456789101217[[#This Row],[IP]]</f>
        <v>67.102.200.9/81.905.48.847/143.235.100.34</v>
      </c>
      <c r="C28" s="6" t="str">
        <f>Table333456789101217[[#This Row],[Carrier Code]]</f>
        <v>TU</v>
      </c>
      <c r="D28" s="53">
        <v>19.899999999999999</v>
      </c>
      <c r="E28" s="53">
        <v>19.899999999999999</v>
      </c>
      <c r="F28" s="18">
        <f>Table33345678910121121222324252728293031323436[[#This Row],[Company Panel]]+Table33345678910121121222324252728293031323435[[#This Row],[MTD Company]]</f>
        <v>754.08333333333314</v>
      </c>
      <c r="G28" s="18">
        <f>Table33345678910121121222324252728293031323436[[#This Row],[Our panel]]+Table33345678910121121222324252728293031323435[[#This Row],[MTD Panel]]</f>
        <v>754.08333333333314</v>
      </c>
      <c r="H28" s="13">
        <f>Table33345678910121121222324252728293031323436[[#This Row],[Company Panel]]-Table33345678910121121222324252728293031323436[[#This Row],[Our panel]]</f>
        <v>0</v>
      </c>
      <c r="I28" s="13">
        <f>Table33345678910121121222324252728293031323436[[#This Row],[MTD Company]]-Table33345678910121121222324252728293031323436[[#This Row],[MTD Panel]]</f>
        <v>0</v>
      </c>
    </row>
    <row r="29" spans="1:9">
      <c r="A29" s="11" t="str">
        <f>Table333456789101217[[#This Row],[Carrier]]</f>
        <v>Glimmer</v>
      </c>
      <c r="B29" s="5" t="str">
        <f>Table333456789101217[[#This Row],[IP]]</f>
        <v>99.22.211.100/71.54.85.344/71.54.85.218</v>
      </c>
      <c r="C29" s="6" t="str">
        <f>Table333456789101217[[#This Row],[Carrier Code]]</f>
        <v>GM</v>
      </c>
      <c r="D29" s="53">
        <v>0</v>
      </c>
      <c r="E29" s="53">
        <v>0</v>
      </c>
      <c r="F29" s="18">
        <f>Table33345678910121121222324252728293031323436[[#This Row],[Company Panel]]+Table33345678910121121222324252728293031323435[[#This Row],[MTD Company]]</f>
        <v>0</v>
      </c>
      <c r="G29" s="18">
        <f>Table33345678910121121222324252728293031323436[[#This Row],[Our panel]]+Table33345678910121121222324252728293031323435[[#This Row],[MTD Panel]]</f>
        <v>0</v>
      </c>
      <c r="H29" s="13">
        <f>Table33345678910121121222324252728293031323436[[#This Row],[Company Panel]]-Table33345678910121121222324252728293031323436[[#This Row],[Our panel]]</f>
        <v>0</v>
      </c>
      <c r="I29" s="13">
        <f>Table33345678910121121222324252728293031323436[[#This Row],[MTD Company]]-Table33345678910121121222324252728293031323436[[#This Row],[MTD Panel]]</f>
        <v>0</v>
      </c>
    </row>
    <row r="30" spans="1:9">
      <c r="A30" s="11" t="str">
        <f>Table333456789101217[[#This Row],[Carrier]]</f>
        <v>Fragment</v>
      </c>
      <c r="B30" s="5" t="str">
        <f>Table333456789101217[[#This Row],[IP]]</f>
        <v>203.0.113.56/195.56.101.10</v>
      </c>
      <c r="C30" s="6" t="str">
        <f>Table333456789101217[[#This Row],[Carrier Code]]</f>
        <v>FR</v>
      </c>
      <c r="D30" s="53">
        <v>0</v>
      </c>
      <c r="E30" s="53">
        <v>0</v>
      </c>
      <c r="F30" s="18">
        <f>Table33345678910121121222324252728293031323436[[#This Row],[Company Panel]]+Table33345678910121121222324252728293031323435[[#This Row],[MTD Company]]</f>
        <v>0</v>
      </c>
      <c r="G30" s="18">
        <f>Table33345678910121121222324252728293031323436[[#This Row],[Our panel]]+Table33345678910121121222324252728293031323435[[#This Row],[MTD Panel]]</f>
        <v>0</v>
      </c>
      <c r="H30" s="13">
        <f>Table33345678910121121222324252728293031323436[[#This Row],[Company Panel]]-Table33345678910121121222324252728293031323436[[#This Row],[Our panel]]</f>
        <v>0</v>
      </c>
      <c r="I30" s="13">
        <f>Table33345678910121121222324252728293031323436[[#This Row],[MTD Company]]-Table33345678910121121222324252728293031323436[[#This Row],[MTD Panel]]</f>
        <v>0</v>
      </c>
    </row>
    <row r="31" spans="1:9">
      <c r="A31" s="11" t="str">
        <f>Table333456789101217[[#This Row],[Carrier]]</f>
        <v>Dusk</v>
      </c>
      <c r="B31" s="5" t="str">
        <f>Table333456789101217[[#This Row],[IP]]</f>
        <v>33.44.55.66/33.44.55.84/33.44.55.122/214.68.90.122</v>
      </c>
      <c r="C31" s="6" t="str">
        <f>Table333456789101217[[#This Row],[Carrier Code]]</f>
        <v>DK</v>
      </c>
      <c r="D31" s="53">
        <v>0</v>
      </c>
      <c r="E31" s="53">
        <v>0</v>
      </c>
      <c r="F31" s="18">
        <f>Table33345678910121121222324252728293031323436[[#This Row],[Company Panel]]+Table33345678910121121222324252728293031323435[[#This Row],[MTD Company]]</f>
        <v>0</v>
      </c>
      <c r="G31" s="18">
        <f>Table33345678910121121222324252728293031323436[[#This Row],[Our panel]]+Table33345678910121121222324252728293031323435[[#This Row],[MTD Panel]]</f>
        <v>0</v>
      </c>
      <c r="H31" s="13">
        <f>Table33345678910121121222324252728293031323436[[#This Row],[Company Panel]]-Table33345678910121121222324252728293031323436[[#This Row],[Our panel]]</f>
        <v>0</v>
      </c>
      <c r="I31" s="13">
        <f>Table33345678910121121222324252728293031323436[[#This Row],[MTD Company]]-Table33345678910121121222324252728293031323436[[#This Row],[MTD Panel]]</f>
        <v>0</v>
      </c>
    </row>
    <row r="32" spans="1:9">
      <c r="A32" s="11" t="str">
        <f>Table333456789101217[[#This Row],[Carrier]]</f>
        <v>Breeze</v>
      </c>
      <c r="B32" s="5" t="str">
        <f>Table333456789101217[[#This Row],[IP]]</f>
        <v>199.123.87.45/199.123.34.52/77.189.22.56</v>
      </c>
      <c r="C32" s="6" t="str">
        <f>Table333456789101217[[#This Row],[Carrier Code]]</f>
        <v>BR</v>
      </c>
      <c r="D32" s="53">
        <v>0</v>
      </c>
      <c r="E32" s="53">
        <v>0</v>
      </c>
      <c r="F32" s="18">
        <f>Table33345678910121121222324252728293031323436[[#This Row],[Company Panel]]+Table33345678910121121222324252728293031323435[[#This Row],[MTD Company]]</f>
        <v>0</v>
      </c>
      <c r="G32" s="18">
        <f>Table33345678910121121222324252728293031323436[[#This Row],[Our panel]]+Table33345678910121121222324252728293031323435[[#This Row],[MTD Panel]]</f>
        <v>0</v>
      </c>
      <c r="H32" s="13">
        <f>Table33345678910121121222324252728293031323436[[#This Row],[Company Panel]]-Table33345678910121121222324252728293031323436[[#This Row],[Our panel]]</f>
        <v>0</v>
      </c>
      <c r="I32" s="13">
        <f>Table33345678910121121222324252728293031323436[[#This Row],[MTD Company]]-Table33345678910121121222324252728293031323436[[#This Row],[MTD Panel]]</f>
        <v>0</v>
      </c>
    </row>
    <row r="33" spans="1:9">
      <c r="A33" s="11" t="str">
        <f>Table333456789101217[[#This Row],[Carrier]]</f>
        <v>Clutch</v>
      </c>
      <c r="B33" s="5" t="str">
        <f>Table333456789101217[[#This Row],[IP]]</f>
        <v>55.66.77.88/84.126.79.28/152.233.45.11</v>
      </c>
      <c r="C33" s="6" t="str">
        <f>Table333456789101217[[#This Row],[Carrier Code]]</f>
        <v>CL</v>
      </c>
      <c r="D33" s="53">
        <v>0</v>
      </c>
      <c r="E33" s="53">
        <v>0</v>
      </c>
      <c r="F33" s="18">
        <f>Table33345678910121121222324252728293031323436[[#This Row],[Company Panel]]+Table33345678910121121222324252728293031323435[[#This Row],[MTD Company]]</f>
        <v>0</v>
      </c>
      <c r="G33" s="18">
        <f>Table33345678910121121222324252728293031323436[[#This Row],[Our panel]]+Table33345678910121121222324252728293031323435[[#This Row],[MTD Panel]]</f>
        <v>0</v>
      </c>
      <c r="H33" s="13">
        <f>Table33345678910121121222324252728293031323436[[#This Row],[Company Panel]]-Table33345678910121121222324252728293031323436[[#This Row],[Our panel]]</f>
        <v>0</v>
      </c>
      <c r="I33" s="13">
        <f>Table33345678910121121222324252728293031323436[[#This Row],[MTD Company]]-Table33345678910121121222324252728293031323436[[#This Row],[MTD Panel]]</f>
        <v>0</v>
      </c>
    </row>
    <row r="34" spans="1:9">
      <c r="A34" s="11" t="str">
        <f>Table333456789101217[[#This Row],[Carrier]]</f>
        <v>Haze</v>
      </c>
      <c r="B34" s="5" t="str">
        <f>Table333456789101217[[#This Row],[IP]]</f>
        <v>230.111.44.56</v>
      </c>
      <c r="C34" s="6" t="str">
        <f>Table333456789101217[[#This Row],[Carrier Code]]</f>
        <v>HZ</v>
      </c>
      <c r="D34" s="53">
        <v>5686.9333333333334</v>
      </c>
      <c r="E34" s="53">
        <v>5686.9333333333334</v>
      </c>
      <c r="F34" s="18">
        <f>Table33345678910121121222324252728293031323436[[#This Row],[Company Panel]]+Table33345678910121121222324252728293031323435[[#This Row],[MTD Company]]</f>
        <v>46121.833333333336</v>
      </c>
      <c r="G34" s="18">
        <f>Table33345678910121121222324252728293031323436[[#This Row],[Our panel]]+Table33345678910121121222324252728293031323435[[#This Row],[MTD Panel]]</f>
        <v>46121.833333333336</v>
      </c>
      <c r="H34" s="13">
        <f>Table33345678910121121222324252728293031323436[[#This Row],[Company Panel]]-Table33345678910121121222324252728293031323436[[#This Row],[Our panel]]</f>
        <v>0</v>
      </c>
      <c r="I34" s="13">
        <f>Table33345678910121121222324252728293031323436[[#This Row],[MTD Company]]-Table33345678910121121222324252728293031323436[[#This Row],[MTD Panel]]</f>
        <v>0</v>
      </c>
    </row>
    <row r="35" spans="1:9">
      <c r="A35" s="11" t="str">
        <f>Table333456789101217[[#This Row],[Carrier]]</f>
        <v>Vault</v>
      </c>
      <c r="B35" s="5" t="str">
        <f>Table333456789101217[[#This Row],[IP]]</f>
        <v>213.189.94.5/213.189.94.7/111.180.64.222</v>
      </c>
      <c r="C35" s="6" t="str">
        <f>Table333456789101217[[#This Row],[Carrier Code]]</f>
        <v>VA</v>
      </c>
      <c r="D35" s="53">
        <v>0</v>
      </c>
      <c r="E35" s="53">
        <v>0</v>
      </c>
      <c r="F35" s="18">
        <f>Table33345678910121121222324252728293031323436[[#This Row],[Company Panel]]+Table33345678910121121222324252728293031323435[[#This Row],[MTD Company]]</f>
        <v>0</v>
      </c>
      <c r="G35" s="18">
        <f>Table33345678910121121222324252728293031323436[[#This Row],[Our panel]]+Table33345678910121121222324252728293031323435[[#This Row],[MTD Panel]]</f>
        <v>0</v>
      </c>
      <c r="H35" s="13">
        <f>Table33345678910121121222324252728293031323436[[#This Row],[Company Panel]]-Table33345678910121121222324252728293031323436[[#This Row],[Our panel]]</f>
        <v>0</v>
      </c>
      <c r="I35" s="13">
        <f>Table33345678910121121222324252728293031323436[[#This Row],[MTD Company]]-Table33345678910121121222324252728293031323436[[#This Row],[MTD Panel]]</f>
        <v>0</v>
      </c>
    </row>
    <row r="36" spans="1:9">
      <c r="A36" s="11" t="str">
        <f>Table333456789101217[[#This Row],[Carrier]]</f>
        <v>Scatter</v>
      </c>
      <c r="B36" s="73" t="str">
        <f>Table333456789101217[[#This Row],[IP]]</f>
        <v>14.123.45.67/168.251.90.15</v>
      </c>
      <c r="C36" s="54" t="str">
        <f>Table333456789101217[[#This Row],[Carrier Code]]</f>
        <v>SC</v>
      </c>
      <c r="D36" s="53">
        <v>39.416666666666664</v>
      </c>
      <c r="E36" s="53">
        <v>39.416666666666664</v>
      </c>
      <c r="F36" s="18">
        <f>Table33345678910121121222324252728293031323436[[#This Row],[Company Panel]]+Table33345678910121121222324252728293031323435[[#This Row],[MTD Company]]</f>
        <v>1851.7166666666667</v>
      </c>
      <c r="G36" s="18">
        <f>Table33345678910121121222324252728293031323436[[#This Row],[Our panel]]+Table33345678910121121222324252728293031323435[[#This Row],[MTD Panel]]</f>
        <v>1851.7166666666667</v>
      </c>
      <c r="H36" s="13">
        <f>Table33345678910121121222324252728293031323436[[#This Row],[Company Panel]]-Table33345678910121121222324252728293031323436[[#This Row],[Our panel]]</f>
        <v>0</v>
      </c>
      <c r="I36" s="13">
        <f>Table33345678910121121222324252728293031323436[[#This Row],[MTD Company]]-Table33345678910121121222324252728293031323436[[#This Row],[MTD Panel]]</f>
        <v>0</v>
      </c>
    </row>
    <row r="37" spans="1:9">
      <c r="A37" s="11" t="str">
        <f>Table333456789101217[[#This Row],[Carrier]]</f>
        <v>Hammer</v>
      </c>
      <c r="B37" s="73" t="str">
        <f>Table333456789101217[[#This Row],[IP]]</f>
        <v>200.111.78.9/200.111.236.62/200.111.823.89/137.79.48.56</v>
      </c>
      <c r="C37" s="54" t="str">
        <f>Table333456789101217[[#This Row],[Carrier Code]]</f>
        <v>HA</v>
      </c>
      <c r="D37" s="53">
        <v>0</v>
      </c>
      <c r="E37" s="53">
        <v>0</v>
      </c>
      <c r="F37" s="18">
        <f>Table33345678910121121222324252728293031323436[[#This Row],[Company Panel]]+Table33345678910121121222324252728293031323435[[#This Row],[MTD Company]]</f>
        <v>0</v>
      </c>
      <c r="G37" s="18">
        <f>Table33345678910121121222324252728293031323436[[#This Row],[Our panel]]+Table33345678910121121222324252728293031323435[[#This Row],[MTD Panel]]</f>
        <v>0</v>
      </c>
      <c r="H37" s="72">
        <f>Table33345678910121121222324252728293031323436[[#This Row],[Company Panel]]-Table33345678910121121222324252728293031323436[[#This Row],[Our panel]]</f>
        <v>0</v>
      </c>
      <c r="I37" s="72">
        <f>Table33345678910121121222324252728293031323436[[#This Row],[MTD Company]]-Table33345678910121121222324252728293031323436[[#This Row],[MTD Panel]]</f>
        <v>0</v>
      </c>
    </row>
    <row r="38" spans="1:9">
      <c r="A38" s="11" t="str">
        <f>Table333456789101217[[#This Row],[Carrier]]</f>
        <v>Smudge</v>
      </c>
      <c r="B38" s="73" t="str">
        <f>Table333456789101217[[#This Row],[IP]]</f>
        <v>88.99.233.56/54.71.99.234</v>
      </c>
      <c r="C38" s="54" t="str">
        <f>Table333456789101217[[#This Row],[Carrier Code]]</f>
        <v>SM</v>
      </c>
      <c r="D38" s="53">
        <v>9.5500000000000007</v>
      </c>
      <c r="E38" s="53">
        <v>9.5500000000000007</v>
      </c>
      <c r="F38" s="18">
        <f>Table33345678910121121222324252728293031323436[[#This Row],[Company Panel]]+Table33345678910121121222324252728293031323435[[#This Row],[MTD Company]]</f>
        <v>5383.083333333333</v>
      </c>
      <c r="G38" s="18">
        <f>Table33345678910121121222324252728293031323436[[#This Row],[Our panel]]+Table33345678910121121222324252728293031323435[[#This Row],[MTD Panel]]</f>
        <v>5383.083333333333</v>
      </c>
      <c r="H38" s="72">
        <f>Table33345678910121121222324252728293031323436[[#This Row],[Company Panel]]-Table33345678910121121222324252728293031323436[[#This Row],[Our panel]]</f>
        <v>0</v>
      </c>
      <c r="I38" s="72">
        <f>Table33345678910121121222324252728293031323436[[#This Row],[MTD Company]]-Table33345678910121121222324252728293031323436[[#This Row],[MTD Panel]]</f>
        <v>0</v>
      </c>
    </row>
    <row r="39" spans="1:9">
      <c r="A39" s="11" t="str">
        <f>Table333456789101217[[#This Row],[Carrier]]</f>
        <v>Quirk</v>
      </c>
      <c r="B39" s="73" t="str">
        <f>Table333456789101217[[#This Row],[IP]]</f>
        <v>62.45.100.31/62.45.100.15/62.45.100.65/211.95.102.6</v>
      </c>
      <c r="C39" s="54" t="str">
        <f>Table333456789101217[[#This Row],[Carrier Code]]</f>
        <v>QU</v>
      </c>
      <c r="D39" s="53">
        <v>1016.2666666666667</v>
      </c>
      <c r="E39" s="53">
        <v>1016.2666666666667</v>
      </c>
      <c r="F39" s="18">
        <f>Table33345678910121121222324252728293031323436[[#This Row],[Company Panel]]+Table33345678910121121222324252728293031323435[[#This Row],[MTD Company]]</f>
        <v>44940.916666666664</v>
      </c>
      <c r="G39" s="18">
        <f>Table33345678910121121222324252728293031323436[[#This Row],[Our panel]]+Table33345678910121121222324252728293031323435[[#This Row],[MTD Panel]]</f>
        <v>44940.916666666664</v>
      </c>
      <c r="H39" s="72">
        <f>Table33345678910121121222324252728293031323436[[#This Row],[Company Panel]]-Table33345678910121121222324252728293031323436[[#This Row],[Our panel]]</f>
        <v>0</v>
      </c>
      <c r="I39" s="72">
        <f>Table33345678910121121222324252728293031323436[[#This Row],[MTD Company]]-Table33345678910121121222324252728293031323436[[#This Row],[MTD Panel]]</f>
        <v>0</v>
      </c>
    </row>
    <row r="40" spans="1:9">
      <c r="A40" s="11" t="str">
        <f>Table333456789101217[[#This Row],[Carrier]]</f>
        <v>Vortex</v>
      </c>
      <c r="B40" s="73" t="str">
        <f>Table333456789101217[[#This Row],[IP]]</f>
        <v>179.250.91.8/29.540.67.457/94.25.34.78/183.144.27.18</v>
      </c>
      <c r="C40" s="54" t="str">
        <f>Table333456789101217[[#This Row],[Carrier Code]]</f>
        <v>VT</v>
      </c>
      <c r="D40" s="53">
        <v>3.4333333333333331</v>
      </c>
      <c r="E40" s="53">
        <v>3.4333333333333331</v>
      </c>
      <c r="F40" s="18">
        <f>Table33345678910121121222324252728293031323436[[#This Row],[Company Panel]]+Table33345678910121121222324252728293031323435[[#This Row],[MTD Company]]</f>
        <v>5.1166666666666663</v>
      </c>
      <c r="G40" s="18">
        <f>Table33345678910121121222324252728293031323436[[#This Row],[Our panel]]+Table33345678910121121222324252728293031323435[[#This Row],[MTD Panel]]</f>
        <v>5.1166666666666663</v>
      </c>
      <c r="H40" s="72">
        <f>Table33345678910121121222324252728293031323436[[#This Row],[Company Panel]]-Table33345678910121121222324252728293031323436[[#This Row],[Our panel]]</f>
        <v>0</v>
      </c>
      <c r="I40" s="72">
        <f>Table33345678910121121222324252728293031323436[[#This Row],[MTD Company]]-Table33345678910121121222324252728293031323436[[#This Row],[MTD Panel]]</f>
        <v>0</v>
      </c>
    </row>
    <row r="41" spans="1:9">
      <c r="A41" s="11" t="str">
        <f>Table333456789101217[[#This Row],[Carrier]]</f>
        <v>Void</v>
      </c>
      <c r="B41" s="73" t="str">
        <f>Table333456789101217[[#This Row],[IP]]</f>
        <v>156.34.123.11/156.34.123.25/156.34.123.62/92.44.233.110</v>
      </c>
      <c r="C41" s="54" t="str">
        <f>Table333456789101217[[#This Row],[Carrier Code]]</f>
        <v>VO</v>
      </c>
      <c r="D41" s="53">
        <v>29.15</v>
      </c>
      <c r="E41" s="53">
        <v>29.15</v>
      </c>
      <c r="F41" s="18">
        <f>Table33345678910121121222324252728293031323436[[#This Row],[Company Panel]]+Table33345678910121121222324252728293031323435[[#This Row],[MTD Company]]</f>
        <v>1138.7666666666667</v>
      </c>
      <c r="G41" s="18">
        <f>Table33345678910121121222324252728293031323436[[#This Row],[Our panel]]+Table33345678910121121222324252728293031323435[[#This Row],[MTD Panel]]</f>
        <v>1138.7666666666667</v>
      </c>
      <c r="H41" s="72">
        <f>Table33345678910121121222324252728293031323436[[#This Row],[Company Panel]]-Table33345678910121121222324252728293031323436[[#This Row],[Our panel]]</f>
        <v>0</v>
      </c>
      <c r="I41" s="72">
        <f>Table33345678910121121222324252728293031323436[[#This Row],[MTD Company]]-Table33345678910121121222324252728293031323436[[#This Row],[MTD Panel]]</f>
        <v>0</v>
      </c>
    </row>
    <row r="42" spans="1:9">
      <c r="A42" s="11" t="str">
        <f>Table333456789101217[[#This Row],[Carrier]]</f>
        <v>Midnight</v>
      </c>
      <c r="B42" s="73" t="str">
        <f>Table333456789101217[[#This Row],[IP]]</f>
        <v>134.77.22.4/23.97.150.8</v>
      </c>
      <c r="C42" s="54" t="str">
        <f>Table333456789101217[[#This Row],[Carrier Code]]</f>
        <v>MI</v>
      </c>
      <c r="D42" s="53">
        <v>113.58333333333333</v>
      </c>
      <c r="E42" s="53">
        <v>113.58333333333333</v>
      </c>
      <c r="F42" s="18">
        <f>Table33345678910121121222324252728293031323436[[#This Row],[Company Panel]]+Table33345678910121121222324252728293031323435[[#This Row],[MTD Company]]</f>
        <v>8328.6666666666679</v>
      </c>
      <c r="G42" s="18">
        <f>Table33345678910121121222324252728293031323436[[#This Row],[Our panel]]+Table33345678910121121222324252728293031323435[[#This Row],[MTD Panel]]</f>
        <v>8328.6666666666679</v>
      </c>
      <c r="H42" s="72">
        <f>Table33345678910121121222324252728293031323436[[#This Row],[Company Panel]]-Table33345678910121121222324252728293031323436[[#This Row],[Our panel]]</f>
        <v>0</v>
      </c>
      <c r="I42" s="72">
        <f>Table33345678910121121222324252728293031323436[[#This Row],[MTD Company]]-Table33345678910121121222324252728293031323436[[#This Row],[MTD Panel]]</f>
        <v>0</v>
      </c>
    </row>
    <row r="43" spans="1:9">
      <c r="A43" s="11" t="str">
        <f>Table333456789101217[[#This Row],[Carrier]]</f>
        <v>Autumn</v>
      </c>
      <c r="B43" s="73" t="str">
        <f>Table333456789101217[[#This Row],[IP]]</f>
        <v>202.54.210.88/12.331.94.73/64.19.28.175</v>
      </c>
      <c r="C43" s="54" t="str">
        <f>Table333456789101217[[#This Row],[Carrier Code]]</f>
        <v>AU</v>
      </c>
      <c r="D43" s="53">
        <v>3.35</v>
      </c>
      <c r="E43" s="53">
        <v>3.35</v>
      </c>
      <c r="F43" s="18">
        <f>Table33345678910121121222324252728293031323436[[#This Row],[Company Panel]]+Table33345678910121121222324252728293031323435[[#This Row],[MTD Company]]</f>
        <v>275.63333333333333</v>
      </c>
      <c r="G43" s="18">
        <f>Table33345678910121121222324252728293031323436[[#This Row],[Our panel]]+Table33345678910121121222324252728293031323435[[#This Row],[MTD Panel]]</f>
        <v>275.63333333333333</v>
      </c>
      <c r="H43" s="72">
        <f>Table33345678910121121222324252728293031323436[[#This Row],[Company Panel]]-Table33345678910121121222324252728293031323436[[#This Row],[Our panel]]</f>
        <v>0</v>
      </c>
      <c r="I43" s="72">
        <f>Table33345678910121121222324252728293031323436[[#This Row],[MTD Company]]-Table33345678910121121222324252728293031323436[[#This Row],[MTD Panel]]</f>
        <v>0</v>
      </c>
    </row>
    <row r="44" spans="1:9">
      <c r="A44" s="11" t="str">
        <f>Table333456789101217[[#This Row],[Carrier]]</f>
        <v>Mystic</v>
      </c>
      <c r="B44" s="73" t="str">
        <f>Table333456789101217[[#This Row],[IP]]</f>
        <v>51.233.21.76/82.115.35.60/82.115.35.85</v>
      </c>
      <c r="C44" s="54" t="str">
        <f>Table333456789101217[[#This Row],[Carrier Code]]</f>
        <v>MY</v>
      </c>
      <c r="D44" s="53">
        <v>0</v>
      </c>
      <c r="E44" s="53">
        <v>0</v>
      </c>
      <c r="F44" s="18">
        <f>Table33345678910121121222324252728293031323436[[#This Row],[Company Panel]]+Table33345678910121121222324252728293031323435[[#This Row],[MTD Company]]</f>
        <v>0</v>
      </c>
      <c r="G44" s="18">
        <f>Table33345678910121121222324252728293031323436[[#This Row],[Our panel]]+Table33345678910121121222324252728293031323435[[#This Row],[MTD Panel]]</f>
        <v>0</v>
      </c>
      <c r="H44" s="72">
        <f>Table33345678910121121222324252728293031323436[[#This Row],[Company Panel]]-Table33345678910121121222324252728293031323436[[#This Row],[Our panel]]</f>
        <v>0</v>
      </c>
      <c r="I44" s="72">
        <f>Table33345678910121121222324252728293031323436[[#This Row],[MTD Company]]-Table33345678910121121222324252728293031323436[[#This Row],[MTD Panel]]</f>
        <v>0</v>
      </c>
    </row>
    <row r="45" spans="1:9">
      <c r="A45" s="11" t="str">
        <f>Table333456789101217[[#This Row],[Carrier]]</f>
        <v>Clover</v>
      </c>
      <c r="B45" s="73" t="str">
        <f>Table333456789101217[[#This Row],[IP]]</f>
        <v>210.150.12.45/84.50.212.66/135.113.88.9</v>
      </c>
      <c r="C45" s="54" t="str">
        <f>Table333456789101217[[#This Row],[Carrier Code]]</f>
        <v>CO</v>
      </c>
      <c r="D45" s="53">
        <v>182.75</v>
      </c>
      <c r="E45" s="53">
        <v>182.75</v>
      </c>
      <c r="F45" s="18">
        <f>Table33345678910121121222324252728293031323436[[#This Row],[Company Panel]]+Table33345678910121121222324252728293031323435[[#This Row],[MTD Company]]</f>
        <v>35733.633333333346</v>
      </c>
      <c r="G45" s="18">
        <f>Table33345678910121121222324252728293031323436[[#This Row],[Our panel]]+Table33345678910121121222324252728293031323435[[#This Row],[MTD Panel]]</f>
        <v>35733.633333333346</v>
      </c>
      <c r="H45" s="13">
        <f>Table33345678910121121222324252728293031323436[[#This Row],[Company Panel]]-Table33345678910121121222324252728293031323436[[#This Row],[Our panel]]</f>
        <v>0</v>
      </c>
      <c r="I45" s="13">
        <f>Table33345678910121121222324252728293031323436[[#This Row],[MTD Company]]-Table33345678910121121222324252728293031323436[[#This Row],[MTD Panel]]</f>
        <v>0</v>
      </c>
    </row>
    <row r="46" spans="1:9">
      <c r="A46" s="11" t="str">
        <f>Table333456789101217[[#This Row],[Carrier]]</f>
        <v>Hunter</v>
      </c>
      <c r="B46" s="73" t="str">
        <f>Table333456789101217[[#This Row],[IP]]</f>
        <v>170.199.20.87/13.693.39.280/78.30.123.47</v>
      </c>
      <c r="C46" s="54" t="str">
        <f>Table333456789101217[[#This Row],[Carrier Code]]</f>
        <v>HU</v>
      </c>
      <c r="D46" s="53">
        <v>10170.4</v>
      </c>
      <c r="E46" s="53">
        <v>10170.4</v>
      </c>
      <c r="F46" s="18">
        <f>Table33345678910121121222324252728293031323436[[#This Row],[Company Panel]]+Table33345678910121121222324252728293031323435[[#This Row],[MTD Company]]</f>
        <v>57518.400000000001</v>
      </c>
      <c r="G46" s="18">
        <f>Table33345678910121121222324252728293031323436[[#This Row],[Our panel]]+Table33345678910121121222324252728293031323435[[#This Row],[MTD Panel]]</f>
        <v>57518.400000000001</v>
      </c>
      <c r="H46" s="13">
        <f>Table33345678910121121222324252728293031323436[[#This Row],[Company Panel]]-Table33345678910121121222324252728293031323436[[#This Row],[Our panel]]</f>
        <v>0</v>
      </c>
      <c r="I46" s="13">
        <f>Table33345678910121121222324252728293031323436[[#This Row],[MTD Company]]-Table33345678910121121222324252728293031323436[[#This Row],[MTD Panel]]</f>
        <v>0</v>
      </c>
    </row>
    <row r="47" spans="1:9">
      <c r="A47" s="11" t="str">
        <f>Table333456789101217[[#This Row],[Carrier]]</f>
        <v>Invaded</v>
      </c>
      <c r="B47" s="73" t="str">
        <f>Table333456789101217[[#This Row],[IP]]</f>
        <v>182.67.99.120/80.518.230.410/26.847.95.107/188.12.67.92</v>
      </c>
      <c r="C47" s="54" t="str">
        <f>Table333456789101217[[#This Row],[Carrier Code]]</f>
        <v>ID</v>
      </c>
      <c r="D47" s="7">
        <v>0</v>
      </c>
      <c r="E47" s="7">
        <v>0</v>
      </c>
      <c r="F47" s="18">
        <f>Table33345678910121121222324252728293031323436[[#This Row],[Company Panel]]+Table33345678910121121222324252728293031323435[[#This Row],[MTD Company]]</f>
        <v>0</v>
      </c>
      <c r="G47" s="18">
        <f>Table33345678910121121222324252728293031323436[[#This Row],[Our panel]]+Table33345678910121121222324252728293031323435[[#This Row],[MTD Panel]]</f>
        <v>0</v>
      </c>
      <c r="H47" s="13">
        <f>Table33345678910121121222324252728293031323436[[#This Row],[Company Panel]]-Table33345678910121121222324252728293031323436[[#This Row],[Our panel]]</f>
        <v>0</v>
      </c>
      <c r="I47" s="13">
        <f>Table33345678910121121222324252728293031323436[[#This Row],[MTD Company]]-Table33345678910121121222324252728293031323436[[#This Row],[MTD Panel]]</f>
        <v>0</v>
      </c>
    </row>
    <row r="48" spans="1:9">
      <c r="A48" s="11" t="str">
        <f>Table333456789101217[[#This Row],[Carrier]]</f>
        <v>Delusion</v>
      </c>
      <c r="B48" s="73" t="str">
        <f>Table333456789101217[[#This Row],[IP]]</f>
        <v>198.51.100.72/69.887.74.738/39.153.110.645</v>
      </c>
      <c r="C48" s="54" t="str">
        <f>Table333456789101217[[#This Row],[Carrier Code]]</f>
        <v>DU</v>
      </c>
      <c r="D48" s="7">
        <v>0</v>
      </c>
      <c r="E48" s="7">
        <v>0</v>
      </c>
      <c r="F48" s="18">
        <f>Table33345678910121121222324252728293031323436[[#This Row],[Company Panel]]+Table33345678910121121222324252728293031323435[[#This Row],[MTD Company]]</f>
        <v>0</v>
      </c>
      <c r="G48" s="18">
        <f>Table33345678910121121222324252728293031323436[[#This Row],[Our panel]]+Table33345678910121121222324252728293031323435[[#This Row],[MTD Panel]]</f>
        <v>0</v>
      </c>
      <c r="H48" s="13">
        <f>Table33345678910121121222324252728293031323436[[#This Row],[Company Panel]]-Table33345678910121121222324252728293031323436[[#This Row],[Our panel]]</f>
        <v>0</v>
      </c>
      <c r="I48" s="13">
        <f>Table33345678910121121222324252728293031323436[[#This Row],[MTD Company]]-Table33345678910121121222324252728293031323436[[#This Row],[MTD Panel]]</f>
        <v>0</v>
      </c>
    </row>
    <row r="49" spans="1:9" ht="15.5">
      <c r="A49" s="11" t="str">
        <f>Table333456789101217[[#This Row],[Carrier]]</f>
        <v>Total</v>
      </c>
      <c r="B49" s="14"/>
      <c r="C49" s="15"/>
      <c r="D49" s="16">
        <f>SUM(D3:D48)</f>
        <v>20957.583333333332</v>
      </c>
      <c r="E49" s="16">
        <f t="shared" ref="E49:I49" si="0">SUM(E3:E48)</f>
        <v>20957.583333333332</v>
      </c>
      <c r="F49" s="16">
        <f t="shared" si="0"/>
        <v>301938.15000000002</v>
      </c>
      <c r="G49" s="16">
        <f t="shared" si="0"/>
        <v>301938.15000000002</v>
      </c>
      <c r="H49" s="16">
        <f t="shared" si="0"/>
        <v>0</v>
      </c>
      <c r="I49" s="16">
        <f t="shared" si="0"/>
        <v>0</v>
      </c>
    </row>
    <row r="52" spans="1:9">
      <c r="F52" s="9"/>
    </row>
    <row r="53" spans="1:9">
      <c r="E53" s="9"/>
    </row>
  </sheetData>
  <conditionalFormatting sqref="H2:I48">
    <cfRule type="cellIs" dxfId="37" priority="12" operator="lessThan">
      <formula>0</formula>
    </cfRule>
  </conditionalFormatting>
  <conditionalFormatting sqref="I30:I48">
    <cfRule type="cellIs" dxfId="36" priority="11" operator="lessThan">
      <formula>0</formula>
    </cfRule>
  </conditionalFormatting>
  <conditionalFormatting sqref="H3:I48">
    <cfRule type="cellIs" dxfId="35" priority="10" operator="lessThan">
      <formula>0</formula>
    </cfRule>
  </conditionalFormatting>
  <conditionalFormatting sqref="I30:I48">
    <cfRule type="cellIs" dxfId="34" priority="9" operator="lessThan">
      <formula>0</formula>
    </cfRule>
  </conditionalFormatting>
  <conditionalFormatting sqref="I3:I48">
    <cfRule type="cellIs" dxfId="33" priority="1" operator="lessThan">
      <formula>0</formula>
    </cfRule>
    <cfRule type="cellIs" dxfId="32" priority="2" operator="lessThan">
      <formula>0</formula>
    </cfRule>
  </conditionalFormatting>
  <hyperlinks>
    <hyperlink ref="E1" location="H!A1" display="Home"/>
    <hyperlink ref="D1" location="'28'!D1" display="←"/>
    <hyperlink ref="F1" location="'30'!F1" display="→"/>
  </hyperlinks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"/>
  <sheetViews>
    <sheetView workbookViewId="0">
      <selection activeCell="D49" sqref="D49"/>
    </sheetView>
  </sheetViews>
  <sheetFormatPr defaultRowHeight="14.5"/>
  <cols>
    <col min="1" max="1" width="26.7265625" bestFit="1" customWidth="1"/>
    <col min="2" max="2" width="37" bestFit="1" customWidth="1"/>
    <col min="3" max="3" width="10.453125" customWidth="1"/>
    <col min="4" max="9" width="12.7265625" customWidth="1"/>
    <col min="11" max="11" width="10" bestFit="1" customWidth="1"/>
  </cols>
  <sheetData>
    <row r="1" spans="1:12" ht="18.5">
      <c r="A1" s="23" t="str">
        <f>H!D15</f>
        <v>30th April 2025</v>
      </c>
      <c r="B1" s="24"/>
      <c r="C1" s="24"/>
      <c r="D1" s="22" t="s">
        <v>16</v>
      </c>
      <c r="E1" s="22" t="s">
        <v>9</v>
      </c>
      <c r="F1" s="22" t="s">
        <v>17</v>
      </c>
    </row>
    <row r="2" spans="1:12" ht="31">
      <c r="A2" s="1" t="s">
        <v>0</v>
      </c>
      <c r="B2" s="2" t="s">
        <v>1</v>
      </c>
      <c r="C2" s="2" t="s">
        <v>2</v>
      </c>
      <c r="D2" s="2" t="s">
        <v>3</v>
      </c>
      <c r="E2" s="2" t="s">
        <v>11</v>
      </c>
      <c r="F2" s="2" t="s">
        <v>4</v>
      </c>
      <c r="G2" s="4" t="s">
        <v>6</v>
      </c>
      <c r="H2" s="4" t="s">
        <v>7</v>
      </c>
      <c r="I2" s="3" t="s">
        <v>8</v>
      </c>
    </row>
    <row r="3" spans="1:12">
      <c r="A3" s="11" t="str">
        <f>Table333456789101217[[#This Row],[Carrier]]</f>
        <v>Blaze</v>
      </c>
      <c r="B3" s="5" t="str">
        <f>Table333456789101217[[#This Row],[IP]]</f>
        <v>8.12.34.56/48.163.17.845/60.502.86.203/191.45.28.14</v>
      </c>
      <c r="C3" s="6" t="str">
        <f>Table333456789101217[[#This Row],[Carrier Code]]</f>
        <v>BZ</v>
      </c>
      <c r="D3" s="53">
        <v>0</v>
      </c>
      <c r="E3" s="53">
        <v>0</v>
      </c>
      <c r="F3" s="18">
        <f>Table3334567891012112122232425272829303132343637[[#This Row],[Company Panel]]+Table33345678910121121222324252728293031323436[[#This Row],[MTD Company]]</f>
        <v>0</v>
      </c>
      <c r="G3" s="18">
        <f>Table3334567891012112122232425272829303132343637[[#This Row],[Our panel]]+Table33345678910121121222324252728293031323436[[#This Row],[MTD Panel]]</f>
        <v>0</v>
      </c>
      <c r="H3" s="13">
        <f>Table3334567891012112122232425272829303132343637[[#This Row],[Company Panel]]-Table3334567891012112122232425272829303132343637[[#This Row],[Our panel]]</f>
        <v>0</v>
      </c>
      <c r="I3" s="13">
        <f>Table3334567891012112122232425272829303132343637[[#This Row],[MTD Company]]-Table3334567891012112122232425272829303132343637[[#This Row],[MTD Panel]]</f>
        <v>0</v>
      </c>
    </row>
    <row r="4" spans="1:12">
      <c r="A4" s="11" t="str">
        <f>Table333456789101217[[#This Row],[Carrier]]</f>
        <v>Titan</v>
      </c>
      <c r="B4" s="5" t="str">
        <f>Table333456789101217[[#This Row],[IP]]</f>
        <v>123.45.67.89/123.45.67.93/203.24.101.65</v>
      </c>
      <c r="C4" s="6" t="str">
        <f>Table333456789101217[[#This Row],[Carrier Code]]</f>
        <v>TI</v>
      </c>
      <c r="D4" s="53">
        <v>79.55</v>
      </c>
      <c r="E4" s="53">
        <v>79.55</v>
      </c>
      <c r="F4" s="18">
        <f>Table3334567891012112122232425272829303132343637[[#This Row],[Company Panel]]+Table33345678910121121222324252728293031323436[[#This Row],[MTD Company]]</f>
        <v>508.90000000000003</v>
      </c>
      <c r="G4" s="18">
        <f>Table3334567891012112122232425272829303132343637[[#This Row],[Our panel]]+Table33345678910121121222324252728293031323436[[#This Row],[MTD Panel]]</f>
        <v>508.90000000000003</v>
      </c>
      <c r="H4" s="13">
        <f>Table3334567891012112122232425272829303132343637[[#This Row],[Company Panel]]-Table3334567891012112122232425272829303132343637[[#This Row],[Our panel]]</f>
        <v>0</v>
      </c>
      <c r="I4" s="13">
        <f>Table3334567891012112122232425272829303132343637[[#This Row],[MTD Company]]-Table3334567891012112122232425272829303132343637[[#This Row],[MTD Panel]]</f>
        <v>0</v>
      </c>
      <c r="L4" s="9"/>
    </row>
    <row r="5" spans="1:12">
      <c r="A5" s="11" t="str">
        <f>Table333456789101217[[#This Row],[Carrier]]</f>
        <v>Hollow</v>
      </c>
      <c r="B5" s="5" t="str">
        <f>Table333456789101217[[#This Row],[IP]]</f>
        <v>204.56.78.100/204.56.57.169/52.94.101.12</v>
      </c>
      <c r="C5" s="6" t="str">
        <f>Table333456789101217[[#This Row],[Carrier Code]]</f>
        <v>HO</v>
      </c>
      <c r="D5" s="53">
        <v>0</v>
      </c>
      <c r="E5" s="53">
        <v>0</v>
      </c>
      <c r="F5" s="18">
        <f>Table3334567891012112122232425272829303132343637[[#This Row],[Company Panel]]+Table33345678910121121222324252728293031323436[[#This Row],[MTD Company]]</f>
        <v>0</v>
      </c>
      <c r="G5" s="18">
        <f>Table3334567891012112122232425272829303132343637[[#This Row],[Our panel]]+Table33345678910121121222324252728293031323436[[#This Row],[MTD Panel]]</f>
        <v>0</v>
      </c>
      <c r="H5" s="13">
        <f>Table3334567891012112122232425272829303132343637[[#This Row],[Company Panel]]-Table3334567891012112122232425272829303132343637[[#This Row],[Our panel]]</f>
        <v>0</v>
      </c>
      <c r="I5" s="13">
        <f>Table3334567891012112122232425272829303132343637[[#This Row],[MTD Company]]-Table3334567891012112122232425272829303132343637[[#This Row],[MTD Panel]]</f>
        <v>0</v>
      </c>
    </row>
    <row r="6" spans="1:12">
      <c r="A6" s="11" t="str">
        <f>Table333456789101217[[#This Row],[Carrier]]</f>
        <v>Prism</v>
      </c>
      <c r="B6" s="5" t="str">
        <f>Table333456789101217[[#This Row],[IP]]</f>
        <v>35.118.22.45/137.63.112.25</v>
      </c>
      <c r="C6" s="6" t="str">
        <f>Table333456789101217[[#This Row],[Carrier Code]]</f>
        <v>PS</v>
      </c>
      <c r="D6" s="53">
        <v>1818.75</v>
      </c>
      <c r="E6" s="53">
        <v>1818.75</v>
      </c>
      <c r="F6" s="18">
        <f>Table3334567891012112122232425272829303132343637[[#This Row],[Company Panel]]+Table33345678910121121222324252728293031323436[[#This Row],[MTD Company]]</f>
        <v>79005.099999999962</v>
      </c>
      <c r="G6" s="18">
        <f>Table3334567891012112122232425272829303132343637[[#This Row],[Our panel]]+Table33345678910121121222324252728293031323436[[#This Row],[MTD Panel]]</f>
        <v>79005.099999999962</v>
      </c>
      <c r="H6" s="13">
        <f>Table3334567891012112122232425272829303132343637[[#This Row],[Company Panel]]-Table3334567891012112122232425272829303132343637[[#This Row],[Our panel]]</f>
        <v>0</v>
      </c>
      <c r="I6" s="13">
        <f>Table3334567891012112122232425272829303132343637[[#This Row],[MTD Company]]-Table3334567891012112122232425272829303132343637[[#This Row],[MTD Panel]]</f>
        <v>0</v>
      </c>
    </row>
    <row r="7" spans="1:12">
      <c r="A7" s="11" t="str">
        <f>Table333456789101217[[#This Row],[Carrier]]</f>
        <v>Echo</v>
      </c>
      <c r="B7" s="5" t="str">
        <f>Table333456789101217[[#This Row],[IP]]</f>
        <v>66.89.101.10/66.89.101.19/66.89.101.23/66.89.101.45/66.89.101.81/85.21.34.99</v>
      </c>
      <c r="C7" s="6" t="str">
        <f>Table333456789101217[[#This Row],[Carrier Code]]</f>
        <v>EC</v>
      </c>
      <c r="D7" s="53">
        <v>8.9499999999999993</v>
      </c>
      <c r="E7" s="53">
        <v>8.9499999999999993</v>
      </c>
      <c r="F7" s="18">
        <f>Table3334567891012112122232425272829303132343637[[#This Row],[Company Panel]]+Table33345678910121121222324252728293031323436[[#This Row],[MTD Company]]</f>
        <v>162.79999999999998</v>
      </c>
      <c r="G7" s="18">
        <f>Table3334567891012112122232425272829303132343637[[#This Row],[Our panel]]+Table33345678910121121222324252728293031323436[[#This Row],[MTD Panel]]</f>
        <v>162.79999999999998</v>
      </c>
      <c r="H7" s="13">
        <f>Table3334567891012112122232425272829303132343637[[#This Row],[Company Panel]]-Table3334567891012112122232425272829303132343637[[#This Row],[Our panel]]</f>
        <v>0</v>
      </c>
      <c r="I7" s="13">
        <f>Table3334567891012112122232425272829303132343637[[#This Row],[MTD Company]]-Table3334567891012112122232425272829303132343637[[#This Row],[MTD Panel]]</f>
        <v>0</v>
      </c>
    </row>
    <row r="8" spans="1:12">
      <c r="A8" s="11" t="str">
        <f>Table333456789101217[[#This Row],[Carrier]]</f>
        <v>Strike</v>
      </c>
      <c r="B8" s="5" t="str">
        <f>Table333456789101217[[#This Row],[IP]]</f>
        <v>100.200.150.3/100.200.165.38/41.102.90.78</v>
      </c>
      <c r="C8" s="6" t="str">
        <f>Table333456789101217[[#This Row],[Carrier Code]]</f>
        <v>ST</v>
      </c>
      <c r="D8" s="53">
        <v>123.65</v>
      </c>
      <c r="E8" s="53">
        <v>123.65</v>
      </c>
      <c r="F8" s="18">
        <f>Table3334567891012112122232425272829303132343637[[#This Row],[Company Panel]]+Table33345678910121121222324252728293031323436[[#This Row],[MTD Company]]</f>
        <v>3360.5833333333335</v>
      </c>
      <c r="G8" s="18">
        <f>Table3334567891012112122232425272829303132343637[[#This Row],[Our panel]]+Table33345678910121121222324252728293031323436[[#This Row],[MTD Panel]]</f>
        <v>3360.5833333333335</v>
      </c>
      <c r="H8" s="13">
        <f>Table3334567891012112122232425272829303132343637[[#This Row],[Company Panel]]-Table3334567891012112122232425272829303132343637[[#This Row],[Our panel]]</f>
        <v>0</v>
      </c>
      <c r="I8" s="13">
        <f>Table3334567891012112122232425272829303132343637[[#This Row],[MTD Company]]-Table3334567891012112122232425272829303132343637[[#This Row],[MTD Panel]]</f>
        <v>0</v>
      </c>
      <c r="L8" s="9"/>
    </row>
    <row r="9" spans="1:12">
      <c r="A9" s="11" t="str">
        <f>Table333456789101217[[#This Row],[Carrier]]</f>
        <v>Blunt</v>
      </c>
      <c r="B9" s="5" t="str">
        <f>Table333456789101217[[#This Row],[IP]]</f>
        <v>52.28.191.25/52.28.191.38/52.28.191.24/61.110.23.45</v>
      </c>
      <c r="C9" s="6" t="str">
        <f>Table333456789101217[[#This Row],[Carrier Code]]</f>
        <v>BL</v>
      </c>
      <c r="D9" s="53">
        <v>217.96666666666667</v>
      </c>
      <c r="E9" s="53">
        <v>217.96666666666667</v>
      </c>
      <c r="F9" s="18">
        <f>Table3334567891012112122232425272829303132343637[[#This Row],[Company Panel]]+Table33345678910121121222324252728293031323436[[#This Row],[MTD Company]]</f>
        <v>11575.916666666668</v>
      </c>
      <c r="G9" s="18">
        <f>Table3334567891012112122232425272829303132343637[[#This Row],[Our panel]]+Table33345678910121121222324252728293031323436[[#This Row],[MTD Panel]]</f>
        <v>11575.916666666668</v>
      </c>
      <c r="H9" s="13">
        <f>Table3334567891012112122232425272829303132343637[[#This Row],[Company Panel]]-Table3334567891012112122232425272829303132343637[[#This Row],[Our panel]]</f>
        <v>0</v>
      </c>
      <c r="I9" s="13">
        <f>Table3334567891012112122232425272829303132343637[[#This Row],[MTD Company]]-Table3334567891012112122232425272829303132343637[[#This Row],[MTD Panel]]</f>
        <v>0</v>
      </c>
    </row>
    <row r="10" spans="1:12">
      <c r="A10" s="11" t="str">
        <f>Table333456789101217[[#This Row],[Carrier]]</f>
        <v>Law</v>
      </c>
      <c r="B10" s="5" t="str">
        <f>Table333456789101217[[#This Row],[IP]]</f>
        <v>77.88.99.21/77.88.99.88/77.88.99.94/110.56.211.7</v>
      </c>
      <c r="C10" s="6" t="str">
        <f>Table333456789101217[[#This Row],[Carrier Code]]</f>
        <v>LA</v>
      </c>
      <c r="D10" s="53">
        <v>0</v>
      </c>
      <c r="E10" s="53">
        <v>0</v>
      </c>
      <c r="F10" s="18">
        <f>Table3334567891012112122232425272829303132343637[[#This Row],[Company Panel]]+Table33345678910121121222324252728293031323436[[#This Row],[MTD Company]]</f>
        <v>0</v>
      </c>
      <c r="G10" s="18">
        <f>Table3334567891012112122232425272829303132343637[[#This Row],[Our panel]]+Table33345678910121121222324252728293031323436[[#This Row],[MTD Panel]]</f>
        <v>0</v>
      </c>
      <c r="H10" s="13">
        <f>Table3334567891012112122232425272829303132343637[[#This Row],[Company Panel]]-Table3334567891012112122232425272829303132343637[[#This Row],[Our panel]]</f>
        <v>0</v>
      </c>
      <c r="I10" s="13">
        <f>Table3334567891012112122232425272829303132343637[[#This Row],[MTD Company]]-Table3334567891012112122232425272829303132343637[[#This Row],[MTD Panel]]</f>
        <v>0</v>
      </c>
    </row>
    <row r="11" spans="1:12">
      <c r="A11" s="11" t="str">
        <f>Table333456789101217[[#This Row],[Carrier]]</f>
        <v>Pulse</v>
      </c>
      <c r="B11" s="5" t="str">
        <f>Table333456789101217[[#This Row],[IP]]</f>
        <v>198.51.100.130/31.725.16.608/66.59.61.503/167.34.122.90</v>
      </c>
      <c r="C11" s="6" t="str">
        <f>Table333456789101217[[#This Row],[Carrier Code]]</f>
        <v>PU</v>
      </c>
      <c r="D11" s="53">
        <v>0</v>
      </c>
      <c r="E11" s="53">
        <v>0</v>
      </c>
      <c r="F11" s="18">
        <f>Table3334567891012112122232425272829303132343637[[#This Row],[Company Panel]]+Table33345678910121121222324252728293031323436[[#This Row],[MTD Company]]</f>
        <v>0</v>
      </c>
      <c r="G11" s="18">
        <f>Table3334567891012112122232425272829303132343637[[#This Row],[Our panel]]+Table33345678910121121222324252728293031323436[[#This Row],[MTD Panel]]</f>
        <v>0</v>
      </c>
      <c r="H11" s="13">
        <f>Table3334567891012112122232425272829303132343637[[#This Row],[Company Panel]]-Table3334567891012112122232425272829303132343637[[#This Row],[Our panel]]</f>
        <v>0</v>
      </c>
      <c r="I11" s="13">
        <f>Table3334567891012112122232425272829303132343637[[#This Row],[MTD Company]]-Table3334567891012112122232425272829303132343637[[#This Row],[MTD Panel]]</f>
        <v>0</v>
      </c>
    </row>
    <row r="12" spans="1:12">
      <c r="A12" s="11" t="str">
        <f>Table333456789101217[[#This Row],[Carrier]]</f>
        <v>Phantom</v>
      </c>
      <c r="B12" s="5" t="str">
        <f>Table333456789101217[[#This Row],[IP]]</f>
        <v>141.15.210.67/141.15.42.82/179.62.211.4</v>
      </c>
      <c r="C12" s="6" t="str">
        <f>Table333456789101217[[#This Row],[Carrier Code]]</f>
        <v>PH</v>
      </c>
      <c r="D12" s="53">
        <v>1.5666666666666667</v>
      </c>
      <c r="E12" s="53">
        <v>1.5666666666666667</v>
      </c>
      <c r="F12" s="18">
        <f>Table3334567891012112122232425272829303132343637[[#This Row],[Company Panel]]+Table33345678910121121222324252728293031323436[[#This Row],[MTD Company]]</f>
        <v>3386.1833333333325</v>
      </c>
      <c r="G12" s="18">
        <f>Table3334567891012112122232425272829303132343637[[#This Row],[Our panel]]+Table33345678910121121222324252728293031323436[[#This Row],[MTD Panel]]</f>
        <v>3386.1833333333325</v>
      </c>
      <c r="H12" s="13">
        <f>Table3334567891012112122232425272829303132343637[[#This Row],[Company Panel]]-Table3334567891012112122232425272829303132343637[[#This Row],[Our panel]]</f>
        <v>0</v>
      </c>
      <c r="I12" s="13">
        <f>Table3334567891012112122232425272829303132343637[[#This Row],[MTD Company]]-Table3334567891012112122232425272829303132343637[[#This Row],[MTD Panel]]</f>
        <v>0</v>
      </c>
    </row>
    <row r="13" spans="1:12">
      <c r="A13" s="11" t="str">
        <f>Table333456789101217[[#This Row],[Carrier]]</f>
        <v>Dragon</v>
      </c>
      <c r="B13" s="5" t="str">
        <f>Table333456789101217[[#This Row],[IP]]</f>
        <v>12.34.56.78/12.34.56.128/200.180.245.18</v>
      </c>
      <c r="C13" s="6" t="str">
        <f>Table333456789101217[[#This Row],[Carrier Code]]</f>
        <v>DG</v>
      </c>
      <c r="D13" s="53">
        <v>0</v>
      </c>
      <c r="E13" s="53">
        <v>0</v>
      </c>
      <c r="F13" s="18">
        <f>Table3334567891012112122232425272829303132343637[[#This Row],[Company Panel]]+Table33345678910121121222324252728293031323436[[#This Row],[MTD Company]]</f>
        <v>0</v>
      </c>
      <c r="G13" s="18">
        <f>Table3334567891012112122232425272829303132343637[[#This Row],[Our panel]]+Table33345678910121121222324252728293031323436[[#This Row],[MTD Panel]]</f>
        <v>0</v>
      </c>
      <c r="H13" s="13">
        <f>Table3334567891012112122232425272829303132343637[[#This Row],[Company Panel]]-Table3334567891012112122232425272829303132343637[[#This Row],[Our panel]]</f>
        <v>0</v>
      </c>
      <c r="I13" s="13">
        <f>Table3334567891012112122232425272829303132343637[[#This Row],[MTD Company]]-Table3334567891012112122232425272829303132343637[[#This Row],[MTD Panel]]</f>
        <v>0</v>
      </c>
    </row>
    <row r="14" spans="1:12">
      <c r="A14" s="11" t="str">
        <f>Table333456789101217[[#This Row],[Carrier]]</f>
        <v>Tempest</v>
      </c>
      <c r="B14" s="5" t="str">
        <f>Table333456789101217[[#This Row],[IP]]</f>
        <v>59.144.223.88/55.39.99.60</v>
      </c>
      <c r="C14" s="6" t="str">
        <f>Table333456789101217[[#This Row],[Carrier Code]]</f>
        <v>TE</v>
      </c>
      <c r="D14" s="53">
        <v>0</v>
      </c>
      <c r="E14" s="53">
        <v>0</v>
      </c>
      <c r="F14" s="18">
        <f>Table3334567891012112122232425272829303132343637[[#This Row],[Company Panel]]+Table33345678910121121222324252728293031323436[[#This Row],[MTD Company]]</f>
        <v>0</v>
      </c>
      <c r="G14" s="18">
        <f>Table3334567891012112122232425272829303132343637[[#This Row],[Our panel]]+Table33345678910121121222324252728293031323436[[#This Row],[MTD Panel]]</f>
        <v>0</v>
      </c>
      <c r="H14" s="13">
        <f>Table3334567891012112122232425272829303132343637[[#This Row],[Company Panel]]-Table3334567891012112122232425272829303132343637[[#This Row],[Our panel]]</f>
        <v>0</v>
      </c>
      <c r="I14" s="13">
        <f>Table3334567891012112122232425272829303132343637[[#This Row],[MTD Company]]-Table3334567891012112122232425272829303132343637[[#This Row],[MTD Panel]]</f>
        <v>0</v>
      </c>
    </row>
    <row r="15" spans="1:12">
      <c r="A15" s="11" t="str">
        <f>Table333456789101217[[#This Row],[Carrier]]</f>
        <v>Shadow</v>
      </c>
      <c r="B15" s="5" t="str">
        <f>Table333456789101217[[#This Row],[IP]]</f>
        <v>175.45.112.100/25.851.31.153/39.80.220.100</v>
      </c>
      <c r="C15" s="6" t="str">
        <f>Table333456789101217[[#This Row],[Carrier Code]]</f>
        <v>SH</v>
      </c>
      <c r="D15" s="53">
        <v>0</v>
      </c>
      <c r="E15" s="53">
        <v>0</v>
      </c>
      <c r="F15" s="18">
        <f>Table3334567891012112122232425272829303132343637[[#This Row],[Company Panel]]+Table33345678910121121222324252728293031323436[[#This Row],[MTD Company]]</f>
        <v>1.4500000000000002</v>
      </c>
      <c r="G15" s="18">
        <f>Table3334567891012112122232425272829303132343637[[#This Row],[Our panel]]+Table33345678910121121222324252728293031323436[[#This Row],[MTD Panel]]</f>
        <v>1.4500000000000002</v>
      </c>
      <c r="H15" s="13">
        <f>Table3334567891012112122232425272829303132343637[[#This Row],[Company Panel]]-Table3334567891012112122232425272829303132343637[[#This Row],[Our panel]]</f>
        <v>0</v>
      </c>
      <c r="I15" s="13">
        <f>Table3334567891012112122232425272829303132343637[[#This Row],[MTD Company]]-Table3334567891012112122232425272829303132343637[[#This Row],[MTD Panel]]</f>
        <v>0</v>
      </c>
    </row>
    <row r="16" spans="1:12">
      <c r="A16" s="11" t="str">
        <f>Table333456789101217[[#This Row],[Carrier]]</f>
        <v>Cyclone</v>
      </c>
      <c r="B16" s="5" t="str">
        <f>Table333456789101217[[#This Row],[IP]]</f>
        <v>150.13.75.190/16.160.89.512/72.11.97.34</v>
      </c>
      <c r="C16" s="6" t="str">
        <f>Table333456789101217[[#This Row],[Carrier Code]]</f>
        <v>CY</v>
      </c>
      <c r="D16" s="53">
        <v>0</v>
      </c>
      <c r="E16" s="53">
        <v>0</v>
      </c>
      <c r="F16" s="18">
        <f>Table3334567891012112122232425272829303132343637[[#This Row],[Company Panel]]+Table33345678910121121222324252728293031323436[[#This Row],[MTD Company]]</f>
        <v>0</v>
      </c>
      <c r="G16" s="18">
        <f>Table3334567891012112122232425272829303132343637[[#This Row],[Our panel]]+Table33345678910121121222324252728293031323436[[#This Row],[MTD Panel]]</f>
        <v>0</v>
      </c>
      <c r="H16" s="13">
        <f>Table3334567891012112122232425272829303132343637[[#This Row],[Company Panel]]-Table3334567891012112122232425272829303132343637[[#This Row],[Our panel]]</f>
        <v>0</v>
      </c>
      <c r="I16" s="13">
        <f>Table3334567891012112122232425272829303132343637[[#This Row],[MTD Company]]-Table3334567891012112122232425272829303132343637[[#This Row],[MTD Panel]]</f>
        <v>0</v>
      </c>
    </row>
    <row r="17" spans="1:9">
      <c r="A17" s="11" t="str">
        <f>Table333456789101217[[#This Row],[Carrier]]</f>
        <v>Reaver</v>
      </c>
      <c r="B17" s="5" t="str">
        <f>Table333456789101217[[#This Row],[IP]]</f>
        <v>203.0.113.44/188.17.56.210</v>
      </c>
      <c r="C17" s="6" t="str">
        <f>Table333456789101217[[#This Row],[Carrier Code]]</f>
        <v>RE</v>
      </c>
      <c r="D17" s="53">
        <v>0</v>
      </c>
      <c r="E17" s="53">
        <v>0</v>
      </c>
      <c r="F17" s="18">
        <f>Table3334567891012112122232425272829303132343637[[#This Row],[Company Panel]]+Table33345678910121121222324252728293031323436[[#This Row],[MTD Company]]</f>
        <v>0</v>
      </c>
      <c r="G17" s="18">
        <f>Table3334567891012112122232425272829303132343637[[#This Row],[Our panel]]+Table33345678910121121222324252728293031323436[[#This Row],[MTD Panel]]</f>
        <v>0</v>
      </c>
      <c r="H17" s="13">
        <f>Table3334567891012112122232425272829303132343637[[#This Row],[Company Panel]]-Table3334567891012112122232425272829303132343637[[#This Row],[Our panel]]</f>
        <v>0</v>
      </c>
      <c r="I17" s="13">
        <f>Table3334567891012112122232425272829303132343637[[#This Row],[MTD Company]]-Table3334567891012112122232425272829303132343637[[#This Row],[MTD Panel]]</f>
        <v>0</v>
      </c>
    </row>
    <row r="18" spans="1:9">
      <c r="A18" s="11" t="str">
        <f>Table333456789101217[[#This Row],[Carrier]]</f>
        <v>Forge</v>
      </c>
      <c r="B18" s="5" t="str">
        <f>Table333456789101217[[#This Row],[IP]]</f>
        <v>112.54.89.168/112.54.89.138</v>
      </c>
      <c r="C18" s="6" t="str">
        <f>Table333456789101217[[#This Row],[Carrier Code]]</f>
        <v>FO</v>
      </c>
      <c r="D18" s="53">
        <v>20.866666666666667</v>
      </c>
      <c r="E18" s="53">
        <v>20.866666666666667</v>
      </c>
      <c r="F18" s="18">
        <f>Table3334567891012112122232425272829303132343637[[#This Row],[Company Panel]]+Table33345678910121121222324252728293031323436[[#This Row],[MTD Company]]</f>
        <v>765.75000000000011</v>
      </c>
      <c r="G18" s="18">
        <f>Table3334567891012112122232425272829303132343637[[#This Row],[Our panel]]+Table33345678910121121222324252728293031323436[[#This Row],[MTD Panel]]</f>
        <v>765.75000000000011</v>
      </c>
      <c r="H18" s="13">
        <f>Table3334567891012112122232425272829303132343637[[#This Row],[Company Panel]]-Table3334567891012112122232425272829303132343637[[#This Row],[Our panel]]</f>
        <v>0</v>
      </c>
      <c r="I18" s="13">
        <f>Table3334567891012112122232425272829303132343637[[#This Row],[MTD Company]]-Table3334567891012112122232425272829303132343637[[#This Row],[MTD Panel]]</f>
        <v>0</v>
      </c>
    </row>
    <row r="19" spans="1:9">
      <c r="A19" s="11" t="str">
        <f>Table333456789101217[[#This Row],[Carrier]]</f>
        <v>Ember</v>
      </c>
      <c r="B19" s="5" t="str">
        <f>Table333456789101217[[#This Row],[IP]]</f>
        <v>78.34.90.24/328.56.122.44/142.150.75.22</v>
      </c>
      <c r="C19" s="6" t="str">
        <f>Table333456789101217[[#This Row],[Carrier Code]]</f>
        <v>EM</v>
      </c>
      <c r="D19" s="53">
        <v>0</v>
      </c>
      <c r="E19" s="53">
        <v>0</v>
      </c>
      <c r="F19" s="18">
        <f>Table3334567891012112122232425272829303132343637[[#This Row],[Company Panel]]+Table33345678910121121222324252728293031323436[[#This Row],[MTD Company]]</f>
        <v>1.1499999999999999</v>
      </c>
      <c r="G19" s="18">
        <f>Table3334567891012112122232425272829303132343637[[#This Row],[Our panel]]+Table33345678910121121222324252728293031323436[[#This Row],[MTD Panel]]</f>
        <v>1.1499999999999999</v>
      </c>
      <c r="H19" s="13">
        <f>Table3334567891012112122232425272829303132343637[[#This Row],[Company Panel]]-Table3334567891012112122232425272829303132343637[[#This Row],[Our panel]]</f>
        <v>0</v>
      </c>
      <c r="I19" s="13">
        <f>Table3334567891012112122232425272829303132343637[[#This Row],[MTD Company]]-Table3334567891012112122232425272829303132343637[[#This Row],[MTD Panel]]</f>
        <v>0</v>
      </c>
    </row>
    <row r="20" spans="1:9">
      <c r="A20" s="11" t="str">
        <f>Table333456789101217[[#This Row],[Carrier]]</f>
        <v>Specter</v>
      </c>
      <c r="B20" s="5" t="str">
        <f>Table333456789101217[[#This Row],[IP]]</f>
        <v>205.60.34.150</v>
      </c>
      <c r="C20" s="6" t="str">
        <f>Table333456789101217[[#This Row],[Carrier Code]]</f>
        <v>SP</v>
      </c>
      <c r="D20" s="53">
        <v>0.66666666666666663</v>
      </c>
      <c r="E20" s="53">
        <v>0.66666666666666663</v>
      </c>
      <c r="F20" s="18">
        <f>Table3334567891012112122232425272829303132343637[[#This Row],[Company Panel]]+Table33345678910121121222324252728293031323436[[#This Row],[MTD Company]]</f>
        <v>54.400000000000006</v>
      </c>
      <c r="G20" s="18">
        <f>Table3334567891012112122232425272829303132343637[[#This Row],[Our panel]]+Table33345678910121121222324252728293031323436[[#This Row],[MTD Panel]]</f>
        <v>54.400000000000006</v>
      </c>
      <c r="H20" s="13">
        <f>Table3334567891012112122232425272829303132343637[[#This Row],[Company Panel]]-Table3334567891012112122232425272829303132343637[[#This Row],[Our panel]]</f>
        <v>0</v>
      </c>
      <c r="I20" s="13">
        <f>Table3334567891012112122232425272829303132343637[[#This Row],[MTD Company]]-Table3334567891012112122232425272829303132343637[[#This Row],[MTD Panel]]</f>
        <v>0</v>
      </c>
    </row>
    <row r="21" spans="1:9">
      <c r="A21" s="11" t="str">
        <f>Table333456789101217[[#This Row],[Carrier]]</f>
        <v>Throne</v>
      </c>
      <c r="B21" s="5" t="str">
        <f>Table333456789101217[[#This Row],[IP]]</f>
        <v>54.32.11.90/27.758.27.201/125.150.58.20</v>
      </c>
      <c r="C21" s="6" t="str">
        <f>Table333456789101217[[#This Row],[Carrier Code]]</f>
        <v>TH</v>
      </c>
      <c r="D21" s="53">
        <v>0</v>
      </c>
      <c r="E21" s="53">
        <v>0</v>
      </c>
      <c r="F21" s="18">
        <f>Table3334567891012112122232425272829303132343637[[#This Row],[Company Panel]]+Table33345678910121121222324252728293031323436[[#This Row],[MTD Company]]</f>
        <v>0</v>
      </c>
      <c r="G21" s="18">
        <f>Table3334567891012112122232425272829303132343637[[#This Row],[Our panel]]+Table33345678910121121222324252728293031323436[[#This Row],[MTD Panel]]</f>
        <v>0</v>
      </c>
      <c r="H21" s="13">
        <f>Table3334567891012112122232425272829303132343637[[#This Row],[Company Panel]]-Table3334567891012112122232425272829303132343637[[#This Row],[Our panel]]</f>
        <v>0</v>
      </c>
      <c r="I21" s="13">
        <f>Table3334567891012112122232425272829303132343637[[#This Row],[MTD Company]]-Table3334567891012112122232425272829303132343637[[#This Row],[MTD Panel]]</f>
        <v>0</v>
      </c>
    </row>
    <row r="22" spans="1:9">
      <c r="A22" s="11" t="str">
        <f>Table333456789101217[[#This Row],[Carrier]]</f>
        <v>Arcane</v>
      </c>
      <c r="B22" s="5" t="str">
        <f>Table333456789101217[[#This Row],[IP]]</f>
        <v>212.100.25.78/212.100.25.87</v>
      </c>
      <c r="C22" s="6" t="str">
        <f>Table333456789101217[[#This Row],[Carrier Code]]</f>
        <v>AR</v>
      </c>
      <c r="D22" s="53">
        <v>0</v>
      </c>
      <c r="E22" s="53">
        <v>0</v>
      </c>
      <c r="F22" s="18">
        <f>Table3334567891012112122232425272829303132343637[[#This Row],[Company Panel]]+Table33345678910121121222324252728293031323436[[#This Row],[MTD Company]]</f>
        <v>3336.0333333333333</v>
      </c>
      <c r="G22" s="18">
        <f>Table3334567891012112122232425272829303132343637[[#This Row],[Our panel]]+Table33345678910121121222324252728293031323436[[#This Row],[MTD Panel]]</f>
        <v>3336.0333333333333</v>
      </c>
      <c r="H22" s="13">
        <f>Table3334567891012112122232425272829303132343637[[#This Row],[Company Panel]]-Table3334567891012112122232425272829303132343637[[#This Row],[Our panel]]</f>
        <v>0</v>
      </c>
      <c r="I22" s="13">
        <f>Table3334567891012112122232425272829303132343637[[#This Row],[MTD Company]]-Table3334567891012112122232425272829303132343637[[#This Row],[MTD Panel]]</f>
        <v>0</v>
      </c>
    </row>
    <row r="23" spans="1:9">
      <c r="A23" s="11" t="str">
        <f>Table333456789101217[[#This Row],[Carrier]]</f>
        <v>Glitch</v>
      </c>
      <c r="B23" s="5" t="str">
        <f>Table333456789101217[[#This Row],[IP]]</f>
        <v>198.204.100.12/198.204.100.34/198.204.100.51</v>
      </c>
      <c r="C23" s="6" t="str">
        <f>Table333456789101217[[#This Row],[Carrier Code]]</f>
        <v>GL</v>
      </c>
      <c r="D23" s="53">
        <v>0</v>
      </c>
      <c r="E23" s="53">
        <v>0</v>
      </c>
      <c r="F23" s="18">
        <f>Table3334567891012112122232425272829303132343637[[#This Row],[Company Panel]]+Table33345678910121121222324252728293031323436[[#This Row],[MTD Company]]</f>
        <v>0</v>
      </c>
      <c r="G23" s="18">
        <f>Table3334567891012112122232425272829303132343637[[#This Row],[Our panel]]+Table33345678910121121222324252728293031323436[[#This Row],[MTD Panel]]</f>
        <v>0</v>
      </c>
      <c r="H23" s="13">
        <f>Table3334567891012112122232425272829303132343637[[#This Row],[Company Panel]]-Table3334567891012112122232425272829303132343637[[#This Row],[Our panel]]</f>
        <v>0</v>
      </c>
      <c r="I23" s="13">
        <f>Table3334567891012112122232425272829303132343637[[#This Row],[MTD Company]]-Table3334567891012112122232425272829303132343637[[#This Row],[MTD Panel]]</f>
        <v>0</v>
      </c>
    </row>
    <row r="24" spans="1:9">
      <c r="A24" s="11" t="str">
        <f>Table333456789101217[[#This Row],[Carrier]]</f>
        <v>Nitro</v>
      </c>
      <c r="B24" s="5" t="str">
        <f>Table333456789101217[[#This Row],[IP]]</f>
        <v>15.150.200.33/119.82.200.100</v>
      </c>
      <c r="C24" s="6" t="str">
        <f>Table333456789101217[[#This Row],[Carrier Code]]</f>
        <v>NI</v>
      </c>
      <c r="D24" s="53">
        <v>0</v>
      </c>
      <c r="E24" s="53">
        <v>0</v>
      </c>
      <c r="F24" s="18">
        <f>Table3334567891012112122232425272829303132343637[[#This Row],[Company Panel]]+Table33345678910121121222324252728293031323436[[#This Row],[MTD Company]]</f>
        <v>0</v>
      </c>
      <c r="G24" s="18">
        <f>Table3334567891012112122232425272829303132343637[[#This Row],[Our panel]]+Table33345678910121121222324252728293031323436[[#This Row],[MTD Panel]]</f>
        <v>0</v>
      </c>
      <c r="H24" s="13">
        <f>Table3334567891012112122232425272829303132343637[[#This Row],[Company Panel]]-Table3334567891012112122232425272829303132343637[[#This Row],[Our panel]]</f>
        <v>0</v>
      </c>
      <c r="I24" s="13">
        <f>Table3334567891012112122232425272829303132343637[[#This Row],[MTD Company]]-Table3334567891012112122232425272829303132343637[[#This Row],[MTD Panel]]</f>
        <v>0</v>
      </c>
    </row>
    <row r="25" spans="1:9">
      <c r="A25" s="11" t="str">
        <f>Table333456789101217[[#This Row],[Carrier]]</f>
        <v>Drip</v>
      </c>
      <c r="B25" s="5" t="str">
        <f>Table333456789101217[[#This Row],[IP]]</f>
        <v>84.13.76.190/90.945.80.11/198.160.234.5</v>
      </c>
      <c r="C25" s="6" t="str">
        <f>Table333456789101217[[#This Row],[Carrier Code]]</f>
        <v>DR</v>
      </c>
      <c r="D25" s="53">
        <v>0</v>
      </c>
      <c r="E25" s="53">
        <v>0</v>
      </c>
      <c r="F25" s="18">
        <f>Table3334567891012112122232425272829303132343637[[#This Row],[Company Panel]]+Table33345678910121121222324252728293031323436[[#This Row],[MTD Company]]</f>
        <v>0</v>
      </c>
      <c r="G25" s="18">
        <f>Table3334567891012112122232425272829303132343637[[#This Row],[Our panel]]+Table33345678910121121222324252728293031323436[[#This Row],[MTD Panel]]</f>
        <v>0</v>
      </c>
      <c r="H25" s="13">
        <f>Table3334567891012112122232425272829303132343637[[#This Row],[Company Panel]]-Table3334567891012112122232425272829303132343637[[#This Row],[Our panel]]</f>
        <v>0</v>
      </c>
      <c r="I25" s="13">
        <f>Table3334567891012112122232425272829303132343637[[#This Row],[MTD Company]]-Table3334567891012112122232425272829303132343637[[#This Row],[MTD Panel]]</f>
        <v>0</v>
      </c>
    </row>
    <row r="26" spans="1:9">
      <c r="A26" s="11" t="str">
        <f>Table333456789101217[[#This Row],[Carrier]]</f>
        <v>Glide</v>
      </c>
      <c r="B26" s="5" t="str">
        <f>Table333456789101217[[#This Row],[IP]]</f>
        <v>120.45.12.25/85.739.221.80/85.739.221.93</v>
      </c>
      <c r="C26" s="6" t="str">
        <f>Table333456789101217[[#This Row],[Carrier Code]]</f>
        <v>GI</v>
      </c>
      <c r="D26" s="53">
        <v>0</v>
      </c>
      <c r="E26" s="53">
        <v>0</v>
      </c>
      <c r="F26" s="18">
        <f>Table3334567891012112122232425272829303132343637[[#This Row],[Company Panel]]+Table33345678910121121222324252728293031323436[[#This Row],[MTD Company]]</f>
        <v>0</v>
      </c>
      <c r="G26" s="18">
        <f>Table3334567891012112122232425272829303132343637[[#This Row],[Our panel]]+Table33345678910121121222324252728293031323436[[#This Row],[MTD Panel]]</f>
        <v>0</v>
      </c>
      <c r="H26" s="13">
        <f>Table3334567891012112122232425272829303132343637[[#This Row],[Company Panel]]-Table3334567891012112122232425272829303132343637[[#This Row],[Our panel]]</f>
        <v>0</v>
      </c>
      <c r="I26" s="13">
        <f>Table3334567891012112122232425272829303132343637[[#This Row],[MTD Company]]-Table3334567891012112122232425272829303132343637[[#This Row],[MTD Panel]]</f>
        <v>0</v>
      </c>
    </row>
    <row r="27" spans="1:9">
      <c r="A27" s="11" t="str">
        <f>Table333456789101217[[#This Row],[Carrier]]</f>
        <v>Orbit</v>
      </c>
      <c r="B27" s="5" t="str">
        <f>Table333456789101217[[#This Row],[IP]]</f>
        <v>176.98.54.112/60.110.154.91/60.110.155.162</v>
      </c>
      <c r="C27" s="6" t="str">
        <f>Table333456789101217[[#This Row],[Carrier Code]]</f>
        <v>OR</v>
      </c>
      <c r="D27" s="53">
        <v>0</v>
      </c>
      <c r="E27" s="53">
        <v>0</v>
      </c>
      <c r="F27" s="18">
        <f>Table3334567891012112122232425272829303132343637[[#This Row],[Company Panel]]+Table33345678910121121222324252728293031323436[[#This Row],[MTD Company]]</f>
        <v>0</v>
      </c>
      <c r="G27" s="18">
        <f>Table3334567891012112122232425272829303132343637[[#This Row],[Our panel]]+Table33345678910121121222324252728293031323436[[#This Row],[MTD Panel]]</f>
        <v>0</v>
      </c>
      <c r="H27" s="13">
        <f>Table3334567891012112122232425272829303132343637[[#This Row],[Company Panel]]-Table3334567891012112122232425272829303132343637[[#This Row],[Our panel]]</f>
        <v>0</v>
      </c>
      <c r="I27" s="13">
        <f>Table3334567891012112122232425272829303132343637[[#This Row],[MTD Company]]-Table3334567891012112122232425272829303132343637[[#This Row],[MTD Panel]]</f>
        <v>0</v>
      </c>
    </row>
    <row r="28" spans="1:9">
      <c r="A28" s="11" t="str">
        <f>Table333456789101217[[#This Row],[Carrier]]</f>
        <v>Thunder</v>
      </c>
      <c r="B28" s="5" t="str">
        <f>Table333456789101217[[#This Row],[IP]]</f>
        <v>67.102.200.9/81.905.48.847/143.235.100.34</v>
      </c>
      <c r="C28" s="6" t="str">
        <f>Table333456789101217[[#This Row],[Carrier Code]]</f>
        <v>TU</v>
      </c>
      <c r="D28" s="53">
        <v>18.866666666666667</v>
      </c>
      <c r="E28" s="53">
        <v>18.866666666666667</v>
      </c>
      <c r="F28" s="18">
        <f>Table3334567891012112122232425272829303132343637[[#This Row],[Company Panel]]+Table33345678910121121222324252728293031323436[[#This Row],[MTD Company]]</f>
        <v>772.94999999999982</v>
      </c>
      <c r="G28" s="18">
        <f>Table3334567891012112122232425272829303132343637[[#This Row],[Our panel]]+Table33345678910121121222324252728293031323436[[#This Row],[MTD Panel]]</f>
        <v>772.94999999999982</v>
      </c>
      <c r="H28" s="13">
        <f>Table3334567891012112122232425272829303132343637[[#This Row],[Company Panel]]-Table3334567891012112122232425272829303132343637[[#This Row],[Our panel]]</f>
        <v>0</v>
      </c>
      <c r="I28" s="13">
        <f>Table3334567891012112122232425272829303132343637[[#This Row],[MTD Company]]-Table3334567891012112122232425272829303132343637[[#This Row],[MTD Panel]]</f>
        <v>0</v>
      </c>
    </row>
    <row r="29" spans="1:9">
      <c r="A29" s="11" t="str">
        <f>Table333456789101217[[#This Row],[Carrier]]</f>
        <v>Glimmer</v>
      </c>
      <c r="B29" s="5" t="str">
        <f>Table333456789101217[[#This Row],[IP]]</f>
        <v>99.22.211.100/71.54.85.344/71.54.85.218</v>
      </c>
      <c r="C29" s="6" t="str">
        <f>Table333456789101217[[#This Row],[Carrier Code]]</f>
        <v>GM</v>
      </c>
      <c r="D29" s="53">
        <v>0</v>
      </c>
      <c r="E29" s="53">
        <v>0</v>
      </c>
      <c r="F29" s="18">
        <f>Table3334567891012112122232425272829303132343637[[#This Row],[Company Panel]]+Table33345678910121121222324252728293031323436[[#This Row],[MTD Company]]</f>
        <v>0</v>
      </c>
      <c r="G29" s="18">
        <f>Table3334567891012112122232425272829303132343637[[#This Row],[Our panel]]+Table33345678910121121222324252728293031323436[[#This Row],[MTD Panel]]</f>
        <v>0</v>
      </c>
      <c r="H29" s="13">
        <f>Table3334567891012112122232425272829303132343637[[#This Row],[Company Panel]]-Table3334567891012112122232425272829303132343637[[#This Row],[Our panel]]</f>
        <v>0</v>
      </c>
      <c r="I29" s="13">
        <f>Table3334567891012112122232425272829303132343637[[#This Row],[MTD Company]]-Table3334567891012112122232425272829303132343637[[#This Row],[MTD Panel]]</f>
        <v>0</v>
      </c>
    </row>
    <row r="30" spans="1:9">
      <c r="A30" s="11" t="str">
        <f>Table333456789101217[[#This Row],[Carrier]]</f>
        <v>Fragment</v>
      </c>
      <c r="B30" s="5" t="str">
        <f>Table333456789101217[[#This Row],[IP]]</f>
        <v>203.0.113.56/195.56.101.10</v>
      </c>
      <c r="C30" s="6" t="str">
        <f>Table333456789101217[[#This Row],[Carrier Code]]</f>
        <v>FR</v>
      </c>
      <c r="D30" s="53">
        <v>0</v>
      </c>
      <c r="E30" s="53">
        <v>0</v>
      </c>
      <c r="F30" s="18">
        <f>Table3334567891012112122232425272829303132343637[[#This Row],[Company Panel]]+Table33345678910121121222324252728293031323436[[#This Row],[MTD Company]]</f>
        <v>0</v>
      </c>
      <c r="G30" s="18">
        <f>Table3334567891012112122232425272829303132343637[[#This Row],[Our panel]]+Table33345678910121121222324252728293031323436[[#This Row],[MTD Panel]]</f>
        <v>0</v>
      </c>
      <c r="H30" s="13">
        <f>Table3334567891012112122232425272829303132343637[[#This Row],[Company Panel]]-Table3334567891012112122232425272829303132343637[[#This Row],[Our panel]]</f>
        <v>0</v>
      </c>
      <c r="I30" s="13">
        <f>Table3334567891012112122232425272829303132343637[[#This Row],[MTD Company]]-Table3334567891012112122232425272829303132343637[[#This Row],[MTD Panel]]</f>
        <v>0</v>
      </c>
    </row>
    <row r="31" spans="1:9">
      <c r="A31" s="11" t="str">
        <f>Table333456789101217[[#This Row],[Carrier]]</f>
        <v>Dusk</v>
      </c>
      <c r="B31" s="5" t="str">
        <f>Table333456789101217[[#This Row],[IP]]</f>
        <v>33.44.55.66/33.44.55.84/33.44.55.122/214.68.90.122</v>
      </c>
      <c r="C31" s="6" t="str">
        <f>Table333456789101217[[#This Row],[Carrier Code]]</f>
        <v>DK</v>
      </c>
      <c r="D31" s="53">
        <v>0</v>
      </c>
      <c r="E31" s="53">
        <v>0</v>
      </c>
      <c r="F31" s="18">
        <f>Table3334567891012112122232425272829303132343637[[#This Row],[Company Panel]]+Table33345678910121121222324252728293031323436[[#This Row],[MTD Company]]</f>
        <v>0</v>
      </c>
      <c r="G31" s="18">
        <f>Table3334567891012112122232425272829303132343637[[#This Row],[Our panel]]+Table33345678910121121222324252728293031323436[[#This Row],[MTD Panel]]</f>
        <v>0</v>
      </c>
      <c r="H31" s="13">
        <f>Table3334567891012112122232425272829303132343637[[#This Row],[Company Panel]]-Table3334567891012112122232425272829303132343637[[#This Row],[Our panel]]</f>
        <v>0</v>
      </c>
      <c r="I31" s="13">
        <f>Table3334567891012112122232425272829303132343637[[#This Row],[MTD Company]]-Table3334567891012112122232425272829303132343637[[#This Row],[MTD Panel]]</f>
        <v>0</v>
      </c>
    </row>
    <row r="32" spans="1:9">
      <c r="A32" s="11" t="str">
        <f>Table333456789101217[[#This Row],[Carrier]]</f>
        <v>Breeze</v>
      </c>
      <c r="B32" s="5" t="str">
        <f>Table333456789101217[[#This Row],[IP]]</f>
        <v>199.123.87.45/199.123.34.52/77.189.22.56</v>
      </c>
      <c r="C32" s="6" t="str">
        <f>Table333456789101217[[#This Row],[Carrier Code]]</f>
        <v>BR</v>
      </c>
      <c r="D32" s="53">
        <v>0</v>
      </c>
      <c r="E32" s="53">
        <v>0</v>
      </c>
      <c r="F32" s="18">
        <f>Table3334567891012112122232425272829303132343637[[#This Row],[Company Panel]]+Table33345678910121121222324252728293031323436[[#This Row],[MTD Company]]</f>
        <v>0</v>
      </c>
      <c r="G32" s="18">
        <f>Table3334567891012112122232425272829303132343637[[#This Row],[Our panel]]+Table33345678910121121222324252728293031323436[[#This Row],[MTD Panel]]</f>
        <v>0</v>
      </c>
      <c r="H32" s="13">
        <f>Table3334567891012112122232425272829303132343637[[#This Row],[Company Panel]]-Table3334567891012112122232425272829303132343637[[#This Row],[Our panel]]</f>
        <v>0</v>
      </c>
      <c r="I32" s="13">
        <f>Table3334567891012112122232425272829303132343637[[#This Row],[MTD Company]]-Table3334567891012112122232425272829303132343637[[#This Row],[MTD Panel]]</f>
        <v>0</v>
      </c>
    </row>
    <row r="33" spans="1:9">
      <c r="A33" s="11" t="str">
        <f>Table333456789101217[[#This Row],[Carrier]]</f>
        <v>Clutch</v>
      </c>
      <c r="B33" s="5" t="str">
        <f>Table333456789101217[[#This Row],[IP]]</f>
        <v>55.66.77.88/84.126.79.28/152.233.45.11</v>
      </c>
      <c r="C33" s="6" t="str">
        <f>Table333456789101217[[#This Row],[Carrier Code]]</f>
        <v>CL</v>
      </c>
      <c r="D33" s="53">
        <v>0</v>
      </c>
      <c r="E33" s="53">
        <v>0</v>
      </c>
      <c r="F33" s="18">
        <f>Table3334567891012112122232425272829303132343637[[#This Row],[Company Panel]]+Table33345678910121121222324252728293031323436[[#This Row],[MTD Company]]</f>
        <v>0</v>
      </c>
      <c r="G33" s="18">
        <f>Table3334567891012112122232425272829303132343637[[#This Row],[Our panel]]+Table33345678910121121222324252728293031323436[[#This Row],[MTD Panel]]</f>
        <v>0</v>
      </c>
      <c r="H33" s="13">
        <f>Table3334567891012112122232425272829303132343637[[#This Row],[Company Panel]]-Table3334567891012112122232425272829303132343637[[#This Row],[Our panel]]</f>
        <v>0</v>
      </c>
      <c r="I33" s="13">
        <f>Table3334567891012112122232425272829303132343637[[#This Row],[MTD Company]]-Table3334567891012112122232425272829303132343637[[#This Row],[MTD Panel]]</f>
        <v>0</v>
      </c>
    </row>
    <row r="34" spans="1:9">
      <c r="A34" s="11" t="str">
        <f>Table333456789101217[[#This Row],[Carrier]]</f>
        <v>Haze</v>
      </c>
      <c r="B34" s="5" t="str">
        <f>Table333456789101217[[#This Row],[IP]]</f>
        <v>230.111.44.56</v>
      </c>
      <c r="C34" s="6" t="str">
        <f>Table333456789101217[[#This Row],[Carrier Code]]</f>
        <v>HZ</v>
      </c>
      <c r="D34" s="53">
        <v>4422.05</v>
      </c>
      <c r="E34" s="53">
        <v>4422.05</v>
      </c>
      <c r="F34" s="18">
        <f>Table3334567891012112122232425272829303132343637[[#This Row],[Company Panel]]+Table33345678910121121222324252728293031323436[[#This Row],[MTD Company]]</f>
        <v>50543.883333333339</v>
      </c>
      <c r="G34" s="18">
        <f>Table3334567891012112122232425272829303132343637[[#This Row],[Our panel]]+Table33345678910121121222324252728293031323436[[#This Row],[MTD Panel]]</f>
        <v>50543.883333333339</v>
      </c>
      <c r="H34" s="13">
        <f>Table3334567891012112122232425272829303132343637[[#This Row],[Company Panel]]-Table3334567891012112122232425272829303132343637[[#This Row],[Our panel]]</f>
        <v>0</v>
      </c>
      <c r="I34" s="13">
        <f>Table3334567891012112122232425272829303132343637[[#This Row],[MTD Company]]-Table3334567891012112122232425272829303132343637[[#This Row],[MTD Panel]]</f>
        <v>0</v>
      </c>
    </row>
    <row r="35" spans="1:9">
      <c r="A35" s="11" t="str">
        <f>Table333456789101217[[#This Row],[Carrier]]</f>
        <v>Vault</v>
      </c>
      <c r="B35" s="5" t="str">
        <f>Table333456789101217[[#This Row],[IP]]</f>
        <v>213.189.94.5/213.189.94.7/111.180.64.222</v>
      </c>
      <c r="C35" s="6" t="str">
        <f>Table333456789101217[[#This Row],[Carrier Code]]</f>
        <v>VA</v>
      </c>
      <c r="D35" s="53">
        <v>0</v>
      </c>
      <c r="E35" s="53">
        <v>0</v>
      </c>
      <c r="F35" s="18">
        <f>Table3334567891012112122232425272829303132343637[[#This Row],[Company Panel]]+Table33345678910121121222324252728293031323436[[#This Row],[MTD Company]]</f>
        <v>0</v>
      </c>
      <c r="G35" s="18">
        <f>Table3334567891012112122232425272829303132343637[[#This Row],[Our panel]]+Table33345678910121121222324252728293031323436[[#This Row],[MTD Panel]]</f>
        <v>0</v>
      </c>
      <c r="H35" s="13">
        <f>Table3334567891012112122232425272829303132343637[[#This Row],[Company Panel]]-Table3334567891012112122232425272829303132343637[[#This Row],[Our panel]]</f>
        <v>0</v>
      </c>
      <c r="I35" s="13">
        <f>Table3334567891012112122232425272829303132343637[[#This Row],[MTD Company]]-Table3334567891012112122232425272829303132343637[[#This Row],[MTD Panel]]</f>
        <v>0</v>
      </c>
    </row>
    <row r="36" spans="1:9">
      <c r="A36" s="11" t="str">
        <f>Table333456789101217[[#This Row],[Carrier]]</f>
        <v>Scatter</v>
      </c>
      <c r="B36" s="5" t="str">
        <f>Table333456789101217[[#This Row],[IP]]</f>
        <v>14.123.45.67/168.251.90.15</v>
      </c>
      <c r="C36" s="6" t="str">
        <f>Table333456789101217[[#This Row],[Carrier Code]]</f>
        <v>SC</v>
      </c>
      <c r="D36" s="53">
        <v>12.35</v>
      </c>
      <c r="E36" s="53">
        <v>12.35</v>
      </c>
      <c r="F36" s="18">
        <f>Table3334567891012112122232425272829303132343637[[#This Row],[Company Panel]]+Table33345678910121121222324252728293031323436[[#This Row],[MTD Company]]</f>
        <v>1864.0666666666666</v>
      </c>
      <c r="G36" s="18">
        <f>Table3334567891012112122232425272829303132343637[[#This Row],[Our panel]]+Table33345678910121121222324252728293031323436[[#This Row],[MTD Panel]]</f>
        <v>1864.0666666666666</v>
      </c>
      <c r="H36" s="13">
        <f>Table3334567891012112122232425272829303132343637[[#This Row],[Company Panel]]-Table3334567891012112122232425272829303132343637[[#This Row],[Our panel]]</f>
        <v>0</v>
      </c>
      <c r="I36" s="13">
        <f>Table3334567891012112122232425272829303132343637[[#This Row],[MTD Company]]-Table3334567891012112122232425272829303132343637[[#This Row],[MTD Panel]]</f>
        <v>0</v>
      </c>
    </row>
    <row r="37" spans="1:9">
      <c r="A37" s="11" t="str">
        <f>Table333456789101217[[#This Row],[Carrier]]</f>
        <v>Hammer</v>
      </c>
      <c r="B37" s="5" t="str">
        <f>Table333456789101217[[#This Row],[IP]]</f>
        <v>200.111.78.9/200.111.236.62/200.111.823.89/137.79.48.56</v>
      </c>
      <c r="C37" s="6" t="str">
        <f>Table333456789101217[[#This Row],[Carrier Code]]</f>
        <v>HA</v>
      </c>
      <c r="D37" s="53">
        <v>0</v>
      </c>
      <c r="E37" s="53">
        <v>0</v>
      </c>
      <c r="F37" s="18">
        <f>Table3334567891012112122232425272829303132343637[[#This Row],[Company Panel]]+Table33345678910121121222324252728293031323436[[#This Row],[MTD Company]]</f>
        <v>0</v>
      </c>
      <c r="G37" s="18">
        <f>Table3334567891012112122232425272829303132343637[[#This Row],[Our panel]]+Table33345678910121121222324252728293031323436[[#This Row],[MTD Panel]]</f>
        <v>0</v>
      </c>
      <c r="H37" s="72">
        <f>Table3334567891012112122232425272829303132343637[[#This Row],[Company Panel]]-Table3334567891012112122232425272829303132343637[[#This Row],[Our panel]]</f>
        <v>0</v>
      </c>
      <c r="I37" s="72">
        <f>Table3334567891012112122232425272829303132343637[[#This Row],[MTD Company]]-Table3334567891012112122232425272829303132343637[[#This Row],[MTD Panel]]</f>
        <v>0</v>
      </c>
    </row>
    <row r="38" spans="1:9">
      <c r="A38" s="11" t="str">
        <f>Table333456789101217[[#This Row],[Carrier]]</f>
        <v>Smudge</v>
      </c>
      <c r="B38" s="5" t="str">
        <f>Table333456789101217[[#This Row],[IP]]</f>
        <v>88.99.233.56/54.71.99.234</v>
      </c>
      <c r="C38" s="6" t="str">
        <f>Table333456789101217[[#This Row],[Carrier Code]]</f>
        <v>SM</v>
      </c>
      <c r="D38" s="53">
        <v>4516.7666666666664</v>
      </c>
      <c r="E38" s="53">
        <v>4516.7666666666664</v>
      </c>
      <c r="F38" s="18">
        <f>Table3334567891012112122232425272829303132343637[[#This Row],[Company Panel]]+Table33345678910121121222324252728293031323436[[#This Row],[MTD Company]]</f>
        <v>9899.8499999999985</v>
      </c>
      <c r="G38" s="18">
        <f>Table3334567891012112122232425272829303132343637[[#This Row],[Our panel]]+Table33345678910121121222324252728293031323436[[#This Row],[MTD Panel]]</f>
        <v>9899.8499999999985</v>
      </c>
      <c r="H38" s="72">
        <f>Table3334567891012112122232425272829303132343637[[#This Row],[Company Panel]]-Table3334567891012112122232425272829303132343637[[#This Row],[Our panel]]</f>
        <v>0</v>
      </c>
      <c r="I38" s="72">
        <f>Table3334567891012112122232425272829303132343637[[#This Row],[MTD Company]]-Table3334567891012112122232425272829303132343637[[#This Row],[MTD Panel]]</f>
        <v>0</v>
      </c>
    </row>
    <row r="39" spans="1:9">
      <c r="A39" s="11" t="str">
        <f>Table333456789101217[[#This Row],[Carrier]]</f>
        <v>Quirk</v>
      </c>
      <c r="B39" s="5" t="str">
        <f>Table333456789101217[[#This Row],[IP]]</f>
        <v>62.45.100.31/62.45.100.15/62.45.100.65/211.95.102.6</v>
      </c>
      <c r="C39" s="6" t="str">
        <f>Table333456789101217[[#This Row],[Carrier Code]]</f>
        <v>QU</v>
      </c>
      <c r="D39" s="53">
        <v>1066.3499999999999</v>
      </c>
      <c r="E39" s="53">
        <v>1066.3499999999999</v>
      </c>
      <c r="F39" s="18">
        <f>Table3334567891012112122232425272829303132343637[[#This Row],[Company Panel]]+Table33345678910121121222324252728293031323436[[#This Row],[MTD Company]]</f>
        <v>46007.266666666663</v>
      </c>
      <c r="G39" s="18">
        <f>Table3334567891012112122232425272829303132343637[[#This Row],[Our panel]]+Table33345678910121121222324252728293031323436[[#This Row],[MTD Panel]]</f>
        <v>46007.266666666663</v>
      </c>
      <c r="H39" s="72">
        <f>Table3334567891012112122232425272829303132343637[[#This Row],[Company Panel]]-Table3334567891012112122232425272829303132343637[[#This Row],[Our panel]]</f>
        <v>0</v>
      </c>
      <c r="I39" s="72">
        <f>Table3334567891012112122232425272829303132343637[[#This Row],[MTD Company]]-Table3334567891012112122232425272829303132343637[[#This Row],[MTD Panel]]</f>
        <v>0</v>
      </c>
    </row>
    <row r="40" spans="1:9">
      <c r="A40" s="11" t="str">
        <f>Table333456789101217[[#This Row],[Carrier]]</f>
        <v>Vortex</v>
      </c>
      <c r="B40" s="5" t="str">
        <f>Table333456789101217[[#This Row],[IP]]</f>
        <v>179.250.91.8/29.540.67.457/94.25.34.78/183.144.27.18</v>
      </c>
      <c r="C40" s="6" t="str">
        <f>Table333456789101217[[#This Row],[Carrier Code]]</f>
        <v>VT</v>
      </c>
      <c r="D40" s="53">
        <v>2.9333333333333331</v>
      </c>
      <c r="E40" s="53">
        <v>2.9333333333333331</v>
      </c>
      <c r="F40" s="18">
        <f>Table3334567891012112122232425272829303132343637[[#This Row],[Company Panel]]+Table33345678910121121222324252728293031323436[[#This Row],[MTD Company]]</f>
        <v>8.0499999999999989</v>
      </c>
      <c r="G40" s="18">
        <f>Table3334567891012112122232425272829303132343637[[#This Row],[Our panel]]+Table33345678910121121222324252728293031323436[[#This Row],[MTD Panel]]</f>
        <v>8.0499999999999989</v>
      </c>
      <c r="H40" s="72">
        <f>Table3334567891012112122232425272829303132343637[[#This Row],[Company Panel]]-Table3334567891012112122232425272829303132343637[[#This Row],[Our panel]]</f>
        <v>0</v>
      </c>
      <c r="I40" s="72">
        <f>Table3334567891012112122232425272829303132343637[[#This Row],[MTD Company]]-Table3334567891012112122232425272829303132343637[[#This Row],[MTD Panel]]</f>
        <v>0</v>
      </c>
    </row>
    <row r="41" spans="1:9">
      <c r="A41" s="11" t="str">
        <f>Table333456789101217[[#This Row],[Carrier]]</f>
        <v>Void</v>
      </c>
      <c r="B41" s="5" t="str">
        <f>Table333456789101217[[#This Row],[IP]]</f>
        <v>156.34.123.11/156.34.123.25/156.34.123.62/92.44.233.110</v>
      </c>
      <c r="C41" s="6" t="str">
        <f>Table333456789101217[[#This Row],[Carrier Code]]</f>
        <v>VO</v>
      </c>
      <c r="D41" s="53">
        <v>25.033333333333335</v>
      </c>
      <c r="E41" s="53">
        <v>25.033333333333335</v>
      </c>
      <c r="F41" s="18">
        <f>Table3334567891012112122232425272829303132343637[[#This Row],[Company Panel]]+Table33345678910121121222324252728293031323436[[#This Row],[MTD Company]]</f>
        <v>1163.8</v>
      </c>
      <c r="G41" s="18">
        <f>Table3334567891012112122232425272829303132343637[[#This Row],[Our panel]]+Table33345678910121121222324252728293031323436[[#This Row],[MTD Panel]]</f>
        <v>1163.8</v>
      </c>
      <c r="H41" s="72">
        <f>Table3334567891012112122232425272829303132343637[[#This Row],[Company Panel]]-Table3334567891012112122232425272829303132343637[[#This Row],[Our panel]]</f>
        <v>0</v>
      </c>
      <c r="I41" s="72">
        <f>Table3334567891012112122232425272829303132343637[[#This Row],[MTD Company]]-Table3334567891012112122232425272829303132343637[[#This Row],[MTD Panel]]</f>
        <v>0</v>
      </c>
    </row>
    <row r="42" spans="1:9">
      <c r="A42" s="11" t="str">
        <f>Table333456789101217[[#This Row],[Carrier]]</f>
        <v>Midnight</v>
      </c>
      <c r="B42" s="5" t="str">
        <f>Table333456789101217[[#This Row],[IP]]</f>
        <v>134.77.22.4/23.97.150.8</v>
      </c>
      <c r="C42" s="6" t="str">
        <f>Table333456789101217[[#This Row],[Carrier Code]]</f>
        <v>MI</v>
      </c>
      <c r="D42" s="53">
        <v>1037.3166666666666</v>
      </c>
      <c r="E42" s="53">
        <v>1037.3166666666666</v>
      </c>
      <c r="F42" s="18">
        <f>Table3334567891012112122232425272829303132343637[[#This Row],[Company Panel]]+Table33345678910121121222324252728293031323436[[#This Row],[MTD Company]]</f>
        <v>9365.9833333333336</v>
      </c>
      <c r="G42" s="18">
        <f>Table3334567891012112122232425272829303132343637[[#This Row],[Our panel]]+Table33345678910121121222324252728293031323436[[#This Row],[MTD Panel]]</f>
        <v>9365.9833333333336</v>
      </c>
      <c r="H42" s="72">
        <f>Table3334567891012112122232425272829303132343637[[#This Row],[Company Panel]]-Table3334567891012112122232425272829303132343637[[#This Row],[Our panel]]</f>
        <v>0</v>
      </c>
      <c r="I42" s="72">
        <f>Table3334567891012112122232425272829303132343637[[#This Row],[MTD Company]]-Table3334567891012112122232425272829303132343637[[#This Row],[MTD Panel]]</f>
        <v>0</v>
      </c>
    </row>
    <row r="43" spans="1:9">
      <c r="A43" s="11" t="str">
        <f>Table333456789101217[[#This Row],[Carrier]]</f>
        <v>Autumn</v>
      </c>
      <c r="B43" s="5" t="str">
        <f>Table333456789101217[[#This Row],[IP]]</f>
        <v>202.54.210.88/12.331.94.73/64.19.28.175</v>
      </c>
      <c r="C43" s="6" t="str">
        <f>Table333456789101217[[#This Row],[Carrier Code]]</f>
        <v>AU</v>
      </c>
      <c r="D43" s="53">
        <v>0.48333333333333334</v>
      </c>
      <c r="E43" s="53">
        <v>0.48333333333333334</v>
      </c>
      <c r="F43" s="18">
        <f>Table3334567891012112122232425272829303132343637[[#This Row],[Company Panel]]+Table33345678910121121222324252728293031323436[[#This Row],[MTD Company]]</f>
        <v>276.11666666666667</v>
      </c>
      <c r="G43" s="18">
        <f>Table3334567891012112122232425272829303132343637[[#This Row],[Our panel]]+Table33345678910121121222324252728293031323436[[#This Row],[MTD Panel]]</f>
        <v>276.11666666666667</v>
      </c>
      <c r="H43" s="72">
        <f>Table3334567891012112122232425272829303132343637[[#This Row],[Company Panel]]-Table3334567891012112122232425272829303132343637[[#This Row],[Our panel]]</f>
        <v>0</v>
      </c>
      <c r="I43" s="72">
        <f>Table3334567891012112122232425272829303132343637[[#This Row],[MTD Company]]-Table3334567891012112122232425272829303132343637[[#This Row],[MTD Panel]]</f>
        <v>0</v>
      </c>
    </row>
    <row r="44" spans="1:9">
      <c r="A44" s="11" t="str">
        <f>Table333456789101217[[#This Row],[Carrier]]</f>
        <v>Mystic</v>
      </c>
      <c r="B44" s="5" t="str">
        <f>Table333456789101217[[#This Row],[IP]]</f>
        <v>51.233.21.76/82.115.35.60/82.115.35.85</v>
      </c>
      <c r="C44" s="6" t="str">
        <f>Table333456789101217[[#This Row],[Carrier Code]]</f>
        <v>MY</v>
      </c>
      <c r="D44" s="53">
        <v>0</v>
      </c>
      <c r="E44" s="53">
        <v>0</v>
      </c>
      <c r="F44" s="18">
        <f>Table3334567891012112122232425272829303132343637[[#This Row],[Company Panel]]+Table33345678910121121222324252728293031323436[[#This Row],[MTD Company]]</f>
        <v>0</v>
      </c>
      <c r="G44" s="18">
        <f>Table3334567891012112122232425272829303132343637[[#This Row],[Our panel]]+Table33345678910121121222324252728293031323436[[#This Row],[MTD Panel]]</f>
        <v>0</v>
      </c>
      <c r="H44" s="72">
        <f>Table3334567891012112122232425272829303132343637[[#This Row],[Company Panel]]-Table3334567891012112122232425272829303132343637[[#This Row],[Our panel]]</f>
        <v>0</v>
      </c>
      <c r="I44" s="72">
        <f>Table3334567891012112122232425272829303132343637[[#This Row],[MTD Company]]-Table3334567891012112122232425272829303132343637[[#This Row],[MTD Panel]]</f>
        <v>0</v>
      </c>
    </row>
    <row r="45" spans="1:9">
      <c r="A45" s="11" t="str">
        <f>Table333456789101217[[#This Row],[Carrier]]</f>
        <v>Clover</v>
      </c>
      <c r="B45" s="5" t="str">
        <f>Table333456789101217[[#This Row],[IP]]</f>
        <v>210.150.12.45/84.50.212.66/135.113.88.9</v>
      </c>
      <c r="C45" s="6" t="str">
        <f>Table333456789101217[[#This Row],[Carrier Code]]</f>
        <v>CO</v>
      </c>
      <c r="D45" s="53">
        <v>172.71666666666667</v>
      </c>
      <c r="E45" s="53">
        <v>172.71666666666667</v>
      </c>
      <c r="F45" s="18">
        <f>Table3334567891012112122232425272829303132343637[[#This Row],[Company Panel]]+Table33345678910121121222324252728293031323436[[#This Row],[MTD Company]]</f>
        <v>35906.350000000013</v>
      </c>
      <c r="G45" s="18">
        <f>Table3334567891012112122232425272829303132343637[[#This Row],[Our panel]]+Table33345678910121121222324252728293031323436[[#This Row],[MTD Panel]]</f>
        <v>35906.350000000013</v>
      </c>
      <c r="H45" s="13">
        <f>Table3334567891012112122232425272829303132343637[[#This Row],[Company Panel]]-Table3334567891012112122232425272829303132343637[[#This Row],[Our panel]]</f>
        <v>0</v>
      </c>
      <c r="I45" s="13">
        <f>Table3334567891012112122232425272829303132343637[[#This Row],[MTD Company]]-Table3334567891012112122232425272829303132343637[[#This Row],[MTD Panel]]</f>
        <v>0</v>
      </c>
    </row>
    <row r="46" spans="1:9">
      <c r="A46" s="11" t="str">
        <f>Table333456789101217[[#This Row],[Carrier]]</f>
        <v>Hunter</v>
      </c>
      <c r="B46" s="5" t="str">
        <f>Table333456789101217[[#This Row],[IP]]</f>
        <v>170.199.20.87/13.693.39.280/78.30.123.47</v>
      </c>
      <c r="C46" s="6" t="str">
        <f>Table333456789101217[[#This Row],[Carrier Code]]</f>
        <v>HU</v>
      </c>
      <c r="D46" s="53">
        <v>451.26666666666665</v>
      </c>
      <c r="E46" s="53">
        <v>451.26666666666665</v>
      </c>
      <c r="F46" s="18">
        <f>Table3334567891012112122232425272829303132343637[[#This Row],[Company Panel]]+Table33345678910121121222324252728293031323436[[#This Row],[MTD Company]]</f>
        <v>57969.666666666672</v>
      </c>
      <c r="G46" s="18">
        <f>Table3334567891012112122232425272829303132343637[[#This Row],[Our panel]]+Table33345678910121121222324252728293031323436[[#This Row],[MTD Panel]]</f>
        <v>57969.666666666672</v>
      </c>
      <c r="H46" s="13">
        <f>Table3334567891012112122232425272829303132343637[[#This Row],[Company Panel]]-Table3334567891012112122232425272829303132343637[[#This Row],[Our panel]]</f>
        <v>0</v>
      </c>
      <c r="I46" s="13">
        <f>Table3334567891012112122232425272829303132343637[[#This Row],[MTD Company]]-Table3334567891012112122232425272829303132343637[[#This Row],[MTD Panel]]</f>
        <v>0</v>
      </c>
    </row>
    <row r="47" spans="1:9">
      <c r="A47" s="11" t="str">
        <f>Table333456789101217[[#This Row],[Carrier]]</f>
        <v>Invaded</v>
      </c>
      <c r="B47" s="5" t="str">
        <f>Table333456789101217[[#This Row],[IP]]</f>
        <v>182.67.99.120/80.518.230.410/26.847.95.107/188.12.67.92</v>
      </c>
      <c r="C47" s="6" t="str">
        <f>Table333456789101217[[#This Row],[Carrier Code]]</f>
        <v>ID</v>
      </c>
      <c r="D47" s="7">
        <v>0</v>
      </c>
      <c r="E47" s="7">
        <v>0</v>
      </c>
      <c r="F47" s="18">
        <f>Table3334567891012112122232425272829303132343637[[#This Row],[Company Panel]]+Table33345678910121121222324252728293031323436[[#This Row],[MTD Company]]</f>
        <v>0</v>
      </c>
      <c r="G47" s="18">
        <f>Table3334567891012112122232425272829303132343637[[#This Row],[Our panel]]+Table33345678910121121222324252728293031323436[[#This Row],[MTD Panel]]</f>
        <v>0</v>
      </c>
      <c r="H47" s="13">
        <f>Table3334567891012112122232425272829303132343637[[#This Row],[Company Panel]]-Table3334567891012112122232425272829303132343637[[#This Row],[Our panel]]</f>
        <v>0</v>
      </c>
      <c r="I47" s="13">
        <f>Table3334567891012112122232425272829303132343637[[#This Row],[MTD Company]]-Table3334567891012112122232425272829303132343637[[#This Row],[MTD Panel]]</f>
        <v>0</v>
      </c>
    </row>
    <row r="48" spans="1:9">
      <c r="A48" s="11" t="str">
        <f>Table333456789101217[[#This Row],[Carrier]]</f>
        <v>Delusion</v>
      </c>
      <c r="B48" s="5" t="str">
        <f>Table333456789101217[[#This Row],[IP]]</f>
        <v>198.51.100.72/69.887.74.738/39.153.110.645</v>
      </c>
      <c r="C48" s="6" t="str">
        <f>Table333456789101217[[#This Row],[Carrier Code]]</f>
        <v>DU</v>
      </c>
      <c r="D48" s="7">
        <v>0</v>
      </c>
      <c r="E48" s="7">
        <v>0</v>
      </c>
      <c r="F48" s="18">
        <f>Table3334567891012112122232425272829303132343637[[#This Row],[Company Panel]]+Table33345678910121121222324252728293031323436[[#This Row],[MTD Company]]</f>
        <v>0</v>
      </c>
      <c r="G48" s="18">
        <f>Table3334567891012112122232425272829303132343637[[#This Row],[Our panel]]+Table33345678910121121222324252728293031323436[[#This Row],[MTD Panel]]</f>
        <v>0</v>
      </c>
      <c r="H48" s="13">
        <f>Table3334567891012112122232425272829303132343637[[#This Row],[Company Panel]]-Table3334567891012112122232425272829303132343637[[#This Row],[Our panel]]</f>
        <v>0</v>
      </c>
      <c r="I48" s="13">
        <f>Table3334567891012112122232425272829303132343637[[#This Row],[MTD Company]]-Table3334567891012112122232425272829303132343637[[#This Row],[MTD Panel]]</f>
        <v>0</v>
      </c>
    </row>
    <row r="49" spans="1:9" ht="15.5">
      <c r="A49" s="11" t="str">
        <f>Table333456789101217[[#This Row],[Carrier]]</f>
        <v>Total</v>
      </c>
      <c r="B49" s="14"/>
      <c r="C49" s="15"/>
      <c r="D49" s="16">
        <f>SUM(D3:D48)</f>
        <v>13998.099999999999</v>
      </c>
      <c r="E49" s="16">
        <f t="shared" ref="E49:I49" si="0">SUM(E3:E48)</f>
        <v>13998.099999999999</v>
      </c>
      <c r="F49" s="16">
        <f t="shared" si="0"/>
        <v>315936.24999999994</v>
      </c>
      <c r="G49" s="16">
        <f t="shared" si="0"/>
        <v>315936.24999999994</v>
      </c>
      <c r="H49" s="16">
        <f t="shared" si="0"/>
        <v>0</v>
      </c>
      <c r="I49" s="16">
        <f t="shared" si="0"/>
        <v>0</v>
      </c>
    </row>
  </sheetData>
  <conditionalFormatting sqref="H2:I48">
    <cfRule type="cellIs" dxfId="18" priority="12" operator="lessThan">
      <formula>0</formula>
    </cfRule>
  </conditionalFormatting>
  <conditionalFormatting sqref="I30:I48">
    <cfRule type="cellIs" dxfId="17" priority="11" operator="lessThan">
      <formula>0</formula>
    </cfRule>
  </conditionalFormatting>
  <conditionalFormatting sqref="H3:I48">
    <cfRule type="cellIs" dxfId="16" priority="10" operator="lessThan">
      <formula>0</formula>
    </cfRule>
  </conditionalFormatting>
  <conditionalFormatting sqref="I30:I48">
    <cfRule type="cellIs" dxfId="15" priority="9" operator="lessThan">
      <formula>0</formula>
    </cfRule>
  </conditionalFormatting>
  <conditionalFormatting sqref="I3:I48">
    <cfRule type="cellIs" dxfId="14" priority="1" operator="lessThan">
      <formula>0</formula>
    </cfRule>
    <cfRule type="cellIs" dxfId="13" priority="2" operator="lessThan">
      <formula>0</formula>
    </cfRule>
  </conditionalFormatting>
  <hyperlinks>
    <hyperlink ref="E1" location="H!A1" display="Home"/>
    <hyperlink ref="D1" location="'29'!D1" display="←"/>
    <hyperlink ref="F1" location="'31'!F1" display="→"/>
  </hyperlink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"/>
  <sheetViews>
    <sheetView zoomScaleNormal="100" workbookViewId="0">
      <selection activeCell="D3" sqref="D3"/>
    </sheetView>
  </sheetViews>
  <sheetFormatPr defaultRowHeight="14.5"/>
  <cols>
    <col min="1" max="1" width="36.36328125" customWidth="1"/>
    <col min="2" max="2" width="37" bestFit="1" customWidth="1"/>
    <col min="3" max="3" width="10.453125" customWidth="1"/>
    <col min="4" max="11" width="12.7265625" customWidth="1"/>
  </cols>
  <sheetData>
    <row r="1" spans="1:9" ht="18.5">
      <c r="A1" s="23" t="str">
        <f>H!G2</f>
        <v>01 April 2025 to 06 April 2025</v>
      </c>
      <c r="B1" s="24"/>
      <c r="C1" s="24"/>
      <c r="D1" s="22" t="s">
        <v>16</v>
      </c>
      <c r="E1" s="22" t="s">
        <v>9</v>
      </c>
      <c r="F1" s="22" t="s">
        <v>17</v>
      </c>
    </row>
    <row r="2" spans="1:9" ht="31">
      <c r="A2" s="1" t="s">
        <v>0</v>
      </c>
      <c r="B2" s="2" t="s">
        <v>1</v>
      </c>
      <c r="C2" s="2" t="s">
        <v>2</v>
      </c>
      <c r="D2" s="2" t="s">
        <v>3</v>
      </c>
      <c r="E2" s="2" t="s">
        <v>11</v>
      </c>
      <c r="F2" s="2" t="s">
        <v>4</v>
      </c>
      <c r="G2" s="4" t="s">
        <v>6</v>
      </c>
      <c r="H2" s="4" t="s">
        <v>7</v>
      </c>
      <c r="I2" s="3" t="s">
        <v>8</v>
      </c>
    </row>
    <row r="3" spans="1:9">
      <c r="A3" s="11" t="str">
        <f>Table333456789101217[[#This Row],[Carrier]]</f>
        <v>Blaze</v>
      </c>
      <c r="B3" s="95" t="str">
        <f>Table333456789101217[[#This Row],[IP]]</f>
        <v>8.12.34.56/48.163.17.845/60.502.86.203/191.45.28.14</v>
      </c>
      <c r="C3" s="6" t="str">
        <f>Table333456789101217[[#This Row],[Carrier Code]]</f>
        <v>BZ</v>
      </c>
      <c r="D3" s="10">
        <v>0</v>
      </c>
      <c r="E3" s="10">
        <v>0</v>
      </c>
      <c r="F3" s="18">
        <f>Table3334567891012133945[[#This Row],[Company Panel]]</f>
        <v>0</v>
      </c>
      <c r="G3" s="18">
        <f>Table3334567891012133945[[#This Row],[Our panel]]</f>
        <v>0</v>
      </c>
      <c r="H3" s="13">
        <f>Table3334567891012133945[[#This Row],[Company Panel]]-Table3334567891012133945[[#This Row],[Our panel]]</f>
        <v>0</v>
      </c>
      <c r="I3" s="13">
        <f>Table3334567891012133945[[#This Row],[MTD Company]]-Table3334567891012133945[[#This Row],[MTD Panel]]</f>
        <v>0</v>
      </c>
    </row>
    <row r="4" spans="1:9">
      <c r="A4" s="11" t="str">
        <f>Table333456789101217[[#This Row],[Carrier]]</f>
        <v>Titan</v>
      </c>
      <c r="B4" s="95" t="str">
        <f>Table333456789101217[[#This Row],[IP]]</f>
        <v>123.45.67.89/123.45.67.93/203.24.101.65</v>
      </c>
      <c r="C4" s="6" t="str">
        <f>Table333456789101217[[#This Row],[Carrier Code]]</f>
        <v>TI</v>
      </c>
      <c r="D4" s="10">
        <v>204.35</v>
      </c>
      <c r="E4" s="10">
        <v>204.35</v>
      </c>
      <c r="F4" s="18">
        <f>Table3334567891012133945[[#This Row],[Company Panel]]</f>
        <v>204.35</v>
      </c>
      <c r="G4" s="18">
        <f>Table3334567891012133945[[#This Row],[Our panel]]</f>
        <v>204.35</v>
      </c>
      <c r="H4" s="13">
        <f>Table3334567891012133945[[#This Row],[Company Panel]]-Table3334567891012133945[[#This Row],[Our panel]]</f>
        <v>0</v>
      </c>
      <c r="I4" s="13">
        <f>Table3334567891012133945[[#This Row],[MTD Company]]-Table3334567891012133945[[#This Row],[MTD Panel]]</f>
        <v>0</v>
      </c>
    </row>
    <row r="5" spans="1:9">
      <c r="A5" s="11" t="str">
        <f>Table333456789101217[[#This Row],[Carrier]]</f>
        <v>Hollow</v>
      </c>
      <c r="B5" s="95" t="str">
        <f>Table333456789101217[[#This Row],[IP]]</f>
        <v>204.56.78.100/204.56.57.169/52.94.101.12</v>
      </c>
      <c r="C5" s="6" t="str">
        <f>Table333456789101217[[#This Row],[Carrier Code]]</f>
        <v>HO</v>
      </c>
      <c r="D5" s="10">
        <v>0</v>
      </c>
      <c r="E5" s="10">
        <v>0</v>
      </c>
      <c r="F5" s="18">
        <f>Table3334567891012133945[[#This Row],[Company Panel]]</f>
        <v>0</v>
      </c>
      <c r="G5" s="18">
        <f>Table3334567891012133945[[#This Row],[Our panel]]</f>
        <v>0</v>
      </c>
      <c r="H5" s="13">
        <f>Table3334567891012133945[[#This Row],[Company Panel]]-Table3334567891012133945[[#This Row],[Our panel]]</f>
        <v>0</v>
      </c>
      <c r="I5" s="13">
        <f>Table3334567891012133945[[#This Row],[MTD Company]]-Table3334567891012133945[[#This Row],[MTD Panel]]</f>
        <v>0</v>
      </c>
    </row>
    <row r="6" spans="1:9">
      <c r="A6" s="11" t="str">
        <f>Table333456789101217[[#This Row],[Carrier]]</f>
        <v>Prism</v>
      </c>
      <c r="B6" s="95" t="str">
        <f>Table333456789101217[[#This Row],[IP]]</f>
        <v>35.118.22.45/137.63.112.25</v>
      </c>
      <c r="C6" s="6" t="str">
        <f>Table333456789101217[[#This Row],[Carrier Code]]</f>
        <v>PS</v>
      </c>
      <c r="D6" s="10">
        <v>32567.5</v>
      </c>
      <c r="E6" s="10">
        <v>32567.5</v>
      </c>
      <c r="F6" s="18">
        <f>Table3334567891012133945[[#This Row],[Company Panel]]</f>
        <v>32567.5</v>
      </c>
      <c r="G6" s="18">
        <f>Table3334567891012133945[[#This Row],[Our panel]]</f>
        <v>32567.5</v>
      </c>
      <c r="H6" s="13">
        <f>Table3334567891012133945[[#This Row],[Company Panel]]-Table3334567891012133945[[#This Row],[Our panel]]</f>
        <v>0</v>
      </c>
      <c r="I6" s="13">
        <f>Table3334567891012133945[[#This Row],[MTD Company]]-Table3334567891012133945[[#This Row],[MTD Panel]]</f>
        <v>0</v>
      </c>
    </row>
    <row r="7" spans="1:9">
      <c r="A7" s="11" t="str">
        <f>Table333456789101217[[#This Row],[Carrier]]</f>
        <v>Echo</v>
      </c>
      <c r="B7" s="95" t="str">
        <f>Table333456789101217[[#This Row],[IP]]</f>
        <v>66.89.101.10/66.89.101.19/66.89.101.23/66.89.101.45/66.89.101.81/85.21.34.99</v>
      </c>
      <c r="C7" s="6" t="str">
        <f>Table333456789101217[[#This Row],[Carrier Code]]</f>
        <v>EC</v>
      </c>
      <c r="D7" s="10">
        <v>10.666666666666666</v>
      </c>
      <c r="E7" s="10">
        <v>10.666666666666666</v>
      </c>
      <c r="F7" s="18">
        <f>Table3334567891012133945[[#This Row],[Company Panel]]</f>
        <v>10.666666666666666</v>
      </c>
      <c r="G7" s="18">
        <f>Table3334567891012133945[[#This Row],[Our panel]]</f>
        <v>10.666666666666666</v>
      </c>
      <c r="H7" s="13">
        <f>Table3334567891012133945[[#This Row],[Company Panel]]-Table3334567891012133945[[#This Row],[Our panel]]</f>
        <v>0</v>
      </c>
      <c r="I7" s="13">
        <f>Table3334567891012133945[[#This Row],[MTD Company]]-Table3334567891012133945[[#This Row],[MTD Panel]]</f>
        <v>0</v>
      </c>
    </row>
    <row r="8" spans="1:9">
      <c r="A8" s="11" t="str">
        <f>Table333456789101217[[#This Row],[Carrier]]</f>
        <v>Strike</v>
      </c>
      <c r="B8" s="95" t="str">
        <f>Table333456789101217[[#This Row],[IP]]</f>
        <v>100.200.150.3/100.200.165.38/41.102.90.78</v>
      </c>
      <c r="C8" s="6" t="str">
        <f>Table333456789101217[[#This Row],[Carrier Code]]</f>
        <v>ST</v>
      </c>
      <c r="D8" s="10">
        <v>558.68333333333328</v>
      </c>
      <c r="E8" s="10">
        <v>558.68333333333328</v>
      </c>
      <c r="F8" s="18">
        <f>Table3334567891012133945[[#This Row],[Company Panel]]</f>
        <v>558.68333333333328</v>
      </c>
      <c r="G8" s="18">
        <f>Table3334567891012133945[[#This Row],[Our panel]]</f>
        <v>558.68333333333328</v>
      </c>
      <c r="H8" s="13">
        <f>Table3334567891012133945[[#This Row],[Company Panel]]-Table3334567891012133945[[#This Row],[Our panel]]</f>
        <v>0</v>
      </c>
      <c r="I8" s="13">
        <f>Table3334567891012133945[[#This Row],[MTD Company]]-Table3334567891012133945[[#This Row],[MTD Panel]]</f>
        <v>0</v>
      </c>
    </row>
    <row r="9" spans="1:9">
      <c r="A9" s="11" t="str">
        <f>Table333456789101217[[#This Row],[Carrier]]</f>
        <v>Blunt</v>
      </c>
      <c r="B9" s="95" t="str">
        <f>Table333456789101217[[#This Row],[IP]]</f>
        <v>52.28.191.25/52.28.191.38/52.28.191.24/61.110.23.45</v>
      </c>
      <c r="C9" s="6" t="str">
        <f>Table333456789101217[[#This Row],[Carrier Code]]</f>
        <v>BL</v>
      </c>
      <c r="D9" s="10">
        <v>1775.1333333333334</v>
      </c>
      <c r="E9" s="10">
        <v>1775.1333333333334</v>
      </c>
      <c r="F9" s="18">
        <f>Table3334567891012133945[[#This Row],[Company Panel]]</f>
        <v>1775.1333333333334</v>
      </c>
      <c r="G9" s="18">
        <f>Table3334567891012133945[[#This Row],[Our panel]]</f>
        <v>1775.1333333333334</v>
      </c>
      <c r="H9" s="13">
        <f>Table3334567891012133945[[#This Row],[Company Panel]]-Table3334567891012133945[[#This Row],[Our panel]]</f>
        <v>0</v>
      </c>
      <c r="I9" s="13">
        <f>Table3334567891012133945[[#This Row],[MTD Company]]-Table3334567891012133945[[#This Row],[MTD Panel]]</f>
        <v>0</v>
      </c>
    </row>
    <row r="10" spans="1:9">
      <c r="A10" s="11" t="str">
        <f>Table333456789101217[[#This Row],[Carrier]]</f>
        <v>Law</v>
      </c>
      <c r="B10" s="95" t="str">
        <f>Table333456789101217[[#This Row],[IP]]</f>
        <v>77.88.99.21/77.88.99.88/77.88.99.94/110.56.211.7</v>
      </c>
      <c r="C10" s="6" t="str">
        <f>Table333456789101217[[#This Row],[Carrier Code]]</f>
        <v>LA</v>
      </c>
      <c r="D10" s="10">
        <v>0</v>
      </c>
      <c r="E10" s="10">
        <v>0</v>
      </c>
      <c r="F10" s="18">
        <f>Table3334567891012133945[[#This Row],[Company Panel]]</f>
        <v>0</v>
      </c>
      <c r="G10" s="18">
        <f>Table3334567891012133945[[#This Row],[Our panel]]</f>
        <v>0</v>
      </c>
      <c r="H10" s="13">
        <f>Table3334567891012133945[[#This Row],[Company Panel]]-Table3334567891012133945[[#This Row],[Our panel]]</f>
        <v>0</v>
      </c>
      <c r="I10" s="13">
        <f>Table3334567891012133945[[#This Row],[MTD Company]]-Table3334567891012133945[[#This Row],[MTD Panel]]</f>
        <v>0</v>
      </c>
    </row>
    <row r="11" spans="1:9">
      <c r="A11" s="11" t="str">
        <f>Table333456789101217[[#This Row],[Carrier]]</f>
        <v>Pulse</v>
      </c>
      <c r="B11" s="95" t="str">
        <f>Table333456789101217[[#This Row],[IP]]</f>
        <v>198.51.100.130/31.725.16.608/66.59.61.503/167.34.122.90</v>
      </c>
      <c r="C11" s="6" t="str">
        <f>Table333456789101217[[#This Row],[Carrier Code]]</f>
        <v>PU</v>
      </c>
      <c r="D11" s="10">
        <v>0</v>
      </c>
      <c r="E11" s="10">
        <v>0</v>
      </c>
      <c r="F11" s="18">
        <f>Table3334567891012133945[[#This Row],[Company Panel]]</f>
        <v>0</v>
      </c>
      <c r="G11" s="18">
        <f>Table3334567891012133945[[#This Row],[Our panel]]</f>
        <v>0</v>
      </c>
      <c r="H11" s="13">
        <f>Table3334567891012133945[[#This Row],[Company Panel]]-Table3334567891012133945[[#This Row],[Our panel]]</f>
        <v>0</v>
      </c>
      <c r="I11" s="13">
        <f>Table3334567891012133945[[#This Row],[MTD Company]]-Table3334567891012133945[[#This Row],[MTD Panel]]</f>
        <v>0</v>
      </c>
    </row>
    <row r="12" spans="1:9">
      <c r="A12" s="11" t="str">
        <f>Table333456789101217[[#This Row],[Carrier]]</f>
        <v>Phantom</v>
      </c>
      <c r="B12" s="95" t="str">
        <f>Table333456789101217[[#This Row],[IP]]</f>
        <v>141.15.210.67/141.15.42.82/179.62.211.4</v>
      </c>
      <c r="C12" s="6" t="str">
        <f>Table333456789101217[[#This Row],[Carrier Code]]</f>
        <v>PH</v>
      </c>
      <c r="D12" s="10">
        <v>28.833333333333332</v>
      </c>
      <c r="E12" s="10">
        <v>28.833333333333332</v>
      </c>
      <c r="F12" s="18">
        <f>Table3334567891012133945[[#This Row],[Company Panel]]</f>
        <v>28.833333333333332</v>
      </c>
      <c r="G12" s="18">
        <f>Table3334567891012133945[[#This Row],[Our panel]]</f>
        <v>28.833333333333332</v>
      </c>
      <c r="H12" s="13">
        <f>Table3334567891012133945[[#This Row],[Company Panel]]-Table3334567891012133945[[#This Row],[Our panel]]</f>
        <v>0</v>
      </c>
      <c r="I12" s="13">
        <f>Table3334567891012133945[[#This Row],[MTD Company]]-Table3334567891012133945[[#This Row],[MTD Panel]]</f>
        <v>0</v>
      </c>
    </row>
    <row r="13" spans="1:9">
      <c r="A13" s="11" t="str">
        <f>Table333456789101217[[#This Row],[Carrier]]</f>
        <v>Dragon</v>
      </c>
      <c r="B13" s="95" t="str">
        <f>Table333456789101217[[#This Row],[IP]]</f>
        <v>12.34.56.78/12.34.56.128/200.180.245.18</v>
      </c>
      <c r="C13" s="6" t="str">
        <f>Table333456789101217[[#This Row],[Carrier Code]]</f>
        <v>DG</v>
      </c>
      <c r="D13" s="10">
        <v>0</v>
      </c>
      <c r="E13" s="10">
        <v>0</v>
      </c>
      <c r="F13" s="18">
        <f>Table3334567891012133945[[#This Row],[Company Panel]]</f>
        <v>0</v>
      </c>
      <c r="G13" s="18">
        <f>Table3334567891012133945[[#This Row],[Our panel]]</f>
        <v>0</v>
      </c>
      <c r="H13" s="13">
        <f>Table3334567891012133945[[#This Row],[Company Panel]]-Table3334567891012133945[[#This Row],[Our panel]]</f>
        <v>0</v>
      </c>
      <c r="I13" s="13">
        <f>Table3334567891012133945[[#This Row],[MTD Company]]-Table3334567891012133945[[#This Row],[MTD Panel]]</f>
        <v>0</v>
      </c>
    </row>
    <row r="14" spans="1:9">
      <c r="A14" s="11" t="str">
        <f>Table333456789101217[[#This Row],[Carrier]]</f>
        <v>Tempest</v>
      </c>
      <c r="B14" s="95" t="str">
        <f>Table333456789101217[[#This Row],[IP]]</f>
        <v>59.144.223.88/55.39.99.60</v>
      </c>
      <c r="C14" s="6" t="str">
        <f>Table333456789101217[[#This Row],[Carrier Code]]</f>
        <v>TE</v>
      </c>
      <c r="D14" s="10">
        <v>0</v>
      </c>
      <c r="E14" s="10">
        <v>0</v>
      </c>
      <c r="F14" s="18">
        <f>Table3334567891012133945[[#This Row],[Company Panel]]</f>
        <v>0</v>
      </c>
      <c r="G14" s="18">
        <f>Table3334567891012133945[[#This Row],[Our panel]]</f>
        <v>0</v>
      </c>
      <c r="H14" s="13">
        <f>Table3334567891012133945[[#This Row],[Company Panel]]-Table3334567891012133945[[#This Row],[Our panel]]</f>
        <v>0</v>
      </c>
      <c r="I14" s="13">
        <f>Table3334567891012133945[[#This Row],[MTD Company]]-Table3334567891012133945[[#This Row],[MTD Panel]]</f>
        <v>0</v>
      </c>
    </row>
    <row r="15" spans="1:9">
      <c r="A15" s="11" t="str">
        <f>Table333456789101217[[#This Row],[Carrier]]</f>
        <v>Shadow</v>
      </c>
      <c r="B15" s="95" t="str">
        <f>Table333456789101217[[#This Row],[IP]]</f>
        <v>175.45.112.100/25.851.31.153/39.80.220.100</v>
      </c>
      <c r="C15" s="6" t="str">
        <f>Table333456789101217[[#This Row],[Carrier Code]]</f>
        <v>SH</v>
      </c>
      <c r="D15" s="10">
        <v>0</v>
      </c>
      <c r="E15" s="10">
        <v>0</v>
      </c>
      <c r="F15" s="18">
        <f>Table3334567891012133945[[#This Row],[Company Panel]]</f>
        <v>0</v>
      </c>
      <c r="G15" s="18">
        <f>Table3334567891012133945[[#This Row],[Our panel]]</f>
        <v>0</v>
      </c>
      <c r="H15" s="13">
        <f>Table3334567891012133945[[#This Row],[Company Panel]]-Table3334567891012133945[[#This Row],[Our panel]]</f>
        <v>0</v>
      </c>
      <c r="I15" s="13">
        <f>Table3334567891012133945[[#This Row],[MTD Company]]-Table3334567891012133945[[#This Row],[MTD Panel]]</f>
        <v>0</v>
      </c>
    </row>
    <row r="16" spans="1:9">
      <c r="A16" s="11" t="str">
        <f>Table333456789101217[[#This Row],[Carrier]]</f>
        <v>Cyclone</v>
      </c>
      <c r="B16" s="95" t="str">
        <f>Table333456789101217[[#This Row],[IP]]</f>
        <v>150.13.75.190/16.160.89.512/72.11.97.34</v>
      </c>
      <c r="C16" s="6" t="str">
        <f>Table333456789101217[[#This Row],[Carrier Code]]</f>
        <v>CY</v>
      </c>
      <c r="D16" s="10">
        <v>0</v>
      </c>
      <c r="E16" s="10">
        <v>0</v>
      </c>
      <c r="F16" s="18">
        <f>Table3334567891012133945[[#This Row],[Company Panel]]</f>
        <v>0</v>
      </c>
      <c r="G16" s="18">
        <f>Table3334567891012133945[[#This Row],[Our panel]]</f>
        <v>0</v>
      </c>
      <c r="H16" s="13">
        <f>Table3334567891012133945[[#This Row],[Company Panel]]-Table3334567891012133945[[#This Row],[Our panel]]</f>
        <v>0</v>
      </c>
      <c r="I16" s="13">
        <f>Table3334567891012133945[[#This Row],[MTD Company]]-Table3334567891012133945[[#This Row],[MTD Panel]]</f>
        <v>0</v>
      </c>
    </row>
    <row r="17" spans="1:9">
      <c r="A17" s="11" t="str">
        <f>Table333456789101217[[#This Row],[Carrier]]</f>
        <v>Reaver</v>
      </c>
      <c r="B17" s="95" t="str">
        <f>Table333456789101217[[#This Row],[IP]]</f>
        <v>203.0.113.44/188.17.56.210</v>
      </c>
      <c r="C17" s="6" t="str">
        <f>Table333456789101217[[#This Row],[Carrier Code]]</f>
        <v>RE</v>
      </c>
      <c r="D17" s="10">
        <v>0</v>
      </c>
      <c r="E17" s="10">
        <v>0</v>
      </c>
      <c r="F17" s="18">
        <f>Table3334567891012133945[[#This Row],[Company Panel]]</f>
        <v>0</v>
      </c>
      <c r="G17" s="18">
        <f>Table3334567891012133945[[#This Row],[Our panel]]</f>
        <v>0</v>
      </c>
      <c r="H17" s="13">
        <f>Table3334567891012133945[[#This Row],[Company Panel]]-Table3334567891012133945[[#This Row],[Our panel]]</f>
        <v>0</v>
      </c>
      <c r="I17" s="13">
        <f>Table3334567891012133945[[#This Row],[MTD Company]]-Table3334567891012133945[[#This Row],[MTD Panel]]</f>
        <v>0</v>
      </c>
    </row>
    <row r="18" spans="1:9">
      <c r="A18" s="11" t="str">
        <f>Table333456789101217[[#This Row],[Carrier]]</f>
        <v>Forge</v>
      </c>
      <c r="B18" s="95" t="str">
        <f>Table333456789101217[[#This Row],[IP]]</f>
        <v>112.54.89.168/112.54.89.138</v>
      </c>
      <c r="C18" s="6" t="str">
        <f>Table333456789101217[[#This Row],[Carrier Code]]</f>
        <v>FO</v>
      </c>
      <c r="D18" s="10">
        <v>155.88333333333333</v>
      </c>
      <c r="E18" s="10">
        <v>155.88333333333333</v>
      </c>
      <c r="F18" s="18">
        <f>Table3334567891012133945[[#This Row],[Company Panel]]</f>
        <v>155.88333333333333</v>
      </c>
      <c r="G18" s="18">
        <f>Table3334567891012133945[[#This Row],[Our panel]]</f>
        <v>155.88333333333333</v>
      </c>
      <c r="H18" s="13">
        <f>Table3334567891012133945[[#This Row],[Company Panel]]-Table3334567891012133945[[#This Row],[Our panel]]</f>
        <v>0</v>
      </c>
      <c r="I18" s="13">
        <f>Table3334567891012133945[[#This Row],[MTD Company]]-Table3334567891012133945[[#This Row],[MTD Panel]]</f>
        <v>0</v>
      </c>
    </row>
    <row r="19" spans="1:9">
      <c r="A19" s="11" t="str">
        <f>Table333456789101217[[#This Row],[Carrier]]</f>
        <v>Ember</v>
      </c>
      <c r="B19" s="95" t="str">
        <f>Table333456789101217[[#This Row],[IP]]</f>
        <v>78.34.90.24/328.56.122.44/142.150.75.22</v>
      </c>
      <c r="C19" s="6" t="str">
        <f>Table333456789101217[[#This Row],[Carrier Code]]</f>
        <v>EM</v>
      </c>
      <c r="D19" s="10">
        <v>0</v>
      </c>
      <c r="E19" s="10">
        <v>0</v>
      </c>
      <c r="F19" s="18">
        <f>Table3334567891012133945[[#This Row],[Company Panel]]</f>
        <v>0</v>
      </c>
      <c r="G19" s="18">
        <f>Table3334567891012133945[[#This Row],[Our panel]]</f>
        <v>0</v>
      </c>
      <c r="H19" s="13">
        <f>Table3334567891012133945[[#This Row],[Company Panel]]-Table3334567891012133945[[#This Row],[Our panel]]</f>
        <v>0</v>
      </c>
      <c r="I19" s="13">
        <f>Table3334567891012133945[[#This Row],[MTD Company]]-Table3334567891012133945[[#This Row],[MTD Panel]]</f>
        <v>0</v>
      </c>
    </row>
    <row r="20" spans="1:9">
      <c r="A20" s="11" t="str">
        <f>Table333456789101217[[#This Row],[Carrier]]</f>
        <v>Specter</v>
      </c>
      <c r="B20" s="95" t="str">
        <f>Table333456789101217[[#This Row],[IP]]</f>
        <v>205.60.34.150</v>
      </c>
      <c r="C20" s="6" t="str">
        <f>Table333456789101217[[#This Row],[Carrier Code]]</f>
        <v>SP</v>
      </c>
      <c r="D20" s="10">
        <v>10</v>
      </c>
      <c r="E20" s="10">
        <v>10</v>
      </c>
      <c r="F20" s="18">
        <f>Table3334567891012133945[[#This Row],[Company Panel]]</f>
        <v>10</v>
      </c>
      <c r="G20" s="18">
        <f>Table3334567891012133945[[#This Row],[Our panel]]</f>
        <v>10</v>
      </c>
      <c r="H20" s="13">
        <f>Table3334567891012133945[[#This Row],[Company Panel]]-Table3334567891012133945[[#This Row],[Our panel]]</f>
        <v>0</v>
      </c>
      <c r="I20" s="13">
        <f>Table3334567891012133945[[#This Row],[MTD Company]]-Table3334567891012133945[[#This Row],[MTD Panel]]</f>
        <v>0</v>
      </c>
    </row>
    <row r="21" spans="1:9">
      <c r="A21" s="11" t="str">
        <f>Table333456789101217[[#This Row],[Carrier]]</f>
        <v>Throne</v>
      </c>
      <c r="B21" s="95" t="str">
        <f>Table333456789101217[[#This Row],[IP]]</f>
        <v>54.32.11.90/27.758.27.201/125.150.58.20</v>
      </c>
      <c r="C21" s="6" t="str">
        <f>Table333456789101217[[#This Row],[Carrier Code]]</f>
        <v>TH</v>
      </c>
      <c r="D21" s="10">
        <v>0</v>
      </c>
      <c r="E21" s="10">
        <v>0</v>
      </c>
      <c r="F21" s="18">
        <f>Table3334567891012133945[[#This Row],[Company Panel]]</f>
        <v>0</v>
      </c>
      <c r="G21" s="18">
        <f>Table3334567891012133945[[#This Row],[Our panel]]</f>
        <v>0</v>
      </c>
      <c r="H21" s="13">
        <f>Table3334567891012133945[[#This Row],[Company Panel]]-Table3334567891012133945[[#This Row],[Our panel]]</f>
        <v>0</v>
      </c>
      <c r="I21" s="13">
        <f>Table3334567891012133945[[#This Row],[MTD Company]]-Table3334567891012133945[[#This Row],[MTD Panel]]</f>
        <v>0</v>
      </c>
    </row>
    <row r="22" spans="1:9">
      <c r="A22" s="11" t="str">
        <f>Table333456789101217[[#This Row],[Carrier]]</f>
        <v>Arcane</v>
      </c>
      <c r="B22" s="95" t="str">
        <f>Table333456789101217[[#This Row],[IP]]</f>
        <v>212.100.25.78/212.100.25.87</v>
      </c>
      <c r="C22" s="6" t="str">
        <f>Table333456789101217[[#This Row],[Carrier Code]]</f>
        <v>AR</v>
      </c>
      <c r="D22" s="10">
        <v>0</v>
      </c>
      <c r="E22" s="10">
        <v>0</v>
      </c>
      <c r="F22" s="18">
        <f>Table3334567891012133945[[#This Row],[Company Panel]]</f>
        <v>0</v>
      </c>
      <c r="G22" s="18">
        <f>Table3334567891012133945[[#This Row],[Our panel]]</f>
        <v>0</v>
      </c>
      <c r="H22" s="13">
        <f>Table3334567891012133945[[#This Row],[Company Panel]]-Table3334567891012133945[[#This Row],[Our panel]]</f>
        <v>0</v>
      </c>
      <c r="I22" s="13">
        <f>Table3334567891012133945[[#This Row],[MTD Company]]-Table3334567891012133945[[#This Row],[MTD Panel]]</f>
        <v>0</v>
      </c>
    </row>
    <row r="23" spans="1:9">
      <c r="A23" s="11" t="str">
        <f>Table333456789101217[[#This Row],[Carrier]]</f>
        <v>Glitch</v>
      </c>
      <c r="B23" s="95" t="str">
        <f>Table333456789101217[[#This Row],[IP]]</f>
        <v>198.204.100.12/198.204.100.34/198.204.100.51</v>
      </c>
      <c r="C23" s="6" t="str">
        <f>Table333456789101217[[#This Row],[Carrier Code]]</f>
        <v>GL</v>
      </c>
      <c r="D23" s="10">
        <v>0</v>
      </c>
      <c r="E23" s="10">
        <v>0</v>
      </c>
      <c r="F23" s="18">
        <f>Table3334567891012133945[[#This Row],[Company Panel]]</f>
        <v>0</v>
      </c>
      <c r="G23" s="18">
        <f>Table3334567891012133945[[#This Row],[Our panel]]</f>
        <v>0</v>
      </c>
      <c r="H23" s="13">
        <f>Table3334567891012133945[[#This Row],[Company Panel]]-Table3334567891012133945[[#This Row],[Our panel]]</f>
        <v>0</v>
      </c>
      <c r="I23" s="13">
        <f>Table3334567891012133945[[#This Row],[MTD Company]]-Table3334567891012133945[[#This Row],[MTD Panel]]</f>
        <v>0</v>
      </c>
    </row>
    <row r="24" spans="1:9">
      <c r="A24" s="11" t="str">
        <f>Table333456789101217[[#This Row],[Carrier]]</f>
        <v>Nitro</v>
      </c>
      <c r="B24" s="95" t="str">
        <f>Table333456789101217[[#This Row],[IP]]</f>
        <v>15.150.200.33/119.82.200.100</v>
      </c>
      <c r="C24" s="6" t="str">
        <f>Table333456789101217[[#This Row],[Carrier Code]]</f>
        <v>NI</v>
      </c>
      <c r="D24" s="10">
        <v>0</v>
      </c>
      <c r="E24" s="10">
        <v>0</v>
      </c>
      <c r="F24" s="18">
        <f>Table3334567891012133945[[#This Row],[Company Panel]]</f>
        <v>0</v>
      </c>
      <c r="G24" s="18">
        <f>Table3334567891012133945[[#This Row],[Our panel]]</f>
        <v>0</v>
      </c>
      <c r="H24" s="13">
        <f>Table3334567891012133945[[#This Row],[Company Panel]]-Table3334567891012133945[[#This Row],[Our panel]]</f>
        <v>0</v>
      </c>
      <c r="I24" s="13">
        <f>Table3334567891012133945[[#This Row],[MTD Company]]-Table3334567891012133945[[#This Row],[MTD Panel]]</f>
        <v>0</v>
      </c>
    </row>
    <row r="25" spans="1:9">
      <c r="A25" s="11" t="str">
        <f>Table333456789101217[[#This Row],[Carrier]]</f>
        <v>Drip</v>
      </c>
      <c r="B25" s="95" t="str">
        <f>Table333456789101217[[#This Row],[IP]]</f>
        <v>84.13.76.190/90.945.80.11/198.160.234.5</v>
      </c>
      <c r="C25" s="6" t="str">
        <f>Table333456789101217[[#This Row],[Carrier Code]]</f>
        <v>DR</v>
      </c>
      <c r="D25" s="10">
        <v>0</v>
      </c>
      <c r="E25" s="10">
        <v>0</v>
      </c>
      <c r="F25" s="18">
        <f>Table3334567891012133945[[#This Row],[Company Panel]]</f>
        <v>0</v>
      </c>
      <c r="G25" s="18">
        <f>Table3334567891012133945[[#This Row],[Our panel]]</f>
        <v>0</v>
      </c>
      <c r="H25" s="13">
        <f>Table3334567891012133945[[#This Row],[Company Panel]]-Table3334567891012133945[[#This Row],[Our panel]]</f>
        <v>0</v>
      </c>
      <c r="I25" s="13">
        <f>Table3334567891012133945[[#This Row],[MTD Company]]-Table3334567891012133945[[#This Row],[MTD Panel]]</f>
        <v>0</v>
      </c>
    </row>
    <row r="26" spans="1:9">
      <c r="A26" s="11" t="str">
        <f>Table333456789101217[[#This Row],[Carrier]]</f>
        <v>Glide</v>
      </c>
      <c r="B26" s="95" t="str">
        <f>Table333456789101217[[#This Row],[IP]]</f>
        <v>120.45.12.25/85.739.221.80/85.739.221.93</v>
      </c>
      <c r="C26" s="6" t="str">
        <f>Table333456789101217[[#This Row],[Carrier Code]]</f>
        <v>GI</v>
      </c>
      <c r="D26" s="10">
        <v>0</v>
      </c>
      <c r="E26" s="10">
        <v>0</v>
      </c>
      <c r="F26" s="18">
        <f>Table3334567891012133945[[#This Row],[Company Panel]]</f>
        <v>0</v>
      </c>
      <c r="G26" s="18">
        <f>Table3334567891012133945[[#This Row],[Our panel]]</f>
        <v>0</v>
      </c>
      <c r="H26" s="13">
        <f>Table3334567891012133945[[#This Row],[Company Panel]]-Table3334567891012133945[[#This Row],[Our panel]]</f>
        <v>0</v>
      </c>
      <c r="I26" s="13">
        <f>Table3334567891012133945[[#This Row],[MTD Company]]-Table3334567891012133945[[#This Row],[MTD Panel]]</f>
        <v>0</v>
      </c>
    </row>
    <row r="27" spans="1:9">
      <c r="A27" s="11" t="str">
        <f>Table333456789101217[[#This Row],[Carrier]]</f>
        <v>Orbit</v>
      </c>
      <c r="B27" s="95" t="str">
        <f>Table333456789101217[[#This Row],[IP]]</f>
        <v>176.98.54.112/60.110.154.91/60.110.155.162</v>
      </c>
      <c r="C27" s="6" t="str">
        <f>Table333456789101217[[#This Row],[Carrier Code]]</f>
        <v>OR</v>
      </c>
      <c r="D27" s="10">
        <v>0</v>
      </c>
      <c r="E27" s="10">
        <v>0</v>
      </c>
      <c r="F27" s="18">
        <f>Table3334567891012133945[[#This Row],[Company Panel]]</f>
        <v>0</v>
      </c>
      <c r="G27" s="18">
        <f>Table3334567891012133945[[#This Row],[Our panel]]</f>
        <v>0</v>
      </c>
      <c r="H27" s="13">
        <f>Table3334567891012133945[[#This Row],[Company Panel]]-Table3334567891012133945[[#This Row],[Our panel]]</f>
        <v>0</v>
      </c>
      <c r="I27" s="13">
        <f>Table3334567891012133945[[#This Row],[MTD Company]]-Table3334567891012133945[[#This Row],[MTD Panel]]</f>
        <v>0</v>
      </c>
    </row>
    <row r="28" spans="1:9">
      <c r="A28" s="11" t="str">
        <f>Table333456789101217[[#This Row],[Carrier]]</f>
        <v>Thunder</v>
      </c>
      <c r="B28" s="95" t="str">
        <f>Table333456789101217[[#This Row],[IP]]</f>
        <v>67.102.200.9/81.905.48.847/143.235.100.34</v>
      </c>
      <c r="C28" s="6" t="str">
        <f>Table333456789101217[[#This Row],[Carrier Code]]</f>
        <v>TU</v>
      </c>
      <c r="D28" s="10">
        <v>119.15</v>
      </c>
      <c r="E28" s="10">
        <v>119.15</v>
      </c>
      <c r="F28" s="18">
        <f>Table3334567891012133945[[#This Row],[Company Panel]]</f>
        <v>119.15</v>
      </c>
      <c r="G28" s="18">
        <f>Table3334567891012133945[[#This Row],[Our panel]]</f>
        <v>119.15</v>
      </c>
      <c r="H28" s="13">
        <f>Table3334567891012133945[[#This Row],[Company Panel]]-Table3334567891012133945[[#This Row],[Our panel]]</f>
        <v>0</v>
      </c>
      <c r="I28" s="13">
        <f>Table3334567891012133945[[#This Row],[MTD Company]]-Table3334567891012133945[[#This Row],[MTD Panel]]</f>
        <v>0</v>
      </c>
    </row>
    <row r="29" spans="1:9">
      <c r="A29" s="11" t="str">
        <f>Table333456789101217[[#This Row],[Carrier]]</f>
        <v>Glimmer</v>
      </c>
      <c r="B29" s="95" t="str">
        <f>Table333456789101217[[#This Row],[IP]]</f>
        <v>99.22.211.100/71.54.85.344/71.54.85.218</v>
      </c>
      <c r="C29" s="6" t="str">
        <f>Table333456789101217[[#This Row],[Carrier Code]]</f>
        <v>GM</v>
      </c>
      <c r="D29" s="10">
        <v>0</v>
      </c>
      <c r="E29" s="10">
        <v>0</v>
      </c>
      <c r="F29" s="18">
        <f>Table3334567891012133945[[#This Row],[Company Panel]]</f>
        <v>0</v>
      </c>
      <c r="G29" s="18">
        <f>Table3334567891012133945[[#This Row],[Our panel]]</f>
        <v>0</v>
      </c>
      <c r="H29" s="13">
        <f>Table3334567891012133945[[#This Row],[Company Panel]]-Table3334567891012133945[[#This Row],[Our panel]]</f>
        <v>0</v>
      </c>
      <c r="I29" s="13">
        <f>Table3334567891012133945[[#This Row],[MTD Company]]-Table3334567891012133945[[#This Row],[MTD Panel]]</f>
        <v>0</v>
      </c>
    </row>
    <row r="30" spans="1:9">
      <c r="A30" s="11" t="str">
        <f>Table333456789101217[[#This Row],[Carrier]]</f>
        <v>Fragment</v>
      </c>
      <c r="B30" s="95" t="str">
        <f>Table333456789101217[[#This Row],[IP]]</f>
        <v>203.0.113.56/195.56.101.10</v>
      </c>
      <c r="C30" s="6" t="str">
        <f>Table333456789101217[[#This Row],[Carrier Code]]</f>
        <v>FR</v>
      </c>
      <c r="D30" s="10">
        <v>0</v>
      </c>
      <c r="E30" s="10">
        <v>0</v>
      </c>
      <c r="F30" s="18">
        <f>Table3334567891012133945[[#This Row],[Company Panel]]</f>
        <v>0</v>
      </c>
      <c r="G30" s="18">
        <f>Table3334567891012133945[[#This Row],[Our panel]]</f>
        <v>0</v>
      </c>
      <c r="H30" s="13">
        <f>Table3334567891012133945[[#This Row],[Company Panel]]-Table3334567891012133945[[#This Row],[Our panel]]</f>
        <v>0</v>
      </c>
      <c r="I30" s="13">
        <f>Table3334567891012133945[[#This Row],[MTD Company]]-Table3334567891012133945[[#This Row],[MTD Panel]]</f>
        <v>0</v>
      </c>
    </row>
    <row r="31" spans="1:9">
      <c r="A31" s="11" t="str">
        <f>Table333456789101217[[#This Row],[Carrier]]</f>
        <v>Dusk</v>
      </c>
      <c r="B31" s="95" t="str">
        <f>Table333456789101217[[#This Row],[IP]]</f>
        <v>33.44.55.66/33.44.55.84/33.44.55.122/214.68.90.122</v>
      </c>
      <c r="C31" s="6" t="str">
        <f>Table333456789101217[[#This Row],[Carrier Code]]</f>
        <v>DK</v>
      </c>
      <c r="D31" s="10">
        <v>0</v>
      </c>
      <c r="E31" s="10">
        <v>0</v>
      </c>
      <c r="F31" s="18">
        <f>Table3334567891012133945[[#This Row],[Company Panel]]</f>
        <v>0</v>
      </c>
      <c r="G31" s="18">
        <f>Table3334567891012133945[[#This Row],[Our panel]]</f>
        <v>0</v>
      </c>
      <c r="H31" s="13">
        <f>Table3334567891012133945[[#This Row],[Company Panel]]-Table3334567891012133945[[#This Row],[Our panel]]</f>
        <v>0</v>
      </c>
      <c r="I31" s="13">
        <f>Table3334567891012133945[[#This Row],[MTD Company]]-Table3334567891012133945[[#This Row],[MTD Panel]]</f>
        <v>0</v>
      </c>
    </row>
    <row r="32" spans="1:9">
      <c r="A32" s="11" t="str">
        <f>Table333456789101217[[#This Row],[Carrier]]</f>
        <v>Breeze</v>
      </c>
      <c r="B32" s="95" t="str">
        <f>Table333456789101217[[#This Row],[IP]]</f>
        <v>199.123.87.45/199.123.34.52/77.189.22.56</v>
      </c>
      <c r="C32" s="6" t="str">
        <f>Table333456789101217[[#This Row],[Carrier Code]]</f>
        <v>BR</v>
      </c>
      <c r="D32" s="10">
        <v>0</v>
      </c>
      <c r="E32" s="10">
        <v>0</v>
      </c>
      <c r="F32" s="18">
        <f>Table3334567891012133945[[#This Row],[Company Panel]]</f>
        <v>0</v>
      </c>
      <c r="G32" s="18">
        <f>Table3334567891012133945[[#This Row],[Our panel]]</f>
        <v>0</v>
      </c>
      <c r="H32" s="13">
        <f>Table3334567891012133945[[#This Row],[Company Panel]]-Table3334567891012133945[[#This Row],[Our panel]]</f>
        <v>0</v>
      </c>
      <c r="I32" s="13">
        <f>Table3334567891012133945[[#This Row],[MTD Company]]-Table3334567891012133945[[#This Row],[MTD Panel]]</f>
        <v>0</v>
      </c>
    </row>
    <row r="33" spans="1:9">
      <c r="A33" s="11" t="str">
        <f>Table333456789101217[[#This Row],[Carrier]]</f>
        <v>Clutch</v>
      </c>
      <c r="B33" s="95" t="str">
        <f>Table333456789101217[[#This Row],[IP]]</f>
        <v>55.66.77.88/84.126.79.28/152.233.45.11</v>
      </c>
      <c r="C33" s="6" t="str">
        <f>Table333456789101217[[#This Row],[Carrier Code]]</f>
        <v>CL</v>
      </c>
      <c r="D33" s="10">
        <v>0</v>
      </c>
      <c r="E33" s="10">
        <v>0</v>
      </c>
      <c r="F33" s="18">
        <f>Table3334567891012133945[[#This Row],[Company Panel]]</f>
        <v>0</v>
      </c>
      <c r="G33" s="18">
        <f>Table3334567891012133945[[#This Row],[Our panel]]</f>
        <v>0</v>
      </c>
      <c r="H33" s="13">
        <f>Table3334567891012133945[[#This Row],[Company Panel]]-Table3334567891012133945[[#This Row],[Our panel]]</f>
        <v>0</v>
      </c>
      <c r="I33" s="13">
        <f>Table3334567891012133945[[#This Row],[MTD Company]]-Table3334567891012133945[[#This Row],[MTD Panel]]</f>
        <v>0</v>
      </c>
    </row>
    <row r="34" spans="1:9">
      <c r="A34" s="11" t="str">
        <f>Table333456789101217[[#This Row],[Carrier]]</f>
        <v>Haze</v>
      </c>
      <c r="B34" s="95" t="str">
        <f>Table333456789101217[[#This Row],[IP]]</f>
        <v>230.111.44.56</v>
      </c>
      <c r="C34" s="6" t="str">
        <f>Table333456789101217[[#This Row],[Carrier Code]]</f>
        <v>HZ</v>
      </c>
      <c r="D34" s="10">
        <v>0</v>
      </c>
      <c r="E34" s="10">
        <v>0</v>
      </c>
      <c r="F34" s="18">
        <f>Table3334567891012133945[[#This Row],[Company Panel]]</f>
        <v>0</v>
      </c>
      <c r="G34" s="18">
        <f>Table3334567891012133945[[#This Row],[Our panel]]</f>
        <v>0</v>
      </c>
      <c r="H34" s="13">
        <f>Table3334567891012133945[[#This Row],[Company Panel]]-Table3334567891012133945[[#This Row],[Our panel]]</f>
        <v>0</v>
      </c>
      <c r="I34" s="13">
        <f>Table3334567891012133945[[#This Row],[MTD Company]]-Table3334567891012133945[[#This Row],[MTD Panel]]</f>
        <v>0</v>
      </c>
    </row>
    <row r="35" spans="1:9">
      <c r="A35" s="11" t="str">
        <f>Table333456789101217[[#This Row],[Carrier]]</f>
        <v>Vault</v>
      </c>
      <c r="B35" s="95" t="str">
        <f>Table333456789101217[[#This Row],[IP]]</f>
        <v>213.189.94.5/213.189.94.7/111.180.64.222</v>
      </c>
      <c r="C35" s="6" t="str">
        <f>Table333456789101217[[#This Row],[Carrier Code]]</f>
        <v>VA</v>
      </c>
      <c r="D35" s="10">
        <v>0</v>
      </c>
      <c r="E35" s="10">
        <v>0</v>
      </c>
      <c r="F35" s="18">
        <f>Table3334567891012133945[[#This Row],[Company Panel]]</f>
        <v>0</v>
      </c>
      <c r="G35" s="18">
        <f>Table3334567891012133945[[#This Row],[Our panel]]</f>
        <v>0</v>
      </c>
      <c r="H35" s="13">
        <f>Table3334567891012133945[[#This Row],[Company Panel]]-Table3334567891012133945[[#This Row],[Our panel]]</f>
        <v>0</v>
      </c>
      <c r="I35" s="13">
        <f>Table3334567891012133945[[#This Row],[MTD Company]]-Table3334567891012133945[[#This Row],[MTD Panel]]</f>
        <v>0</v>
      </c>
    </row>
    <row r="36" spans="1:9">
      <c r="A36" s="11" t="str">
        <f>Table333456789101217[[#This Row],[Carrier]]</f>
        <v>Scatter</v>
      </c>
      <c r="B36" s="95" t="str">
        <f>Table333456789101217[[#This Row],[IP]]</f>
        <v>14.123.45.67/168.251.90.15</v>
      </c>
      <c r="C36" s="6" t="str">
        <f>Table333456789101217[[#This Row],[Carrier Code]]</f>
        <v>SC</v>
      </c>
      <c r="D36" s="10">
        <v>47.266666666666666</v>
      </c>
      <c r="E36" s="10">
        <v>47.266666666666666</v>
      </c>
      <c r="F36" s="18">
        <f>Table3334567891012133945[[#This Row],[Company Panel]]</f>
        <v>47.266666666666666</v>
      </c>
      <c r="G36" s="18">
        <f>Table3334567891012133945[[#This Row],[Our panel]]</f>
        <v>47.266666666666666</v>
      </c>
      <c r="H36" s="13">
        <f>Table3334567891012133945[[#This Row],[Company Panel]]-Table3334567891012133945[[#This Row],[Our panel]]</f>
        <v>0</v>
      </c>
      <c r="I36" s="13">
        <f>Table3334567891012133945[[#This Row],[MTD Company]]-Table3334567891012133945[[#This Row],[MTD Panel]]</f>
        <v>0</v>
      </c>
    </row>
    <row r="37" spans="1:9">
      <c r="A37" s="11" t="str">
        <f>Table333456789101217[[#This Row],[Carrier]]</f>
        <v>Hammer</v>
      </c>
      <c r="B37" s="95" t="str">
        <f>Table333456789101217[[#This Row],[IP]]</f>
        <v>200.111.78.9/200.111.236.62/200.111.823.89/137.79.48.56</v>
      </c>
      <c r="C37" s="6" t="str">
        <f>Table333456789101217[[#This Row],[Carrier Code]]</f>
        <v>HA</v>
      </c>
      <c r="D37" s="10">
        <v>0</v>
      </c>
      <c r="E37" s="10">
        <v>0</v>
      </c>
      <c r="F37" s="18">
        <f>Table3334567891012133945[[#This Row],[Company Panel]]</f>
        <v>0</v>
      </c>
      <c r="G37" s="18">
        <f>Table3334567891012133945[[#This Row],[Our panel]]</f>
        <v>0</v>
      </c>
      <c r="H37" s="13">
        <f>Table3334567891012133945[[#This Row],[Company Panel]]-Table3334567891012133945[[#This Row],[Our panel]]</f>
        <v>0</v>
      </c>
      <c r="I37" s="13">
        <f>Table3334567891012133945[[#This Row],[MTD Company]]-Table3334567891012133945[[#This Row],[MTD Panel]]</f>
        <v>0</v>
      </c>
    </row>
    <row r="38" spans="1:9">
      <c r="A38" s="11" t="str">
        <f>Table333456789101217[[#This Row],[Carrier]]</f>
        <v>Smudge</v>
      </c>
      <c r="B38" s="95" t="str">
        <f>Table333456789101217[[#This Row],[IP]]</f>
        <v>88.99.233.56/54.71.99.234</v>
      </c>
      <c r="C38" s="6" t="str">
        <f>Table333456789101217[[#This Row],[Carrier Code]]</f>
        <v>SM</v>
      </c>
      <c r="D38" s="10">
        <v>53.283333333333331</v>
      </c>
      <c r="E38" s="10">
        <v>53.283333333333331</v>
      </c>
      <c r="F38" s="18">
        <f>Table3334567891012133945[[#This Row],[Company Panel]]</f>
        <v>53.283333333333331</v>
      </c>
      <c r="G38" s="18">
        <f>Table3334567891012133945[[#This Row],[Our panel]]</f>
        <v>53.283333333333331</v>
      </c>
      <c r="H38" s="13">
        <f>Table3334567891012133945[[#This Row],[Company Panel]]-Table3334567891012133945[[#This Row],[Our panel]]</f>
        <v>0</v>
      </c>
      <c r="I38" s="13">
        <f>Table3334567891012133945[[#This Row],[MTD Company]]-Table3334567891012133945[[#This Row],[MTD Panel]]</f>
        <v>0</v>
      </c>
    </row>
    <row r="39" spans="1:9">
      <c r="A39" s="11" t="str">
        <f>Table333456789101217[[#This Row],[Carrier]]</f>
        <v>Quirk</v>
      </c>
      <c r="B39" s="95" t="str">
        <f>Table333456789101217[[#This Row],[IP]]</f>
        <v>62.45.100.31/62.45.100.15/62.45.100.65/211.95.102.6</v>
      </c>
      <c r="C39" s="6" t="str">
        <f>Table333456789101217[[#This Row],[Carrier Code]]</f>
        <v>QU</v>
      </c>
      <c r="D39" s="10">
        <v>11106.683333333332</v>
      </c>
      <c r="E39" s="10">
        <v>11106.683333333332</v>
      </c>
      <c r="F39" s="18">
        <f>Table3334567891012133945[[#This Row],[Company Panel]]</f>
        <v>11106.683333333332</v>
      </c>
      <c r="G39" s="18">
        <f>Table3334567891012133945[[#This Row],[Our panel]]</f>
        <v>11106.683333333332</v>
      </c>
      <c r="H39" s="13">
        <f>Table3334567891012133945[[#This Row],[Company Panel]]-Table3334567891012133945[[#This Row],[Our panel]]</f>
        <v>0</v>
      </c>
      <c r="I39" s="13">
        <f>Table3334567891012133945[[#This Row],[MTD Company]]-Table3334567891012133945[[#This Row],[MTD Panel]]</f>
        <v>0</v>
      </c>
    </row>
    <row r="40" spans="1:9">
      <c r="A40" s="11" t="str">
        <f>Table333456789101217[[#This Row],[Carrier]]</f>
        <v>Vortex</v>
      </c>
      <c r="B40" s="95" t="str">
        <f>Table333456789101217[[#This Row],[IP]]</f>
        <v>179.250.91.8/29.540.67.457/94.25.34.78/183.144.27.18</v>
      </c>
      <c r="C40" s="6" t="str">
        <f>Table333456789101217[[#This Row],[Carrier Code]]</f>
        <v>VT</v>
      </c>
      <c r="D40" s="10">
        <v>0</v>
      </c>
      <c r="E40" s="10">
        <v>0</v>
      </c>
      <c r="F40" s="18">
        <f>Table3334567891012133945[[#This Row],[Company Panel]]</f>
        <v>0</v>
      </c>
      <c r="G40" s="18">
        <f>Table3334567891012133945[[#This Row],[Our panel]]</f>
        <v>0</v>
      </c>
      <c r="H40" s="13">
        <f>Table3334567891012133945[[#This Row],[Company Panel]]-Table3334567891012133945[[#This Row],[Our panel]]</f>
        <v>0</v>
      </c>
      <c r="I40" s="13">
        <f>Table3334567891012133945[[#This Row],[MTD Company]]-Table3334567891012133945[[#This Row],[MTD Panel]]</f>
        <v>0</v>
      </c>
    </row>
    <row r="41" spans="1:9">
      <c r="A41" s="11" t="str">
        <f>Table333456789101217[[#This Row],[Carrier]]</f>
        <v>Void</v>
      </c>
      <c r="B41" s="95" t="str">
        <f>Table333456789101217[[#This Row],[IP]]</f>
        <v>156.34.123.11/156.34.123.25/156.34.123.62/92.44.233.110</v>
      </c>
      <c r="C41" s="6" t="str">
        <f>Table333456789101217[[#This Row],[Carrier Code]]</f>
        <v>VO</v>
      </c>
      <c r="D41" s="10">
        <v>296.10000000000002</v>
      </c>
      <c r="E41" s="10">
        <v>296.10000000000002</v>
      </c>
      <c r="F41" s="18">
        <f>Table3334567891012133945[[#This Row],[Company Panel]]</f>
        <v>296.10000000000002</v>
      </c>
      <c r="G41" s="18">
        <f>Table3334567891012133945[[#This Row],[Our panel]]</f>
        <v>296.10000000000002</v>
      </c>
      <c r="H41" s="13">
        <f>Table3334567891012133945[[#This Row],[Company Panel]]-Table3334567891012133945[[#This Row],[Our panel]]</f>
        <v>0</v>
      </c>
      <c r="I41" s="13">
        <f>Table3334567891012133945[[#This Row],[MTD Company]]-Table3334567891012133945[[#This Row],[MTD Panel]]</f>
        <v>0</v>
      </c>
    </row>
    <row r="42" spans="1:9">
      <c r="A42" s="11" t="str">
        <f>Table333456789101217[[#This Row],[Carrier]]</f>
        <v>Midnight</v>
      </c>
      <c r="B42" s="95" t="str">
        <f>Table333456789101217[[#This Row],[IP]]</f>
        <v>134.77.22.4/23.97.150.8</v>
      </c>
      <c r="C42" s="6" t="str">
        <f>Table333456789101217[[#This Row],[Carrier Code]]</f>
        <v>MI</v>
      </c>
      <c r="D42" s="10">
        <v>370.1</v>
      </c>
      <c r="E42" s="10">
        <v>370.1</v>
      </c>
      <c r="F42" s="18">
        <f>Table3334567891012133945[[#This Row],[Company Panel]]</f>
        <v>370.1</v>
      </c>
      <c r="G42" s="18">
        <f>Table3334567891012133945[[#This Row],[Our panel]]</f>
        <v>370.1</v>
      </c>
      <c r="H42" s="13">
        <f>Table3334567891012133945[[#This Row],[Company Panel]]-Table3334567891012133945[[#This Row],[Our panel]]</f>
        <v>0</v>
      </c>
      <c r="I42" s="13">
        <f>Table3334567891012133945[[#This Row],[MTD Company]]-Table3334567891012133945[[#This Row],[MTD Panel]]</f>
        <v>0</v>
      </c>
    </row>
    <row r="43" spans="1:9">
      <c r="A43" s="11" t="str">
        <f>Table333456789101217[[#This Row],[Carrier]]</f>
        <v>Autumn</v>
      </c>
      <c r="B43" s="95" t="str">
        <f>Table333456789101217[[#This Row],[IP]]</f>
        <v>202.54.210.88/12.331.94.73/64.19.28.175</v>
      </c>
      <c r="C43" s="6" t="str">
        <f>Table333456789101217[[#This Row],[Carrier Code]]</f>
        <v>AU</v>
      </c>
      <c r="D43" s="10">
        <v>56.116666666666667</v>
      </c>
      <c r="E43" s="10">
        <v>56.116666666666667</v>
      </c>
      <c r="F43" s="18">
        <f>Table3334567891012133945[[#This Row],[Company Panel]]</f>
        <v>56.116666666666667</v>
      </c>
      <c r="G43" s="18">
        <f>Table3334567891012133945[[#This Row],[Our panel]]</f>
        <v>56.116666666666667</v>
      </c>
      <c r="H43" s="13">
        <f>Table3334567891012133945[[#This Row],[Company Panel]]-Table3334567891012133945[[#This Row],[Our panel]]</f>
        <v>0</v>
      </c>
      <c r="I43" s="13">
        <f>Table3334567891012133945[[#This Row],[MTD Company]]-Table3334567891012133945[[#This Row],[MTD Panel]]</f>
        <v>0</v>
      </c>
    </row>
    <row r="44" spans="1:9">
      <c r="A44" s="11" t="str">
        <f>Table333456789101217[[#This Row],[Carrier]]</f>
        <v>Mystic</v>
      </c>
      <c r="B44" s="95" t="str">
        <f>Table333456789101217[[#This Row],[IP]]</f>
        <v>51.233.21.76/82.115.35.60/82.115.35.85</v>
      </c>
      <c r="C44" s="6" t="str">
        <f>Table333456789101217[[#This Row],[Carrier Code]]</f>
        <v>MY</v>
      </c>
      <c r="D44" s="10">
        <v>0</v>
      </c>
      <c r="E44" s="10">
        <v>0</v>
      </c>
      <c r="F44" s="18">
        <f>Table3334567891012133945[[#This Row],[Company Panel]]</f>
        <v>0</v>
      </c>
      <c r="G44" s="18">
        <f>Table3334567891012133945[[#This Row],[Our panel]]</f>
        <v>0</v>
      </c>
      <c r="H44" s="13">
        <f>Table3334567891012133945[[#This Row],[Company Panel]]-Table3334567891012133945[[#This Row],[Our panel]]</f>
        <v>0</v>
      </c>
      <c r="I44" s="13">
        <f>Table3334567891012133945[[#This Row],[MTD Company]]-Table3334567891012133945[[#This Row],[MTD Panel]]</f>
        <v>0</v>
      </c>
    </row>
    <row r="45" spans="1:9">
      <c r="A45" s="11" t="str">
        <f>Table333456789101217[[#This Row],[Carrier]]</f>
        <v>Clover</v>
      </c>
      <c r="B45" s="95" t="str">
        <f>Table333456789101217[[#This Row],[IP]]</f>
        <v>210.150.12.45/84.50.212.66/135.113.88.9</v>
      </c>
      <c r="C45" s="6" t="str">
        <f>Table333456789101217[[#This Row],[Carrier Code]]</f>
        <v>CO</v>
      </c>
      <c r="D45" s="10">
        <v>14040.283333333333</v>
      </c>
      <c r="E45" s="10">
        <v>14040.283333333333</v>
      </c>
      <c r="F45" s="18">
        <f>Table3334567891012133945[[#This Row],[Company Panel]]</f>
        <v>14040.283333333333</v>
      </c>
      <c r="G45" s="18">
        <f>Table3334567891012133945[[#This Row],[Our panel]]</f>
        <v>14040.283333333333</v>
      </c>
      <c r="H45" s="13">
        <f>Table3334567891012133945[[#This Row],[Company Panel]]-Table3334567891012133945[[#This Row],[Our panel]]</f>
        <v>0</v>
      </c>
      <c r="I45" s="13">
        <f>Table3334567891012133945[[#This Row],[MTD Company]]-Table3334567891012133945[[#This Row],[MTD Panel]]</f>
        <v>0</v>
      </c>
    </row>
    <row r="46" spans="1:9">
      <c r="A46" s="93" t="str">
        <f>Table333456789101217[[#This Row],[Carrier]]</f>
        <v>Hunter</v>
      </c>
      <c r="B46" s="95" t="str">
        <f>Table333456789101217[[#This Row],[IP]]</f>
        <v>170.199.20.87/13.693.39.280/78.30.123.47</v>
      </c>
      <c r="C46" s="94" t="str">
        <f>Table333456789101217[[#This Row],[Carrier Code]]</f>
        <v>HU</v>
      </c>
      <c r="D46" s="10">
        <v>1836.1</v>
      </c>
      <c r="E46" s="10">
        <v>1836.1</v>
      </c>
      <c r="F46" s="18">
        <f>Table3334567891012133945[[#This Row],[Company Panel]]</f>
        <v>1836.1</v>
      </c>
      <c r="G46" s="18">
        <f>Table3334567891012133945[[#This Row],[Our panel]]</f>
        <v>1836.1</v>
      </c>
      <c r="H46" s="13">
        <f>Table3334567891012133945[[#This Row],[Company Panel]]-Table3334567891012133945[[#This Row],[Our panel]]</f>
        <v>0</v>
      </c>
      <c r="I46" s="13">
        <f>Table3334567891012133945[[#This Row],[MTD Company]]-Table3334567891012133945[[#This Row],[MTD Panel]]</f>
        <v>0</v>
      </c>
    </row>
    <row r="47" spans="1:9">
      <c r="A47" s="93" t="str">
        <f>Table333456789101217[[#This Row],[Carrier]]</f>
        <v>Invaded</v>
      </c>
      <c r="B47" s="95" t="str">
        <f>Table333456789101217[[#This Row],[IP]]</f>
        <v>182.67.99.120/80.518.230.410/26.847.95.107/188.12.67.92</v>
      </c>
      <c r="C47" s="94" t="str">
        <f>Table333456789101217[[#This Row],[Carrier Code]]</f>
        <v>ID</v>
      </c>
      <c r="D47" s="10">
        <v>0</v>
      </c>
      <c r="E47" s="10">
        <v>0</v>
      </c>
      <c r="F47" s="18">
        <f>Table3334567891012133945[[#This Row],[Company Panel]]</f>
        <v>0</v>
      </c>
      <c r="G47" s="18">
        <f>Table3334567891012133945[[#This Row],[Our panel]]</f>
        <v>0</v>
      </c>
      <c r="H47" s="13">
        <f>Table3334567891012133945[[#This Row],[Company Panel]]-Table3334567891012133945[[#This Row],[Our panel]]</f>
        <v>0</v>
      </c>
      <c r="I47" s="13">
        <f>Table3334567891012133945[[#This Row],[MTD Company]]-Table3334567891012133945[[#This Row],[MTD Panel]]</f>
        <v>0</v>
      </c>
    </row>
    <row r="48" spans="1:9">
      <c r="A48" s="93" t="str">
        <f>Table333456789101217[[#This Row],[Carrier]]</f>
        <v>Delusion</v>
      </c>
      <c r="B48" s="95" t="str">
        <f>Table333456789101217[[#This Row],[IP]]</f>
        <v>198.51.100.72/69.887.74.738/39.153.110.645</v>
      </c>
      <c r="C48" s="94" t="str">
        <f>Table333456789101217[[#This Row],[Carrier Code]]</f>
        <v>DU</v>
      </c>
      <c r="D48" s="10">
        <v>0</v>
      </c>
      <c r="E48" s="10">
        <v>0</v>
      </c>
      <c r="F48" s="18">
        <f>Table3334567891012133945[[#This Row],[Company Panel]]</f>
        <v>0</v>
      </c>
      <c r="G48" s="18">
        <f>Table3334567891012133945[[#This Row],[Our panel]]</f>
        <v>0</v>
      </c>
      <c r="H48" s="13">
        <f>Table3334567891012133945[[#This Row],[Company Panel]]-Table3334567891012133945[[#This Row],[Our panel]]</f>
        <v>0</v>
      </c>
      <c r="I48" s="13">
        <f>Table3334567891012133945[[#This Row],[MTD Company]]-Table3334567891012133945[[#This Row],[MTD Panel]]</f>
        <v>0</v>
      </c>
    </row>
    <row r="49" spans="1:9" ht="15.5">
      <c r="A49" s="14" t="s">
        <v>29</v>
      </c>
      <c r="B49" s="14" t="s">
        <v>34</v>
      </c>
      <c r="C49" s="14"/>
      <c r="D49" s="98">
        <f>SUM(Table3334567891012133945[Company Panel])</f>
        <v>63236.133333333331</v>
      </c>
      <c r="E49" s="98">
        <f>SUM(Table3334567891012133945[Our panel])</f>
        <v>63236.133333333331</v>
      </c>
      <c r="F49" s="98">
        <f>SUM(Table3334567891012133945[MTD Company])</f>
        <v>63236.133333333331</v>
      </c>
      <c r="G49" s="98">
        <f>SUM(Table3334567891012133945[MTD Panel])</f>
        <v>63236.133333333331</v>
      </c>
      <c r="H49" s="98">
        <f>SUM(Table3334567891012133945[Difference])</f>
        <v>0</v>
      </c>
      <c r="I49" s="98">
        <f>SUM(I4:I48)</f>
        <v>0</v>
      </c>
    </row>
  </sheetData>
  <conditionalFormatting sqref="I49">
    <cfRule type="cellIs" dxfId="675" priority="3" operator="lessThan">
      <formula>0</formula>
    </cfRule>
  </conditionalFormatting>
  <conditionalFormatting sqref="I49">
    <cfRule type="cellIs" dxfId="674" priority="1" operator="lessThan">
      <formula>0</formula>
    </cfRule>
    <cfRule type="cellIs" dxfId="673" priority="2" operator="lessThan">
      <formula>0</formula>
    </cfRule>
  </conditionalFormatting>
  <conditionalFormatting sqref="H2:I48">
    <cfRule type="cellIs" dxfId="672" priority="6" operator="lessThan">
      <formula>0</formula>
    </cfRule>
  </conditionalFormatting>
  <conditionalFormatting sqref="I3:I48">
    <cfRule type="cellIs" dxfId="671" priority="4" operator="lessThan">
      <formula>0</formula>
    </cfRule>
    <cfRule type="cellIs" dxfId="670" priority="5" operator="lessThan">
      <formula>0</formula>
    </cfRule>
  </conditionalFormatting>
  <hyperlinks>
    <hyperlink ref="E1" location="H!A1" display="Home"/>
    <hyperlink ref="D1" location="M!D1" display="←"/>
    <hyperlink ref="F1" location="'W2'!F1" display="→"/>
  </hyperlink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D3" sqref="D3"/>
    </sheetView>
  </sheetViews>
  <sheetFormatPr defaultRowHeight="14.5"/>
  <cols>
    <col min="1" max="1" width="41.453125" customWidth="1"/>
    <col min="2" max="2" width="55.54296875" bestFit="1" customWidth="1"/>
    <col min="3" max="3" width="10.453125" customWidth="1"/>
    <col min="4" max="9" width="12.7265625" customWidth="1"/>
    <col min="12" max="12" width="9.54296875" bestFit="1" customWidth="1"/>
  </cols>
  <sheetData>
    <row r="1" spans="1:12" ht="18.5">
      <c r="A1" s="23" t="str">
        <f>H!G3</f>
        <v>07 April 2025 to 13 April 2025</v>
      </c>
      <c r="B1" s="24"/>
      <c r="C1" s="24"/>
      <c r="D1" s="22" t="s">
        <v>16</v>
      </c>
      <c r="E1" s="22" t="s">
        <v>9</v>
      </c>
      <c r="F1" s="22" t="s">
        <v>17</v>
      </c>
    </row>
    <row r="2" spans="1:12" ht="31">
      <c r="A2" s="1" t="s">
        <v>0</v>
      </c>
      <c r="B2" s="2" t="s">
        <v>1</v>
      </c>
      <c r="C2" s="2" t="s">
        <v>2</v>
      </c>
      <c r="D2" s="2" t="s">
        <v>3</v>
      </c>
      <c r="E2" s="2" t="s">
        <v>11</v>
      </c>
      <c r="F2" s="2" t="s">
        <v>4</v>
      </c>
      <c r="G2" s="4" t="s">
        <v>6</v>
      </c>
      <c r="H2" s="4" t="s">
        <v>7</v>
      </c>
      <c r="I2" s="3" t="s">
        <v>8</v>
      </c>
    </row>
    <row r="3" spans="1:12">
      <c r="A3" s="11" t="str">
        <f>Table333456789101217[[#This Row],[Carrier]]</f>
        <v>Blaze</v>
      </c>
      <c r="B3" s="5" t="str">
        <f>Table333456789101217[[#This Row],[IP]]</f>
        <v>8.12.34.56/48.163.17.845/60.502.86.203/191.45.28.14</v>
      </c>
      <c r="C3" s="6" t="str">
        <f>Table333456789101217[[#This Row],[Carrier Code]]</f>
        <v>BZ</v>
      </c>
      <c r="D3" s="53">
        <v>0</v>
      </c>
      <c r="E3" s="53">
        <v>0</v>
      </c>
      <c r="F3" s="18">
        <f>Table333456789101214[[#This Row],[Company Panel]]+Table3334567891012133945[[#This Row],[MTD Company]]</f>
        <v>0</v>
      </c>
      <c r="G3" s="18">
        <f>Table333456789101214[[#This Row],[Our panel]]+Table3334567891012133945[[#This Row],[MTD Panel]]</f>
        <v>0</v>
      </c>
      <c r="H3" s="13">
        <f>Table333456789101214[[#This Row],[Company Panel]]-Table333456789101214[[#This Row],[Our panel]]</f>
        <v>0</v>
      </c>
      <c r="I3" s="13">
        <f>Table333456789101214[[#This Row],[MTD Company]]-Table333456789101214[[#This Row],[MTD Panel]]</f>
        <v>0</v>
      </c>
    </row>
    <row r="4" spans="1:12">
      <c r="A4" s="11" t="str">
        <f>Table333456789101217[[#This Row],[Carrier]]</f>
        <v>Titan</v>
      </c>
      <c r="B4" s="5" t="str">
        <f>Table333456789101217[[#This Row],[IP]]</f>
        <v>123.45.67.89/123.45.67.93/203.24.101.65</v>
      </c>
      <c r="C4" s="6" t="str">
        <f>Table333456789101217[[#This Row],[Carrier Code]]</f>
        <v>TI</v>
      </c>
      <c r="D4" s="53">
        <v>111.65</v>
      </c>
      <c r="E4" s="53">
        <v>111.65</v>
      </c>
      <c r="F4" s="18">
        <f>Table333456789101214[[#This Row],[Company Panel]]+Table3334567891012133945[[#This Row],[MTD Company]]</f>
        <v>316</v>
      </c>
      <c r="G4" s="18">
        <f>Table333456789101214[[#This Row],[Our panel]]+Table3334567891012133945[[#This Row],[MTD Panel]]</f>
        <v>316</v>
      </c>
      <c r="H4" s="13">
        <f>Table333456789101214[[#This Row],[Company Panel]]-Table333456789101214[[#This Row],[Our panel]]</f>
        <v>0</v>
      </c>
      <c r="I4" s="13">
        <f>Table333456789101214[[#This Row],[MTD Company]]-Table333456789101214[[#This Row],[MTD Panel]]</f>
        <v>0</v>
      </c>
      <c r="L4" s="9"/>
    </row>
    <row r="5" spans="1:12">
      <c r="A5" s="11" t="str">
        <f>Table333456789101217[[#This Row],[Carrier]]</f>
        <v>Hollow</v>
      </c>
      <c r="B5" s="5" t="str">
        <f>Table333456789101217[[#This Row],[IP]]</f>
        <v>204.56.78.100/204.56.57.169/52.94.101.12</v>
      </c>
      <c r="C5" s="6" t="str">
        <f>Table333456789101217[[#This Row],[Carrier Code]]</f>
        <v>HO</v>
      </c>
      <c r="D5" s="53">
        <v>0</v>
      </c>
      <c r="E5" s="53">
        <v>0</v>
      </c>
      <c r="F5" s="18">
        <f>Table333456789101214[[#This Row],[Company Panel]]+Table3334567891012133945[[#This Row],[MTD Company]]</f>
        <v>0</v>
      </c>
      <c r="G5" s="18">
        <f>Table333456789101214[[#This Row],[Our panel]]+Table3334567891012133945[[#This Row],[MTD Panel]]</f>
        <v>0</v>
      </c>
      <c r="H5" s="13">
        <f>Table333456789101214[[#This Row],[Company Panel]]-Table333456789101214[[#This Row],[Our panel]]</f>
        <v>0</v>
      </c>
      <c r="I5" s="13">
        <f>Table333456789101214[[#This Row],[MTD Company]]-Table333456789101214[[#This Row],[MTD Panel]]</f>
        <v>0</v>
      </c>
    </row>
    <row r="6" spans="1:12">
      <c r="A6" s="11" t="str">
        <f>Table333456789101217[[#This Row],[Carrier]]</f>
        <v>Prism</v>
      </c>
      <c r="B6" s="5" t="str">
        <f>Table333456789101217[[#This Row],[IP]]</f>
        <v>35.118.22.45/137.63.112.25</v>
      </c>
      <c r="C6" s="6" t="str">
        <f>Table333456789101217[[#This Row],[Carrier Code]]</f>
        <v>PS</v>
      </c>
      <c r="D6" s="53">
        <v>27231.85</v>
      </c>
      <c r="E6" s="53">
        <v>27231.85</v>
      </c>
      <c r="F6" s="18">
        <f>Table333456789101214[[#This Row],[Company Panel]]+Table3334567891012133945[[#This Row],[MTD Company]]</f>
        <v>59799.35</v>
      </c>
      <c r="G6" s="18">
        <f>Table333456789101214[[#This Row],[Our panel]]+Table3334567891012133945[[#This Row],[MTD Panel]]</f>
        <v>59799.35</v>
      </c>
      <c r="H6" s="13">
        <f>Table333456789101214[[#This Row],[Company Panel]]-Table333456789101214[[#This Row],[Our panel]]</f>
        <v>0</v>
      </c>
      <c r="I6" s="13">
        <f>Table333456789101214[[#This Row],[MTD Company]]-Table333456789101214[[#This Row],[MTD Panel]]</f>
        <v>0</v>
      </c>
    </row>
    <row r="7" spans="1:12">
      <c r="A7" s="11" t="str">
        <f>Table333456789101217[[#This Row],[Carrier]]</f>
        <v>Echo</v>
      </c>
      <c r="B7" s="5" t="str">
        <f>Table333456789101217[[#This Row],[IP]]</f>
        <v>66.89.101.10/66.89.101.19/66.89.101.23/66.89.101.45/66.89.101.81/85.21.34.99</v>
      </c>
      <c r="C7" s="6" t="str">
        <f>Table333456789101217[[#This Row],[Carrier Code]]</f>
        <v>EC</v>
      </c>
      <c r="D7" s="53">
        <v>26.533333333333335</v>
      </c>
      <c r="E7" s="53">
        <v>26.533333333333335</v>
      </c>
      <c r="F7" s="18">
        <f>Table333456789101214[[#This Row],[Company Panel]]+Table3334567891012133945[[#This Row],[MTD Company]]</f>
        <v>37.200000000000003</v>
      </c>
      <c r="G7" s="18">
        <f>Table333456789101214[[#This Row],[Our panel]]+Table3334567891012133945[[#This Row],[MTD Panel]]</f>
        <v>37.200000000000003</v>
      </c>
      <c r="H7" s="13">
        <f>Table333456789101214[[#This Row],[Company Panel]]-Table333456789101214[[#This Row],[Our panel]]</f>
        <v>0</v>
      </c>
      <c r="I7" s="13">
        <f>Table333456789101214[[#This Row],[MTD Company]]-Table333456789101214[[#This Row],[MTD Panel]]</f>
        <v>0</v>
      </c>
    </row>
    <row r="8" spans="1:12">
      <c r="A8" s="11" t="str">
        <f>Table333456789101217[[#This Row],[Carrier]]</f>
        <v>Strike</v>
      </c>
      <c r="B8" s="5" t="str">
        <f>Table333456789101217[[#This Row],[IP]]</f>
        <v>100.200.150.3/100.200.165.38/41.102.90.78</v>
      </c>
      <c r="C8" s="6" t="str">
        <f>Table333456789101217[[#This Row],[Carrier Code]]</f>
        <v>ST</v>
      </c>
      <c r="D8" s="53">
        <v>868.8</v>
      </c>
      <c r="E8" s="53">
        <v>868.8</v>
      </c>
      <c r="F8" s="18">
        <f>Table333456789101214[[#This Row],[Company Panel]]+Table3334567891012133945[[#This Row],[MTD Company]]</f>
        <v>1427.4833333333331</v>
      </c>
      <c r="G8" s="18">
        <f>Table333456789101214[[#This Row],[Our panel]]+Table3334567891012133945[[#This Row],[MTD Panel]]</f>
        <v>1427.4833333333331</v>
      </c>
      <c r="H8" s="13">
        <f>Table333456789101214[[#This Row],[Company Panel]]-Table333456789101214[[#This Row],[Our panel]]</f>
        <v>0</v>
      </c>
      <c r="I8" s="13">
        <f>Table333456789101214[[#This Row],[MTD Company]]-Table333456789101214[[#This Row],[MTD Panel]]</f>
        <v>0</v>
      </c>
      <c r="L8" s="9"/>
    </row>
    <row r="9" spans="1:12">
      <c r="A9" s="11" t="str">
        <f>Table333456789101217[[#This Row],[Carrier]]</f>
        <v>Blunt</v>
      </c>
      <c r="B9" s="5" t="str">
        <f>Table333456789101217[[#This Row],[IP]]</f>
        <v>52.28.191.25/52.28.191.38/52.28.191.24/61.110.23.45</v>
      </c>
      <c r="C9" s="6" t="str">
        <f>Table333456789101217[[#This Row],[Carrier Code]]</f>
        <v>BL</v>
      </c>
      <c r="D9" s="53">
        <v>6020.9666666666662</v>
      </c>
      <c r="E9" s="53">
        <v>6020.9666666666662</v>
      </c>
      <c r="F9" s="18">
        <f>Table333456789101214[[#This Row],[Company Panel]]+Table3334567891012133945[[#This Row],[MTD Company]]</f>
        <v>7796.0999999999995</v>
      </c>
      <c r="G9" s="18">
        <f>Table333456789101214[[#This Row],[Our panel]]+Table3334567891012133945[[#This Row],[MTD Panel]]</f>
        <v>7796.0999999999995</v>
      </c>
      <c r="H9" s="13">
        <f>Table333456789101214[[#This Row],[Company Panel]]-Table333456789101214[[#This Row],[Our panel]]</f>
        <v>0</v>
      </c>
      <c r="I9" s="13">
        <f>Table333456789101214[[#This Row],[MTD Company]]-Table333456789101214[[#This Row],[MTD Panel]]</f>
        <v>0</v>
      </c>
    </row>
    <row r="10" spans="1:12">
      <c r="A10" s="11" t="str">
        <f>Table333456789101217[[#This Row],[Carrier]]</f>
        <v>Law</v>
      </c>
      <c r="B10" s="5" t="str">
        <f>Table333456789101217[[#This Row],[IP]]</f>
        <v>77.88.99.21/77.88.99.88/77.88.99.94/110.56.211.7</v>
      </c>
      <c r="C10" s="6" t="str">
        <f>Table333456789101217[[#This Row],[Carrier Code]]</f>
        <v>LA</v>
      </c>
      <c r="D10" s="53">
        <v>0</v>
      </c>
      <c r="E10" s="53">
        <v>0</v>
      </c>
      <c r="F10" s="18">
        <f>Table333456789101214[[#This Row],[Company Panel]]+Table3334567891012133945[[#This Row],[MTD Company]]</f>
        <v>0</v>
      </c>
      <c r="G10" s="18">
        <f>Table333456789101214[[#This Row],[Our panel]]+Table3334567891012133945[[#This Row],[MTD Panel]]</f>
        <v>0</v>
      </c>
      <c r="H10" s="13">
        <f>Table333456789101214[[#This Row],[Company Panel]]-Table333456789101214[[#This Row],[Our panel]]</f>
        <v>0</v>
      </c>
      <c r="I10" s="13">
        <f>Table333456789101214[[#This Row],[MTD Company]]-Table333456789101214[[#This Row],[MTD Panel]]</f>
        <v>0</v>
      </c>
    </row>
    <row r="11" spans="1:12">
      <c r="A11" s="11" t="str">
        <f>Table333456789101217[[#This Row],[Carrier]]</f>
        <v>Pulse</v>
      </c>
      <c r="B11" s="5" t="str">
        <f>Table333456789101217[[#This Row],[IP]]</f>
        <v>198.51.100.130/31.725.16.608/66.59.61.503/167.34.122.90</v>
      </c>
      <c r="C11" s="6" t="str">
        <f>Table333456789101217[[#This Row],[Carrier Code]]</f>
        <v>PU</v>
      </c>
      <c r="D11" s="53">
        <v>0</v>
      </c>
      <c r="E11" s="53">
        <v>0</v>
      </c>
      <c r="F11" s="18">
        <f>Table333456789101214[[#This Row],[Company Panel]]+Table3334567891012133945[[#This Row],[MTD Company]]</f>
        <v>0</v>
      </c>
      <c r="G11" s="18">
        <f>Table333456789101214[[#This Row],[Our panel]]+Table3334567891012133945[[#This Row],[MTD Panel]]</f>
        <v>0</v>
      </c>
      <c r="H11" s="13">
        <f>Table333456789101214[[#This Row],[Company Panel]]-Table333456789101214[[#This Row],[Our panel]]</f>
        <v>0</v>
      </c>
      <c r="I11" s="13">
        <f>Table333456789101214[[#This Row],[MTD Company]]-Table333456789101214[[#This Row],[MTD Panel]]</f>
        <v>0</v>
      </c>
    </row>
    <row r="12" spans="1:12">
      <c r="A12" s="11" t="str">
        <f>Table333456789101217[[#This Row],[Carrier]]</f>
        <v>Phantom</v>
      </c>
      <c r="B12" s="5" t="str">
        <f>Table333456789101217[[#This Row],[IP]]</f>
        <v>141.15.210.67/141.15.42.82/179.62.211.4</v>
      </c>
      <c r="C12" s="6" t="str">
        <f>Table333456789101217[[#This Row],[Carrier Code]]</f>
        <v>PH</v>
      </c>
      <c r="D12" s="53">
        <v>3294.1</v>
      </c>
      <c r="E12" s="53">
        <v>3294.1</v>
      </c>
      <c r="F12" s="18">
        <f>Table333456789101214[[#This Row],[Company Panel]]+Table3334567891012133945[[#This Row],[MTD Company]]</f>
        <v>3322.9333333333334</v>
      </c>
      <c r="G12" s="18">
        <f>Table333456789101214[[#This Row],[Our panel]]+Table3334567891012133945[[#This Row],[MTD Panel]]</f>
        <v>3322.9333333333334</v>
      </c>
      <c r="H12" s="13">
        <f>Table333456789101214[[#This Row],[Company Panel]]-Table333456789101214[[#This Row],[Our panel]]</f>
        <v>0</v>
      </c>
      <c r="I12" s="13">
        <f>Table333456789101214[[#This Row],[MTD Company]]-Table333456789101214[[#This Row],[MTD Panel]]</f>
        <v>0</v>
      </c>
    </row>
    <row r="13" spans="1:12">
      <c r="A13" s="11" t="str">
        <f>Table333456789101217[[#This Row],[Carrier]]</f>
        <v>Dragon</v>
      </c>
      <c r="B13" s="5" t="str">
        <f>Table333456789101217[[#This Row],[IP]]</f>
        <v>12.34.56.78/12.34.56.128/200.180.245.18</v>
      </c>
      <c r="C13" s="6" t="str">
        <f>Table333456789101217[[#This Row],[Carrier Code]]</f>
        <v>DG</v>
      </c>
      <c r="D13" s="53">
        <v>0</v>
      </c>
      <c r="E13" s="53">
        <v>0</v>
      </c>
      <c r="F13" s="18">
        <f>Table333456789101214[[#This Row],[Company Panel]]+Table3334567891012133945[[#This Row],[MTD Company]]</f>
        <v>0</v>
      </c>
      <c r="G13" s="18">
        <f>Table333456789101214[[#This Row],[Our panel]]+Table3334567891012133945[[#This Row],[MTD Panel]]</f>
        <v>0</v>
      </c>
      <c r="H13" s="13">
        <f>Table333456789101214[[#This Row],[Company Panel]]-Table333456789101214[[#This Row],[Our panel]]</f>
        <v>0</v>
      </c>
      <c r="I13" s="13">
        <f>Table333456789101214[[#This Row],[MTD Company]]-Table333456789101214[[#This Row],[MTD Panel]]</f>
        <v>0</v>
      </c>
    </row>
    <row r="14" spans="1:12">
      <c r="A14" s="11" t="str">
        <f>Table333456789101217[[#This Row],[Carrier]]</f>
        <v>Tempest</v>
      </c>
      <c r="B14" s="5" t="str">
        <f>Table333456789101217[[#This Row],[IP]]</f>
        <v>59.144.223.88/55.39.99.60</v>
      </c>
      <c r="C14" s="6" t="str">
        <f>Table333456789101217[[#This Row],[Carrier Code]]</f>
        <v>TE</v>
      </c>
      <c r="D14" s="53">
        <v>0</v>
      </c>
      <c r="E14" s="53">
        <v>0</v>
      </c>
      <c r="F14" s="18">
        <f>Table333456789101214[[#This Row],[Company Panel]]+Table3334567891012133945[[#This Row],[MTD Company]]</f>
        <v>0</v>
      </c>
      <c r="G14" s="18">
        <f>Table333456789101214[[#This Row],[Our panel]]+Table3334567891012133945[[#This Row],[MTD Panel]]</f>
        <v>0</v>
      </c>
      <c r="H14" s="13">
        <f>Table333456789101214[[#This Row],[Company Panel]]-Table333456789101214[[#This Row],[Our panel]]</f>
        <v>0</v>
      </c>
      <c r="I14" s="13">
        <f>Table333456789101214[[#This Row],[MTD Company]]-Table333456789101214[[#This Row],[MTD Panel]]</f>
        <v>0</v>
      </c>
    </row>
    <row r="15" spans="1:12">
      <c r="A15" s="11" t="str">
        <f>Table333456789101217[[#This Row],[Carrier]]</f>
        <v>Shadow</v>
      </c>
      <c r="B15" s="5" t="str">
        <f>Table333456789101217[[#This Row],[IP]]</f>
        <v>175.45.112.100/25.851.31.153/39.80.220.100</v>
      </c>
      <c r="C15" s="6" t="str">
        <f>Table333456789101217[[#This Row],[Carrier Code]]</f>
        <v>SH</v>
      </c>
      <c r="D15" s="53">
        <v>0</v>
      </c>
      <c r="E15" s="53">
        <v>0</v>
      </c>
      <c r="F15" s="18">
        <f>Table333456789101214[[#This Row],[Company Panel]]+Table3334567891012133945[[#This Row],[MTD Company]]</f>
        <v>0</v>
      </c>
      <c r="G15" s="18">
        <f>Table333456789101214[[#This Row],[Our panel]]+Table3334567891012133945[[#This Row],[MTD Panel]]</f>
        <v>0</v>
      </c>
      <c r="H15" s="13">
        <f>Table333456789101214[[#This Row],[Company Panel]]-Table333456789101214[[#This Row],[Our panel]]</f>
        <v>0</v>
      </c>
      <c r="I15" s="13">
        <f>Table333456789101214[[#This Row],[MTD Company]]-Table333456789101214[[#This Row],[MTD Panel]]</f>
        <v>0</v>
      </c>
    </row>
    <row r="16" spans="1:12">
      <c r="A16" s="11" t="str">
        <f>Table333456789101217[[#This Row],[Carrier]]</f>
        <v>Cyclone</v>
      </c>
      <c r="B16" s="5" t="str">
        <f>Table333456789101217[[#This Row],[IP]]</f>
        <v>150.13.75.190/16.160.89.512/72.11.97.34</v>
      </c>
      <c r="C16" s="6" t="str">
        <f>Table333456789101217[[#This Row],[Carrier Code]]</f>
        <v>CY</v>
      </c>
      <c r="D16" s="53">
        <v>0</v>
      </c>
      <c r="E16" s="53">
        <v>0</v>
      </c>
      <c r="F16" s="18">
        <f>Table333456789101214[[#This Row],[Company Panel]]+Table3334567891012133945[[#This Row],[MTD Company]]</f>
        <v>0</v>
      </c>
      <c r="G16" s="18">
        <f>Table333456789101214[[#This Row],[Our panel]]+Table3334567891012133945[[#This Row],[MTD Panel]]</f>
        <v>0</v>
      </c>
      <c r="H16" s="13">
        <f>Table333456789101214[[#This Row],[Company Panel]]-Table333456789101214[[#This Row],[Our panel]]</f>
        <v>0</v>
      </c>
      <c r="I16" s="13">
        <f>Table333456789101214[[#This Row],[MTD Company]]-Table333456789101214[[#This Row],[MTD Panel]]</f>
        <v>0</v>
      </c>
    </row>
    <row r="17" spans="1:9">
      <c r="A17" s="11" t="str">
        <f>Table333456789101217[[#This Row],[Carrier]]</f>
        <v>Reaver</v>
      </c>
      <c r="B17" s="5" t="str">
        <f>Table333456789101217[[#This Row],[IP]]</f>
        <v>203.0.113.44/188.17.56.210</v>
      </c>
      <c r="C17" s="6" t="str">
        <f>Table333456789101217[[#This Row],[Carrier Code]]</f>
        <v>RE</v>
      </c>
      <c r="D17" s="53">
        <v>0</v>
      </c>
      <c r="E17" s="53">
        <v>0</v>
      </c>
      <c r="F17" s="18">
        <f>Table333456789101214[[#This Row],[Company Panel]]+Table3334567891012133945[[#This Row],[MTD Company]]</f>
        <v>0</v>
      </c>
      <c r="G17" s="18">
        <f>Table333456789101214[[#This Row],[Our panel]]+Table3334567891012133945[[#This Row],[MTD Panel]]</f>
        <v>0</v>
      </c>
      <c r="H17" s="13">
        <f>Table333456789101214[[#This Row],[Company Panel]]-Table333456789101214[[#This Row],[Our panel]]</f>
        <v>0</v>
      </c>
      <c r="I17" s="13">
        <f>Table333456789101214[[#This Row],[MTD Company]]-Table333456789101214[[#This Row],[MTD Panel]]</f>
        <v>0</v>
      </c>
    </row>
    <row r="18" spans="1:9">
      <c r="A18" s="11" t="str">
        <f>Table333456789101217[[#This Row],[Carrier]]</f>
        <v>Forge</v>
      </c>
      <c r="B18" s="5" t="str">
        <f>Table333456789101217[[#This Row],[IP]]</f>
        <v>112.54.89.168/112.54.89.138</v>
      </c>
      <c r="C18" s="6" t="str">
        <f>Table333456789101217[[#This Row],[Carrier Code]]</f>
        <v>FO</v>
      </c>
      <c r="D18" s="53">
        <v>185.08333333333334</v>
      </c>
      <c r="E18" s="53">
        <v>185.08333333333334</v>
      </c>
      <c r="F18" s="18">
        <f>Table333456789101214[[#This Row],[Company Panel]]+Table3334567891012133945[[#This Row],[MTD Company]]</f>
        <v>340.9666666666667</v>
      </c>
      <c r="G18" s="18">
        <f>Table333456789101214[[#This Row],[Our panel]]+Table3334567891012133945[[#This Row],[MTD Panel]]</f>
        <v>340.9666666666667</v>
      </c>
      <c r="H18" s="13">
        <f>Table333456789101214[[#This Row],[Company Panel]]-Table333456789101214[[#This Row],[Our panel]]</f>
        <v>0</v>
      </c>
      <c r="I18" s="13">
        <f>Table333456789101214[[#This Row],[MTD Company]]-Table333456789101214[[#This Row],[MTD Panel]]</f>
        <v>0</v>
      </c>
    </row>
    <row r="19" spans="1:9">
      <c r="A19" s="11" t="str">
        <f>Table333456789101217[[#This Row],[Carrier]]</f>
        <v>Ember</v>
      </c>
      <c r="B19" s="5" t="str">
        <f>Table333456789101217[[#This Row],[IP]]</f>
        <v>78.34.90.24/328.56.122.44/142.150.75.22</v>
      </c>
      <c r="C19" s="6" t="str">
        <f>Table333456789101217[[#This Row],[Carrier Code]]</f>
        <v>EM</v>
      </c>
      <c r="D19" s="53">
        <v>0</v>
      </c>
      <c r="E19" s="53">
        <v>0</v>
      </c>
      <c r="F19" s="18">
        <f>Table333456789101214[[#This Row],[Company Panel]]+Table3334567891012133945[[#This Row],[MTD Company]]</f>
        <v>0</v>
      </c>
      <c r="G19" s="18">
        <f>Table333456789101214[[#This Row],[Our panel]]+Table3334567891012133945[[#This Row],[MTD Panel]]</f>
        <v>0</v>
      </c>
      <c r="H19" s="13">
        <f>Table333456789101214[[#This Row],[Company Panel]]-Table333456789101214[[#This Row],[Our panel]]</f>
        <v>0</v>
      </c>
      <c r="I19" s="13">
        <f>Table333456789101214[[#This Row],[MTD Company]]-Table333456789101214[[#This Row],[MTD Panel]]</f>
        <v>0</v>
      </c>
    </row>
    <row r="20" spans="1:9">
      <c r="A20" s="11" t="str">
        <f>Table333456789101217[[#This Row],[Carrier]]</f>
        <v>Specter</v>
      </c>
      <c r="B20" s="5" t="str">
        <f>Table333456789101217[[#This Row],[IP]]</f>
        <v>205.60.34.150</v>
      </c>
      <c r="C20" s="6" t="str">
        <f>Table333456789101217[[#This Row],[Carrier Code]]</f>
        <v>SP</v>
      </c>
      <c r="D20" s="53">
        <v>1.8</v>
      </c>
      <c r="E20" s="53">
        <v>1.8</v>
      </c>
      <c r="F20" s="18">
        <f>Table333456789101214[[#This Row],[Company Panel]]+Table3334567891012133945[[#This Row],[MTD Company]]</f>
        <v>11.8</v>
      </c>
      <c r="G20" s="18">
        <f>Table333456789101214[[#This Row],[Our panel]]+Table3334567891012133945[[#This Row],[MTD Panel]]</f>
        <v>11.8</v>
      </c>
      <c r="H20" s="13">
        <f>Table333456789101214[[#This Row],[Company Panel]]-Table333456789101214[[#This Row],[Our panel]]</f>
        <v>0</v>
      </c>
      <c r="I20" s="13">
        <f>Table333456789101214[[#This Row],[MTD Company]]-Table333456789101214[[#This Row],[MTD Panel]]</f>
        <v>0</v>
      </c>
    </row>
    <row r="21" spans="1:9">
      <c r="A21" s="11" t="str">
        <f>Table333456789101217[[#This Row],[Carrier]]</f>
        <v>Throne</v>
      </c>
      <c r="B21" s="5" t="str">
        <f>Table333456789101217[[#This Row],[IP]]</f>
        <v>54.32.11.90/27.758.27.201/125.150.58.20</v>
      </c>
      <c r="C21" s="6" t="str">
        <f>Table333456789101217[[#This Row],[Carrier Code]]</f>
        <v>TH</v>
      </c>
      <c r="D21" s="53">
        <v>0</v>
      </c>
      <c r="E21" s="53">
        <v>0</v>
      </c>
      <c r="F21" s="18">
        <f>Table333456789101214[[#This Row],[Company Panel]]+Table3334567891012133945[[#This Row],[MTD Company]]</f>
        <v>0</v>
      </c>
      <c r="G21" s="18">
        <f>Table333456789101214[[#This Row],[Our panel]]+Table3334567891012133945[[#This Row],[MTD Panel]]</f>
        <v>0</v>
      </c>
      <c r="H21" s="13">
        <f>Table333456789101214[[#This Row],[Company Panel]]-Table333456789101214[[#This Row],[Our panel]]</f>
        <v>0</v>
      </c>
      <c r="I21" s="13">
        <f>Table333456789101214[[#This Row],[MTD Company]]-Table333456789101214[[#This Row],[MTD Panel]]</f>
        <v>0</v>
      </c>
    </row>
    <row r="22" spans="1:9">
      <c r="A22" s="11" t="str">
        <f>Table333456789101217[[#This Row],[Carrier]]</f>
        <v>Arcane</v>
      </c>
      <c r="B22" s="5" t="str">
        <f>Table333456789101217[[#This Row],[IP]]</f>
        <v>212.100.25.78/212.100.25.87</v>
      </c>
      <c r="C22" s="6" t="str">
        <f>Table333456789101217[[#This Row],[Carrier Code]]</f>
        <v>AR</v>
      </c>
      <c r="D22" s="53">
        <v>0.58333333333333337</v>
      </c>
      <c r="E22" s="53">
        <v>0.58333333333333337</v>
      </c>
      <c r="F22" s="18">
        <f>Table333456789101214[[#This Row],[Company Panel]]+Table3334567891012133945[[#This Row],[MTD Company]]</f>
        <v>0.58333333333333337</v>
      </c>
      <c r="G22" s="18">
        <f>Table333456789101214[[#This Row],[Our panel]]+Table3334567891012133945[[#This Row],[MTD Panel]]</f>
        <v>0.58333333333333337</v>
      </c>
      <c r="H22" s="13">
        <f>Table333456789101214[[#This Row],[Company Panel]]-Table333456789101214[[#This Row],[Our panel]]</f>
        <v>0</v>
      </c>
      <c r="I22" s="13">
        <f>Table333456789101214[[#This Row],[MTD Company]]-Table333456789101214[[#This Row],[MTD Panel]]</f>
        <v>0</v>
      </c>
    </row>
    <row r="23" spans="1:9">
      <c r="A23" s="11" t="str">
        <f>Table333456789101217[[#This Row],[Carrier]]</f>
        <v>Glitch</v>
      </c>
      <c r="B23" s="5" t="str">
        <f>Table333456789101217[[#This Row],[IP]]</f>
        <v>198.204.100.12/198.204.100.34/198.204.100.51</v>
      </c>
      <c r="C23" s="6" t="str">
        <f>Table333456789101217[[#This Row],[Carrier Code]]</f>
        <v>GL</v>
      </c>
      <c r="D23" s="53">
        <v>0</v>
      </c>
      <c r="E23" s="53">
        <v>0</v>
      </c>
      <c r="F23" s="18">
        <f>Table333456789101214[[#This Row],[Company Panel]]+Table3334567891012133945[[#This Row],[MTD Company]]</f>
        <v>0</v>
      </c>
      <c r="G23" s="18">
        <f>Table333456789101214[[#This Row],[Our panel]]+Table3334567891012133945[[#This Row],[MTD Panel]]</f>
        <v>0</v>
      </c>
      <c r="H23" s="13">
        <f>Table333456789101214[[#This Row],[Company Panel]]-Table333456789101214[[#This Row],[Our panel]]</f>
        <v>0</v>
      </c>
      <c r="I23" s="13">
        <f>Table333456789101214[[#This Row],[MTD Company]]-Table333456789101214[[#This Row],[MTD Panel]]</f>
        <v>0</v>
      </c>
    </row>
    <row r="24" spans="1:9">
      <c r="A24" s="11" t="str">
        <f>Table333456789101217[[#This Row],[Carrier]]</f>
        <v>Nitro</v>
      </c>
      <c r="B24" s="5" t="str">
        <f>Table333456789101217[[#This Row],[IP]]</f>
        <v>15.150.200.33/119.82.200.100</v>
      </c>
      <c r="C24" s="6" t="str">
        <f>Table333456789101217[[#This Row],[Carrier Code]]</f>
        <v>NI</v>
      </c>
      <c r="D24" s="53">
        <v>0</v>
      </c>
      <c r="E24" s="53">
        <v>0</v>
      </c>
      <c r="F24" s="18">
        <f>Table333456789101214[[#This Row],[Company Panel]]+Table3334567891012133945[[#This Row],[MTD Company]]</f>
        <v>0</v>
      </c>
      <c r="G24" s="18">
        <f>Table333456789101214[[#This Row],[Our panel]]+Table3334567891012133945[[#This Row],[MTD Panel]]</f>
        <v>0</v>
      </c>
      <c r="H24" s="13">
        <f>Table333456789101214[[#This Row],[Company Panel]]-Table333456789101214[[#This Row],[Our panel]]</f>
        <v>0</v>
      </c>
      <c r="I24" s="13">
        <f>Table333456789101214[[#This Row],[MTD Company]]-Table333456789101214[[#This Row],[MTD Panel]]</f>
        <v>0</v>
      </c>
    </row>
    <row r="25" spans="1:9">
      <c r="A25" s="11" t="str">
        <f>Table333456789101217[[#This Row],[Carrier]]</f>
        <v>Drip</v>
      </c>
      <c r="B25" s="5" t="str">
        <f>Table333456789101217[[#This Row],[IP]]</f>
        <v>84.13.76.190/90.945.80.11/198.160.234.5</v>
      </c>
      <c r="C25" s="6" t="str">
        <f>Table333456789101217[[#This Row],[Carrier Code]]</f>
        <v>DR</v>
      </c>
      <c r="D25" s="53">
        <v>0</v>
      </c>
      <c r="E25" s="53">
        <v>0</v>
      </c>
      <c r="F25" s="18">
        <f>Table333456789101214[[#This Row],[Company Panel]]+Table3334567891012133945[[#This Row],[MTD Company]]</f>
        <v>0</v>
      </c>
      <c r="G25" s="18">
        <f>Table333456789101214[[#This Row],[Our panel]]+Table3334567891012133945[[#This Row],[MTD Panel]]</f>
        <v>0</v>
      </c>
      <c r="H25" s="13">
        <f>Table333456789101214[[#This Row],[Company Panel]]-Table333456789101214[[#This Row],[Our panel]]</f>
        <v>0</v>
      </c>
      <c r="I25" s="13">
        <f>Table333456789101214[[#This Row],[MTD Company]]-Table333456789101214[[#This Row],[MTD Panel]]</f>
        <v>0</v>
      </c>
    </row>
    <row r="26" spans="1:9">
      <c r="A26" s="11" t="str">
        <f>Table333456789101217[[#This Row],[Carrier]]</f>
        <v>Glide</v>
      </c>
      <c r="B26" s="5" t="str">
        <f>Table333456789101217[[#This Row],[IP]]</f>
        <v>120.45.12.25/85.739.221.80/85.739.221.93</v>
      </c>
      <c r="C26" s="6" t="str">
        <f>Table333456789101217[[#This Row],[Carrier Code]]</f>
        <v>GI</v>
      </c>
      <c r="D26" s="53">
        <v>0</v>
      </c>
      <c r="E26" s="53">
        <v>0</v>
      </c>
      <c r="F26" s="18">
        <f>Table333456789101214[[#This Row],[Company Panel]]+Table3334567891012133945[[#This Row],[MTD Company]]</f>
        <v>0</v>
      </c>
      <c r="G26" s="18">
        <f>Table333456789101214[[#This Row],[Our panel]]+Table3334567891012133945[[#This Row],[MTD Panel]]</f>
        <v>0</v>
      </c>
      <c r="H26" s="13">
        <f>Table333456789101214[[#This Row],[Company Panel]]-Table333456789101214[[#This Row],[Our panel]]</f>
        <v>0</v>
      </c>
      <c r="I26" s="13">
        <f>Table333456789101214[[#This Row],[MTD Company]]-Table333456789101214[[#This Row],[MTD Panel]]</f>
        <v>0</v>
      </c>
    </row>
    <row r="27" spans="1:9">
      <c r="A27" s="11" t="str">
        <f>Table333456789101217[[#This Row],[Carrier]]</f>
        <v>Orbit</v>
      </c>
      <c r="B27" s="5" t="str">
        <f>Table333456789101217[[#This Row],[IP]]</f>
        <v>176.98.54.112/60.110.154.91/60.110.155.162</v>
      </c>
      <c r="C27" s="6" t="str">
        <f>Table333456789101217[[#This Row],[Carrier Code]]</f>
        <v>OR</v>
      </c>
      <c r="D27" s="53">
        <v>0</v>
      </c>
      <c r="E27" s="53">
        <v>0</v>
      </c>
      <c r="F27" s="18">
        <f>Table333456789101214[[#This Row],[Company Panel]]+Table3334567891012133945[[#This Row],[MTD Company]]</f>
        <v>0</v>
      </c>
      <c r="G27" s="18">
        <f>Table333456789101214[[#This Row],[Our panel]]+Table3334567891012133945[[#This Row],[MTD Panel]]</f>
        <v>0</v>
      </c>
      <c r="H27" s="13">
        <f>Table333456789101214[[#This Row],[Company Panel]]-Table333456789101214[[#This Row],[Our panel]]</f>
        <v>0</v>
      </c>
      <c r="I27" s="13">
        <f>Table333456789101214[[#This Row],[MTD Company]]-Table333456789101214[[#This Row],[MTD Panel]]</f>
        <v>0</v>
      </c>
    </row>
    <row r="28" spans="1:9">
      <c r="A28" s="11" t="str">
        <f>Table333456789101217[[#This Row],[Carrier]]</f>
        <v>Thunder</v>
      </c>
      <c r="B28" s="5" t="str">
        <f>Table333456789101217[[#This Row],[IP]]</f>
        <v>67.102.200.9/81.905.48.847/143.235.100.34</v>
      </c>
      <c r="C28" s="6" t="str">
        <f>Table333456789101217[[#This Row],[Carrier Code]]</f>
        <v>TU</v>
      </c>
      <c r="D28" s="53">
        <v>208.98333333333332</v>
      </c>
      <c r="E28" s="53">
        <v>208.98333333333332</v>
      </c>
      <c r="F28" s="18">
        <f>Table333456789101214[[#This Row],[Company Panel]]+Table3334567891012133945[[#This Row],[MTD Company]]</f>
        <v>328.13333333333333</v>
      </c>
      <c r="G28" s="18">
        <f>Table333456789101214[[#This Row],[Our panel]]+Table3334567891012133945[[#This Row],[MTD Panel]]</f>
        <v>328.13333333333333</v>
      </c>
      <c r="H28" s="13">
        <f>Table333456789101214[[#This Row],[Company Panel]]-Table333456789101214[[#This Row],[Our panel]]</f>
        <v>0</v>
      </c>
      <c r="I28" s="13">
        <f>Table333456789101214[[#This Row],[MTD Company]]-Table333456789101214[[#This Row],[MTD Panel]]</f>
        <v>0</v>
      </c>
    </row>
    <row r="29" spans="1:9">
      <c r="A29" s="11" t="str">
        <f>Table333456789101217[[#This Row],[Carrier]]</f>
        <v>Glimmer</v>
      </c>
      <c r="B29" s="5" t="str">
        <f>Table333456789101217[[#This Row],[IP]]</f>
        <v>99.22.211.100/71.54.85.344/71.54.85.218</v>
      </c>
      <c r="C29" s="6" t="str">
        <f>Table333456789101217[[#This Row],[Carrier Code]]</f>
        <v>GM</v>
      </c>
      <c r="D29" s="53">
        <v>0</v>
      </c>
      <c r="E29" s="53">
        <v>0</v>
      </c>
      <c r="F29" s="18">
        <f>Table333456789101214[[#This Row],[Company Panel]]+Table3334567891012133945[[#This Row],[MTD Company]]</f>
        <v>0</v>
      </c>
      <c r="G29" s="18">
        <f>Table333456789101214[[#This Row],[Our panel]]+Table3334567891012133945[[#This Row],[MTD Panel]]</f>
        <v>0</v>
      </c>
      <c r="H29" s="13">
        <f>Table333456789101214[[#This Row],[Company Panel]]-Table333456789101214[[#This Row],[Our panel]]</f>
        <v>0</v>
      </c>
      <c r="I29" s="13">
        <f>Table333456789101214[[#This Row],[MTD Company]]-Table333456789101214[[#This Row],[MTD Panel]]</f>
        <v>0</v>
      </c>
    </row>
    <row r="30" spans="1:9">
      <c r="A30" s="11" t="str">
        <f>Table333456789101217[[#This Row],[Carrier]]</f>
        <v>Fragment</v>
      </c>
      <c r="B30" s="5" t="str">
        <f>Table333456789101217[[#This Row],[IP]]</f>
        <v>203.0.113.56/195.56.101.10</v>
      </c>
      <c r="C30" s="6" t="str">
        <f>Table333456789101217[[#This Row],[Carrier Code]]</f>
        <v>FR</v>
      </c>
      <c r="D30" s="53">
        <v>0</v>
      </c>
      <c r="E30" s="53">
        <v>0</v>
      </c>
      <c r="F30" s="18">
        <f>Table333456789101214[[#This Row],[Company Panel]]+Table3334567891012133945[[#This Row],[MTD Company]]</f>
        <v>0</v>
      </c>
      <c r="G30" s="18">
        <f>Table333456789101214[[#This Row],[Our panel]]+Table3334567891012133945[[#This Row],[MTD Panel]]</f>
        <v>0</v>
      </c>
      <c r="H30" s="13">
        <f>Table333456789101214[[#This Row],[Company Panel]]-Table333456789101214[[#This Row],[Our panel]]</f>
        <v>0</v>
      </c>
      <c r="I30" s="13">
        <f>Table333456789101214[[#This Row],[MTD Company]]-Table333456789101214[[#This Row],[MTD Panel]]</f>
        <v>0</v>
      </c>
    </row>
    <row r="31" spans="1:9">
      <c r="A31" s="11" t="str">
        <f>Table333456789101217[[#This Row],[Carrier]]</f>
        <v>Dusk</v>
      </c>
      <c r="B31" s="5" t="str">
        <f>Table333456789101217[[#This Row],[IP]]</f>
        <v>33.44.55.66/33.44.55.84/33.44.55.122/214.68.90.122</v>
      </c>
      <c r="C31" s="6" t="str">
        <f>Table333456789101217[[#This Row],[Carrier Code]]</f>
        <v>DK</v>
      </c>
      <c r="D31" s="53">
        <v>0</v>
      </c>
      <c r="E31" s="53">
        <v>0</v>
      </c>
      <c r="F31" s="18">
        <f>Table333456789101214[[#This Row],[Company Panel]]+Table3334567891012133945[[#This Row],[MTD Company]]</f>
        <v>0</v>
      </c>
      <c r="G31" s="18">
        <f>Table333456789101214[[#This Row],[Our panel]]+Table3334567891012133945[[#This Row],[MTD Panel]]</f>
        <v>0</v>
      </c>
      <c r="H31" s="13">
        <f>Table333456789101214[[#This Row],[Company Panel]]-Table333456789101214[[#This Row],[Our panel]]</f>
        <v>0</v>
      </c>
      <c r="I31" s="13">
        <f>Table333456789101214[[#This Row],[MTD Company]]-Table333456789101214[[#This Row],[MTD Panel]]</f>
        <v>0</v>
      </c>
    </row>
    <row r="32" spans="1:9">
      <c r="A32" s="11" t="str">
        <f>Table333456789101217[[#This Row],[Carrier]]</f>
        <v>Breeze</v>
      </c>
      <c r="B32" s="5" t="str">
        <f>Table333456789101217[[#This Row],[IP]]</f>
        <v>199.123.87.45/199.123.34.52/77.189.22.56</v>
      </c>
      <c r="C32" s="6" t="str">
        <f>Table333456789101217[[#This Row],[Carrier Code]]</f>
        <v>BR</v>
      </c>
      <c r="D32" s="53">
        <v>0</v>
      </c>
      <c r="E32" s="53">
        <v>0</v>
      </c>
      <c r="F32" s="18">
        <f>Table333456789101214[[#This Row],[Company Panel]]+Table3334567891012133945[[#This Row],[MTD Company]]</f>
        <v>0</v>
      </c>
      <c r="G32" s="18">
        <f>Table333456789101214[[#This Row],[Our panel]]+Table3334567891012133945[[#This Row],[MTD Panel]]</f>
        <v>0</v>
      </c>
      <c r="H32" s="13">
        <f>Table333456789101214[[#This Row],[Company Panel]]-Table333456789101214[[#This Row],[Our panel]]</f>
        <v>0</v>
      </c>
      <c r="I32" s="13">
        <f>Table333456789101214[[#This Row],[MTD Company]]-Table333456789101214[[#This Row],[MTD Panel]]</f>
        <v>0</v>
      </c>
    </row>
    <row r="33" spans="1:10">
      <c r="A33" s="11" t="str">
        <f>Table333456789101217[[#This Row],[Carrier]]</f>
        <v>Clutch</v>
      </c>
      <c r="B33" s="5" t="str">
        <f>Table333456789101217[[#This Row],[IP]]</f>
        <v>55.66.77.88/84.126.79.28/152.233.45.11</v>
      </c>
      <c r="C33" s="6" t="str">
        <f>Table333456789101217[[#This Row],[Carrier Code]]</f>
        <v>CL</v>
      </c>
      <c r="D33" s="53">
        <v>0</v>
      </c>
      <c r="E33" s="53">
        <v>0</v>
      </c>
      <c r="F33" s="18">
        <f>Table333456789101214[[#This Row],[Company Panel]]+Table3334567891012133945[[#This Row],[MTD Company]]</f>
        <v>0</v>
      </c>
      <c r="G33" s="18">
        <f>Table333456789101214[[#This Row],[Our panel]]+Table3334567891012133945[[#This Row],[MTD Panel]]</f>
        <v>0</v>
      </c>
      <c r="H33" s="13">
        <f>Table333456789101214[[#This Row],[Company Panel]]-Table333456789101214[[#This Row],[Our panel]]</f>
        <v>0</v>
      </c>
      <c r="I33" s="13">
        <f>Table333456789101214[[#This Row],[MTD Company]]-Table333456789101214[[#This Row],[MTD Panel]]</f>
        <v>0</v>
      </c>
    </row>
    <row r="34" spans="1:10">
      <c r="A34" s="11" t="str">
        <f>Table333456789101217[[#This Row],[Carrier]]</f>
        <v>Haze</v>
      </c>
      <c r="B34" s="5" t="str">
        <f>Table333456789101217[[#This Row],[IP]]</f>
        <v>230.111.44.56</v>
      </c>
      <c r="C34" s="6" t="str">
        <f>Table333456789101217[[#This Row],[Carrier Code]]</f>
        <v>HZ</v>
      </c>
      <c r="D34" s="53">
        <v>0.56666666666666665</v>
      </c>
      <c r="E34" s="53">
        <v>0.56666666666666665</v>
      </c>
      <c r="F34" s="18">
        <f>Table333456789101214[[#This Row],[Company Panel]]+Table3334567891012133945[[#This Row],[MTD Company]]</f>
        <v>0.56666666666666665</v>
      </c>
      <c r="G34" s="18">
        <f>Table333456789101214[[#This Row],[Our panel]]+Table3334567891012133945[[#This Row],[MTD Panel]]</f>
        <v>0.56666666666666665</v>
      </c>
      <c r="H34" s="13">
        <f>Table333456789101214[[#This Row],[Company Panel]]-Table333456789101214[[#This Row],[Our panel]]</f>
        <v>0</v>
      </c>
      <c r="I34" s="13">
        <f>Table333456789101214[[#This Row],[MTD Company]]-Table333456789101214[[#This Row],[MTD Panel]]</f>
        <v>0</v>
      </c>
    </row>
    <row r="35" spans="1:10">
      <c r="A35" s="11" t="str">
        <f>Table333456789101217[[#This Row],[Carrier]]</f>
        <v>Vault</v>
      </c>
      <c r="B35" s="5" t="str">
        <f>Table333456789101217[[#This Row],[IP]]</f>
        <v>213.189.94.5/213.189.94.7/111.180.64.222</v>
      </c>
      <c r="C35" s="6" t="str">
        <f>Table333456789101217[[#This Row],[Carrier Code]]</f>
        <v>VA</v>
      </c>
      <c r="D35" s="53">
        <v>0</v>
      </c>
      <c r="E35" s="53">
        <v>0</v>
      </c>
      <c r="F35" s="18">
        <f>Table333456789101214[[#This Row],[Company Panel]]+Table3334567891012133945[[#This Row],[MTD Company]]</f>
        <v>0</v>
      </c>
      <c r="G35" s="18">
        <f>Table333456789101214[[#This Row],[Our panel]]+Table3334567891012133945[[#This Row],[MTD Panel]]</f>
        <v>0</v>
      </c>
      <c r="H35" s="63">
        <f>Table333456789101214[[#This Row],[Company Panel]]-Table333456789101214[[#This Row],[Our panel]]</f>
        <v>0</v>
      </c>
      <c r="I35" s="63">
        <f>Table333456789101214[[#This Row],[MTD Company]]-Table333456789101214[[#This Row],[MTD Panel]]</f>
        <v>0</v>
      </c>
    </row>
    <row r="36" spans="1:10">
      <c r="A36" s="11" t="str">
        <f>Table333456789101217[[#This Row],[Carrier]]</f>
        <v>Scatter</v>
      </c>
      <c r="B36" s="5" t="str">
        <f>Table333456789101217[[#This Row],[IP]]</f>
        <v>14.123.45.67/168.251.90.15</v>
      </c>
      <c r="C36" s="6" t="str">
        <f>Table333456789101217[[#This Row],[Carrier Code]]</f>
        <v>SC</v>
      </c>
      <c r="D36" s="53">
        <v>394.18333333333334</v>
      </c>
      <c r="E36" s="53">
        <v>394.18333333333334</v>
      </c>
      <c r="F36" s="18">
        <f>Table333456789101214[[#This Row],[Company Panel]]+Table3334567891012133945[[#This Row],[MTD Company]]</f>
        <v>441.45</v>
      </c>
      <c r="G36" s="18">
        <f>Table333456789101214[[#This Row],[Our panel]]+Table3334567891012133945[[#This Row],[MTD Panel]]</f>
        <v>441.45</v>
      </c>
      <c r="H36" s="13">
        <f>Table333456789101214[[#This Row],[Company Panel]]-Table333456789101214[[#This Row],[Our panel]]</f>
        <v>0</v>
      </c>
      <c r="I36" s="13">
        <f>Table333456789101214[[#This Row],[MTD Company]]-Table333456789101214[[#This Row],[MTD Panel]]</f>
        <v>0</v>
      </c>
    </row>
    <row r="37" spans="1:10">
      <c r="A37" s="11" t="str">
        <f>Table333456789101217[[#This Row],[Carrier]]</f>
        <v>Hammer</v>
      </c>
      <c r="B37" s="5" t="str">
        <f>Table333456789101217[[#This Row],[IP]]</f>
        <v>200.111.78.9/200.111.236.62/200.111.823.89/137.79.48.56</v>
      </c>
      <c r="C37" s="6" t="str">
        <f>Table333456789101217[[#This Row],[Carrier Code]]</f>
        <v>HA</v>
      </c>
      <c r="D37" s="53">
        <v>0</v>
      </c>
      <c r="E37" s="53">
        <v>0</v>
      </c>
      <c r="F37" s="18">
        <f>Table333456789101214[[#This Row],[Company Panel]]+Table3334567891012133945[[#This Row],[MTD Company]]</f>
        <v>0</v>
      </c>
      <c r="G37" s="18">
        <f>Table333456789101214[[#This Row],[Our panel]]+Table3334567891012133945[[#This Row],[MTD Panel]]</f>
        <v>0</v>
      </c>
      <c r="H37" s="72">
        <f>Table333456789101214[[#This Row],[Company Panel]]-Table333456789101214[[#This Row],[Our panel]]</f>
        <v>0</v>
      </c>
      <c r="I37" s="72">
        <f>Table333456789101214[[#This Row],[MTD Company]]-Table333456789101214[[#This Row],[MTD Panel]]</f>
        <v>0</v>
      </c>
    </row>
    <row r="38" spans="1:10">
      <c r="A38" s="11" t="str">
        <f>Table333456789101217[[#This Row],[Carrier]]</f>
        <v>Smudge</v>
      </c>
      <c r="B38" s="5" t="str">
        <f>Table333456789101217[[#This Row],[IP]]</f>
        <v>88.99.233.56/54.71.99.234</v>
      </c>
      <c r="C38" s="74" t="str">
        <f>Table333456789101217[[#This Row],[Carrier Code]]</f>
        <v>SM</v>
      </c>
      <c r="D38" s="53">
        <v>83.5</v>
      </c>
      <c r="E38" s="53">
        <v>83.5</v>
      </c>
      <c r="F38" s="18">
        <f>Table333456789101214[[#This Row],[Company Panel]]+Table3334567891012133945[[#This Row],[MTD Company]]</f>
        <v>136.78333333333333</v>
      </c>
      <c r="G38" s="18">
        <f>Table333456789101214[[#This Row],[Our panel]]+Table3334567891012133945[[#This Row],[MTD Panel]]</f>
        <v>136.78333333333333</v>
      </c>
      <c r="H38" s="72">
        <f>Table333456789101214[[#This Row],[Company Panel]]-Table333456789101214[[#This Row],[Our panel]]</f>
        <v>0</v>
      </c>
      <c r="I38" s="72">
        <f>Table333456789101214[[#This Row],[MTD Company]]-Table333456789101214[[#This Row],[MTD Panel]]</f>
        <v>0</v>
      </c>
    </row>
    <row r="39" spans="1:10">
      <c r="A39" s="11" t="str">
        <f>Table333456789101217[[#This Row],[Carrier]]</f>
        <v>Quirk</v>
      </c>
      <c r="B39" s="5" t="str">
        <f>Table333456789101217[[#This Row],[IP]]</f>
        <v>62.45.100.31/62.45.100.15/62.45.100.65/211.95.102.6</v>
      </c>
      <c r="C39" s="74" t="str">
        <f>Table333456789101217[[#This Row],[Carrier Code]]</f>
        <v>QU</v>
      </c>
      <c r="D39" s="53">
        <v>10279.416666666666</v>
      </c>
      <c r="E39" s="53">
        <v>10279.416666666666</v>
      </c>
      <c r="F39" s="18">
        <f>Table333456789101214[[#This Row],[Company Panel]]+Table3334567891012133945[[#This Row],[MTD Company]]</f>
        <v>21386.1</v>
      </c>
      <c r="G39" s="18">
        <f>Table333456789101214[[#This Row],[Our panel]]+Table3334567891012133945[[#This Row],[MTD Panel]]</f>
        <v>21386.1</v>
      </c>
      <c r="H39" s="13">
        <f>Table333456789101214[[#This Row],[Company Panel]]-Table333456789101214[[#This Row],[Our panel]]</f>
        <v>0</v>
      </c>
      <c r="I39" s="13">
        <f>Table333456789101214[[#This Row],[MTD Company]]-Table333456789101214[[#This Row],[MTD Panel]]</f>
        <v>0</v>
      </c>
    </row>
    <row r="40" spans="1:10">
      <c r="A40" s="11" t="str">
        <f>Table333456789101217[[#This Row],[Carrier]]</f>
        <v>Vortex</v>
      </c>
      <c r="B40" s="5" t="str">
        <f>Table333456789101217[[#This Row],[IP]]</f>
        <v>179.250.91.8/29.540.67.457/94.25.34.78/183.144.27.18</v>
      </c>
      <c r="C40" s="74" t="str">
        <f>Table333456789101217[[#This Row],[Carrier Code]]</f>
        <v>VT</v>
      </c>
      <c r="D40" s="53">
        <v>0</v>
      </c>
      <c r="E40" s="53">
        <v>0</v>
      </c>
      <c r="F40" s="18">
        <f>Table333456789101214[[#This Row],[Company Panel]]+Table3334567891012133945[[#This Row],[MTD Company]]</f>
        <v>0</v>
      </c>
      <c r="G40" s="18">
        <f>Table333456789101214[[#This Row],[Our panel]]+Table3334567891012133945[[#This Row],[MTD Panel]]</f>
        <v>0</v>
      </c>
      <c r="H40" s="72">
        <f>Table333456789101214[[#This Row],[Company Panel]]-Table333456789101214[[#This Row],[Our panel]]</f>
        <v>0</v>
      </c>
      <c r="I40" s="72">
        <f>Table333456789101214[[#This Row],[MTD Company]]-Table333456789101214[[#This Row],[MTD Panel]]</f>
        <v>0</v>
      </c>
    </row>
    <row r="41" spans="1:10">
      <c r="A41" s="11" t="str">
        <f>Table333456789101217[[#This Row],[Carrier]]</f>
        <v>Void</v>
      </c>
      <c r="B41" s="5" t="str">
        <f>Table333456789101217[[#This Row],[IP]]</f>
        <v>156.34.123.11/156.34.123.25/156.34.123.62/92.44.233.110</v>
      </c>
      <c r="C41" s="74" t="str">
        <f>Table333456789101217[[#This Row],[Carrier Code]]</f>
        <v>VO</v>
      </c>
      <c r="D41" s="53">
        <v>334.23333333333335</v>
      </c>
      <c r="E41" s="53">
        <v>334.23333333333335</v>
      </c>
      <c r="F41" s="18">
        <f>Table333456789101214[[#This Row],[Company Panel]]+Table3334567891012133945[[#This Row],[MTD Company]]</f>
        <v>630.33333333333337</v>
      </c>
      <c r="G41" s="18">
        <f>Table333456789101214[[#This Row],[Our panel]]+Table3334567891012133945[[#This Row],[MTD Panel]]</f>
        <v>630.33333333333337</v>
      </c>
      <c r="H41" s="72">
        <f>Table333456789101214[[#This Row],[Company Panel]]-Table333456789101214[[#This Row],[Our panel]]</f>
        <v>0</v>
      </c>
      <c r="I41" s="72">
        <f>Table333456789101214[[#This Row],[MTD Company]]-Table333456789101214[[#This Row],[MTD Panel]]</f>
        <v>0</v>
      </c>
    </row>
    <row r="42" spans="1:10">
      <c r="A42" s="11" t="str">
        <f>Table333456789101217[[#This Row],[Carrier]]</f>
        <v>Midnight</v>
      </c>
      <c r="B42" s="5" t="str">
        <f>Table333456789101217[[#This Row],[IP]]</f>
        <v>134.77.22.4/23.97.150.8</v>
      </c>
      <c r="C42" s="74" t="str">
        <f>Table333456789101217[[#This Row],[Carrier Code]]</f>
        <v>MI</v>
      </c>
      <c r="D42" s="53">
        <v>1893.5833333333333</v>
      </c>
      <c r="E42" s="53">
        <v>1893.5833333333333</v>
      </c>
      <c r="F42" s="18">
        <f>Table333456789101214[[#This Row],[Company Panel]]+Table3334567891012133945[[#This Row],[MTD Company]]</f>
        <v>2263.6833333333334</v>
      </c>
      <c r="G42" s="18">
        <f>Table333456789101214[[#This Row],[Our panel]]+Table3334567891012133945[[#This Row],[MTD Panel]]</f>
        <v>2263.6833333333334</v>
      </c>
      <c r="H42" s="72">
        <f>Table333456789101214[[#This Row],[Company Panel]]-Table333456789101214[[#This Row],[Our panel]]</f>
        <v>0</v>
      </c>
      <c r="I42" s="72">
        <f>Table333456789101214[[#This Row],[MTD Company]]-Table333456789101214[[#This Row],[MTD Panel]]</f>
        <v>0</v>
      </c>
    </row>
    <row r="43" spans="1:10">
      <c r="A43" s="11" t="str">
        <f>Table333456789101217[[#This Row],[Carrier]]</f>
        <v>Autumn</v>
      </c>
      <c r="B43" s="5" t="str">
        <f>Table333456789101217[[#This Row],[IP]]</f>
        <v>202.54.210.88/12.331.94.73/64.19.28.175</v>
      </c>
      <c r="C43" s="74" t="str">
        <f>Table333456789101217[[#This Row],[Carrier Code]]</f>
        <v>AU</v>
      </c>
      <c r="D43" s="53">
        <v>161.41666666666666</v>
      </c>
      <c r="E43" s="53">
        <v>161.41666666666666</v>
      </c>
      <c r="F43" s="18">
        <f>Table333456789101214[[#This Row],[Company Panel]]+Table3334567891012133945[[#This Row],[MTD Company]]</f>
        <v>217.53333333333333</v>
      </c>
      <c r="G43" s="18">
        <f>Table333456789101214[[#This Row],[Our panel]]+Table3334567891012133945[[#This Row],[MTD Panel]]</f>
        <v>217.53333333333333</v>
      </c>
      <c r="H43" s="72">
        <f>Table333456789101214[[#This Row],[Company Panel]]-Table333456789101214[[#This Row],[Our panel]]</f>
        <v>0</v>
      </c>
      <c r="I43" s="72">
        <f>Table333456789101214[[#This Row],[MTD Company]]-Table333456789101214[[#This Row],[MTD Panel]]</f>
        <v>0</v>
      </c>
    </row>
    <row r="44" spans="1:10">
      <c r="A44" s="11" t="str">
        <f>Table333456789101217[[#This Row],[Carrier]]</f>
        <v>Mystic</v>
      </c>
      <c r="B44" s="5" t="str">
        <f>Table333456789101217[[#This Row],[IP]]</f>
        <v>51.233.21.76/82.115.35.60/82.115.35.85</v>
      </c>
      <c r="C44" s="74" t="str">
        <f>Table333456789101217[[#This Row],[Carrier Code]]</f>
        <v>MY</v>
      </c>
      <c r="D44" s="53">
        <v>0</v>
      </c>
      <c r="E44" s="53">
        <v>0</v>
      </c>
      <c r="F44" s="18">
        <f>Table333456789101214[[#This Row],[Company Panel]]+Table3334567891012133945[[#This Row],[MTD Company]]</f>
        <v>0</v>
      </c>
      <c r="G44" s="18">
        <f>Table333456789101214[[#This Row],[Our panel]]+Table3334567891012133945[[#This Row],[MTD Panel]]</f>
        <v>0</v>
      </c>
      <c r="H44" s="78">
        <f>Table333456789101214[[#This Row],[Company Panel]]-Table333456789101214[[#This Row],[Our panel]]</f>
        <v>0</v>
      </c>
      <c r="I44" s="78">
        <f>Table333456789101214[[#This Row],[MTD Company]]-Table333456789101214[[#This Row],[MTD Panel]]</f>
        <v>0</v>
      </c>
    </row>
    <row r="45" spans="1:10">
      <c r="A45" s="11" t="str">
        <f>Table333456789101217[[#This Row],[Carrier]]</f>
        <v>Clover</v>
      </c>
      <c r="B45" s="5" t="str">
        <f>Table333456789101217[[#This Row],[IP]]</f>
        <v>210.150.12.45/84.50.212.66/135.113.88.9</v>
      </c>
      <c r="C45" s="74" t="str">
        <f>Table333456789101217[[#This Row],[Carrier Code]]</f>
        <v>CO</v>
      </c>
      <c r="D45" s="53">
        <v>19871.400000000001</v>
      </c>
      <c r="E45" s="53">
        <v>19871.400000000001</v>
      </c>
      <c r="F45" s="18">
        <f>Table333456789101214[[#This Row],[Company Panel]]+Table3334567891012133945[[#This Row],[MTD Company]]</f>
        <v>33911.683333333334</v>
      </c>
      <c r="G45" s="18">
        <f>Table333456789101214[[#This Row],[Our panel]]+Table3334567891012133945[[#This Row],[MTD Panel]]</f>
        <v>33911.683333333334</v>
      </c>
      <c r="H45" s="13">
        <f>Table333456789101214[[#This Row],[Company Panel]]-Table333456789101214[[#This Row],[Our panel]]</f>
        <v>0</v>
      </c>
      <c r="I45" s="13">
        <f>Table333456789101214[[#This Row],[MTD Company]]-Table333456789101214[[#This Row],[MTD Panel]]</f>
        <v>0</v>
      </c>
    </row>
    <row r="46" spans="1:10">
      <c r="A46" s="11" t="str">
        <f>Table333456789101217[[#This Row],[Carrier]]</f>
        <v>Hunter</v>
      </c>
      <c r="B46" s="5" t="str">
        <f>Table333456789101217[[#This Row],[IP]]</f>
        <v>170.199.20.87/13.693.39.280/78.30.123.47</v>
      </c>
      <c r="C46" s="74" t="str">
        <f>Table333456789101217[[#This Row],[Carrier Code]]</f>
        <v>HU</v>
      </c>
      <c r="D46" s="53">
        <v>3294.5166666666669</v>
      </c>
      <c r="E46" s="53">
        <v>3294.5166666666669</v>
      </c>
      <c r="F46" s="18">
        <f>Table333456789101214[[#This Row],[Company Panel]]+Table3334567891012133945[[#This Row],[MTD Company]]</f>
        <v>5130.6166666666668</v>
      </c>
      <c r="G46" s="18">
        <f>Table333456789101214[[#This Row],[Our panel]]+Table3334567891012133945[[#This Row],[MTD Panel]]</f>
        <v>5130.6166666666668</v>
      </c>
      <c r="H46" s="87">
        <f t="shared" ref="H46:I46" si="0">SUM(H3:H45)</f>
        <v>0</v>
      </c>
      <c r="I46" s="87">
        <f t="shared" si="0"/>
        <v>0</v>
      </c>
      <c r="J46" s="88"/>
    </row>
    <row r="47" spans="1:10">
      <c r="A47" s="11" t="str">
        <f>Table333456789101217[[#This Row],[Carrier]]</f>
        <v>Invaded</v>
      </c>
      <c r="B47" s="5" t="str">
        <f>Table333456789101217[[#This Row],[IP]]</f>
        <v>182.67.99.120/80.518.230.410/26.847.95.107/188.12.67.92</v>
      </c>
      <c r="C47" s="74" t="str">
        <f>Table333456789101217[[#This Row],[Carrier Code]]</f>
        <v>ID</v>
      </c>
      <c r="D47" s="7">
        <v>0</v>
      </c>
      <c r="E47" s="7">
        <v>0</v>
      </c>
      <c r="F47" s="18">
        <f>Table333456789101214[[#This Row],[Company Panel]]+Table3334567891012133945[[#This Row],[MTD Company]]</f>
        <v>0</v>
      </c>
      <c r="G47" s="18">
        <f>Table333456789101214[[#This Row],[Our panel]]+Table3334567891012133945[[#This Row],[MTD Panel]]</f>
        <v>0</v>
      </c>
      <c r="H47" s="87">
        <f t="shared" ref="H47:I47" si="1">SUM(H4:H46)</f>
        <v>0</v>
      </c>
      <c r="I47" s="87">
        <f t="shared" si="1"/>
        <v>0</v>
      </c>
      <c r="J47" s="88"/>
    </row>
    <row r="48" spans="1:10">
      <c r="A48" s="11" t="str">
        <f>Table333456789101217[[#This Row],[Carrier]]</f>
        <v>Delusion</v>
      </c>
      <c r="B48" s="5" t="str">
        <f>Table333456789101217[[#This Row],[IP]]</f>
        <v>198.51.100.72/69.887.74.738/39.153.110.645</v>
      </c>
      <c r="C48" s="74" t="str">
        <f>Table333456789101217[[#This Row],[Carrier Code]]</f>
        <v>DU</v>
      </c>
      <c r="D48" s="7">
        <v>0</v>
      </c>
      <c r="E48" s="7">
        <v>0</v>
      </c>
      <c r="F48" s="18">
        <f>Table333456789101214[[#This Row],[Company Panel]]+Table3334567891012133945[[#This Row],[MTD Company]]</f>
        <v>0</v>
      </c>
      <c r="G48" s="18">
        <f>Table333456789101214[[#This Row],[Our panel]]+Table3334567891012133945[[#This Row],[MTD Panel]]</f>
        <v>0</v>
      </c>
      <c r="H48" s="87">
        <f t="shared" ref="H48:I48" si="2">SUM(H5:H47)</f>
        <v>0</v>
      </c>
      <c r="I48" s="87">
        <f t="shared" si="2"/>
        <v>0</v>
      </c>
      <c r="J48" s="88"/>
    </row>
    <row r="49" spans="1:9" ht="15.5">
      <c r="A49" s="14" t="str">
        <f>Table333456789101217[[#This Row],[Carrier]]</f>
        <v>Total</v>
      </c>
      <c r="B49" s="14" t="str">
        <f>Table333456789101217[[#This Row],[IP]]</f>
        <v>Total (Mins)</v>
      </c>
      <c r="C49" s="14"/>
      <c r="D49" s="16">
        <f>SUM(D3:D48)</f>
        <v>74263.166666666657</v>
      </c>
      <c r="E49" s="16">
        <f t="shared" ref="E49:G49" si="3">SUM(E3:E48)</f>
        <v>74263.166666666657</v>
      </c>
      <c r="F49" s="16">
        <f t="shared" si="3"/>
        <v>137499.29999999999</v>
      </c>
      <c r="G49" s="16">
        <f t="shared" si="3"/>
        <v>137499.29999999999</v>
      </c>
      <c r="H49" s="16">
        <f>SUM(H3:H48)</f>
        <v>0</v>
      </c>
      <c r="I49" s="16">
        <f>SUM(I3:I48)</f>
        <v>0</v>
      </c>
    </row>
  </sheetData>
  <conditionalFormatting sqref="H2:I48">
    <cfRule type="cellIs" dxfId="653" priority="18" operator="lessThan">
      <formula>0</formula>
    </cfRule>
  </conditionalFormatting>
  <conditionalFormatting sqref="I30:I45">
    <cfRule type="cellIs" dxfId="652" priority="17" operator="lessThan">
      <formula>0</formula>
    </cfRule>
  </conditionalFormatting>
  <conditionalFormatting sqref="H3:I48">
    <cfRule type="cellIs" dxfId="651" priority="16" operator="lessThan">
      <formula>0</formula>
    </cfRule>
  </conditionalFormatting>
  <conditionalFormatting sqref="I30:I45">
    <cfRule type="cellIs" dxfId="650" priority="15" operator="lessThan">
      <formula>0</formula>
    </cfRule>
  </conditionalFormatting>
  <conditionalFormatting sqref="I46:I48">
    <cfRule type="cellIs" dxfId="649" priority="11" operator="lessThan">
      <formula>0</formula>
    </cfRule>
  </conditionalFormatting>
  <conditionalFormatting sqref="I3:I48">
    <cfRule type="cellIs" dxfId="648" priority="6" operator="lessThan">
      <formula>0</formula>
    </cfRule>
    <cfRule type="cellIs" dxfId="647" priority="7" operator="lessThan">
      <formula>0</formula>
    </cfRule>
  </conditionalFormatting>
  <conditionalFormatting sqref="H49:I49">
    <cfRule type="cellIs" dxfId="646" priority="5" operator="lessThan">
      <formula>0</formula>
    </cfRule>
  </conditionalFormatting>
  <conditionalFormatting sqref="H49:I49">
    <cfRule type="cellIs" dxfId="645" priority="4" operator="lessThan">
      <formula>0</formula>
    </cfRule>
  </conditionalFormatting>
  <conditionalFormatting sqref="I49">
    <cfRule type="cellIs" dxfId="644" priority="3" operator="lessThan">
      <formula>0</formula>
    </cfRule>
  </conditionalFormatting>
  <conditionalFormatting sqref="I49">
    <cfRule type="cellIs" dxfId="643" priority="1" operator="lessThan">
      <formula>0</formula>
    </cfRule>
    <cfRule type="cellIs" dxfId="642" priority="2" operator="lessThan">
      <formula>0</formula>
    </cfRule>
  </conditionalFormatting>
  <hyperlinks>
    <hyperlink ref="E1" location="H!A1" display="Home"/>
    <hyperlink ref="D1" location="'W1'!D1" display="←"/>
    <hyperlink ref="F1" location="'W3'!F1" display="→"/>
  </hyperlinks>
  <pageMargins left="0.7" right="0.7" top="0.75" bottom="0.75" header="0.3" footer="0.3"/>
  <pageSetup orientation="portrait" r:id="rId1"/>
  <ignoredErrors>
    <ignoredError sqref="F3:F48 F49:G49 H46:H49 I46:I49" calculatedColumn="1"/>
  </ignoredErrors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D3" sqref="D3"/>
    </sheetView>
  </sheetViews>
  <sheetFormatPr defaultRowHeight="14.5"/>
  <cols>
    <col min="1" max="1" width="40.1796875" customWidth="1"/>
    <col min="2" max="2" width="52.7265625" bestFit="1" customWidth="1"/>
    <col min="3" max="3" width="12.1796875" bestFit="1" customWidth="1"/>
    <col min="4" max="4" width="12.7265625" customWidth="1"/>
    <col min="5" max="5" width="15.26953125" bestFit="1" customWidth="1"/>
    <col min="6" max="6" width="14.7265625" bestFit="1" customWidth="1"/>
    <col min="7" max="9" width="12.7265625" customWidth="1"/>
  </cols>
  <sheetData>
    <row r="1" spans="1:12" ht="18.5">
      <c r="A1" s="23" t="str">
        <f>H!G4</f>
        <v>14 April 2025 to 20 April 2025</v>
      </c>
      <c r="B1" s="24"/>
      <c r="C1" s="24"/>
      <c r="D1" s="22" t="s">
        <v>16</v>
      </c>
      <c r="E1" s="22" t="s">
        <v>9</v>
      </c>
      <c r="F1" s="22" t="s">
        <v>17</v>
      </c>
    </row>
    <row r="2" spans="1:12" ht="31">
      <c r="A2" s="1" t="s">
        <v>0</v>
      </c>
      <c r="B2" s="2" t="s">
        <v>1</v>
      </c>
      <c r="C2" s="2" t="s">
        <v>2</v>
      </c>
      <c r="D2" s="2" t="s">
        <v>3</v>
      </c>
      <c r="E2" s="2" t="s">
        <v>11</v>
      </c>
      <c r="F2" s="2" t="s">
        <v>4</v>
      </c>
      <c r="G2" s="4" t="s">
        <v>6</v>
      </c>
      <c r="H2" s="4" t="s">
        <v>7</v>
      </c>
      <c r="I2" s="3" t="s">
        <v>8</v>
      </c>
    </row>
    <row r="3" spans="1:12">
      <c r="A3" s="11" t="str">
        <f>Table333456789101217[[#This Row],[Carrier]]</f>
        <v>Blaze</v>
      </c>
      <c r="B3" s="5" t="str">
        <f>Table333456789101217[[#This Row],[IP]]</f>
        <v>8.12.34.56/48.163.17.845/60.502.86.203/191.45.28.14</v>
      </c>
      <c r="C3" s="6" t="str">
        <f>Table333456789101217[[#This Row],[Carrier Code]]</f>
        <v>BZ</v>
      </c>
      <c r="D3" s="53">
        <v>0</v>
      </c>
      <c r="E3" s="53">
        <v>0</v>
      </c>
      <c r="F3" s="18">
        <f>Table333456789101215[[#This Row],[Company Panel]]+Table333456789101214[[#This Row],[MTD Company]]</f>
        <v>0</v>
      </c>
      <c r="G3" s="18">
        <f>Table333456789101215[[#This Row],[Our panel]]+Table333456789101214[[#This Row],[MTD Panel]]</f>
        <v>0</v>
      </c>
      <c r="H3" s="13">
        <f>Table333456789101215[[#This Row],[Company Panel]]-Table333456789101215[[#This Row],[Our panel]]</f>
        <v>0</v>
      </c>
      <c r="I3" s="13">
        <f>Table333456789101215[[#This Row],[MTD Company]]-Table333456789101215[[#This Row],[MTD Panel]]</f>
        <v>0</v>
      </c>
    </row>
    <row r="4" spans="1:12">
      <c r="A4" s="11" t="str">
        <f>Table333456789101217[[#This Row],[Carrier]]</f>
        <v>Titan</v>
      </c>
      <c r="B4" s="5" t="str">
        <f>Table333456789101217[[#This Row],[IP]]</f>
        <v>123.45.67.89/123.45.67.93/203.24.101.65</v>
      </c>
      <c r="C4" s="6" t="str">
        <f>Table333456789101217[[#This Row],[Carrier Code]]</f>
        <v>TI</v>
      </c>
      <c r="D4" s="53">
        <v>9.1666666666666661</v>
      </c>
      <c r="E4" s="53">
        <v>9.1666666666666661</v>
      </c>
      <c r="F4" s="18">
        <f>Table333456789101215[[#This Row],[Company Panel]]+Table333456789101214[[#This Row],[MTD Company]]</f>
        <v>325.16666666666669</v>
      </c>
      <c r="G4" s="18">
        <f>Table333456789101215[[#This Row],[Our panel]]+Table333456789101214[[#This Row],[MTD Panel]]</f>
        <v>325.16666666666669</v>
      </c>
      <c r="H4" s="13">
        <f>Table333456789101215[[#This Row],[Company Panel]]-Table333456789101215[[#This Row],[Our panel]]</f>
        <v>0</v>
      </c>
      <c r="I4" s="13">
        <f>Table333456789101215[[#This Row],[MTD Company]]-Table333456789101215[[#This Row],[MTD Panel]]</f>
        <v>0</v>
      </c>
      <c r="L4" s="9"/>
    </row>
    <row r="5" spans="1:12">
      <c r="A5" s="11" t="str">
        <f>Table333456789101217[[#This Row],[Carrier]]</f>
        <v>Hollow</v>
      </c>
      <c r="B5" s="5" t="str">
        <f>Table333456789101217[[#This Row],[IP]]</f>
        <v>204.56.78.100/204.56.57.169/52.94.101.12</v>
      </c>
      <c r="C5" s="6" t="str">
        <f>Table333456789101217[[#This Row],[Carrier Code]]</f>
        <v>HO</v>
      </c>
      <c r="D5" s="53">
        <v>0</v>
      </c>
      <c r="E5" s="53">
        <v>0</v>
      </c>
      <c r="F5" s="18">
        <f>Table333456789101215[[#This Row],[Company Panel]]+Table333456789101214[[#This Row],[MTD Company]]</f>
        <v>0</v>
      </c>
      <c r="G5" s="18">
        <f>Table333456789101215[[#This Row],[Our panel]]+Table333456789101214[[#This Row],[MTD Panel]]</f>
        <v>0</v>
      </c>
      <c r="H5" s="13">
        <f>Table333456789101215[[#This Row],[Company Panel]]-Table333456789101215[[#This Row],[Our panel]]</f>
        <v>0</v>
      </c>
      <c r="I5" s="13">
        <f>Table333456789101215[[#This Row],[MTD Company]]-Table333456789101215[[#This Row],[MTD Panel]]</f>
        <v>0</v>
      </c>
    </row>
    <row r="6" spans="1:12">
      <c r="A6" s="11" t="str">
        <f>Table333456789101217[[#This Row],[Carrier]]</f>
        <v>Prism</v>
      </c>
      <c r="B6" s="5" t="str">
        <f>Table333456789101217[[#This Row],[IP]]</f>
        <v>35.118.22.45/137.63.112.25</v>
      </c>
      <c r="C6" s="6" t="str">
        <f>Table333456789101217[[#This Row],[Carrier Code]]</f>
        <v>PS</v>
      </c>
      <c r="D6" s="53">
        <v>6884.1166666666668</v>
      </c>
      <c r="E6" s="53">
        <v>6884.1166666666668</v>
      </c>
      <c r="F6" s="18">
        <f>Table333456789101215[[#This Row],[Company Panel]]+Table333456789101214[[#This Row],[MTD Company]]</f>
        <v>66683.46666666666</v>
      </c>
      <c r="G6" s="18">
        <f>Table333456789101215[[#This Row],[Our panel]]+Table333456789101214[[#This Row],[MTD Panel]]</f>
        <v>66683.46666666666</v>
      </c>
      <c r="H6" s="13">
        <f>Table333456789101215[[#This Row],[Company Panel]]-Table333456789101215[[#This Row],[Our panel]]</f>
        <v>0</v>
      </c>
      <c r="I6" s="13">
        <f>Table333456789101215[[#This Row],[MTD Company]]-Table333456789101215[[#This Row],[MTD Panel]]</f>
        <v>0</v>
      </c>
    </row>
    <row r="7" spans="1:12">
      <c r="A7" s="11" t="str">
        <f>Table333456789101217[[#This Row],[Carrier]]</f>
        <v>Echo</v>
      </c>
      <c r="B7" s="5" t="str">
        <f>Table333456789101217[[#This Row],[IP]]</f>
        <v>66.89.101.10/66.89.101.19/66.89.101.23/66.89.101.45/66.89.101.81/85.21.34.99</v>
      </c>
      <c r="C7" s="6" t="str">
        <f>Table333456789101217[[#This Row],[Carrier Code]]</f>
        <v>EC</v>
      </c>
      <c r="D7" s="53">
        <v>23.333333333333332</v>
      </c>
      <c r="E7" s="53">
        <v>23.333333333333332</v>
      </c>
      <c r="F7" s="18">
        <f>Table333456789101215[[#This Row],[Company Panel]]+Table333456789101214[[#This Row],[MTD Company]]</f>
        <v>60.533333333333331</v>
      </c>
      <c r="G7" s="18">
        <f>Table333456789101215[[#This Row],[Our panel]]+Table333456789101214[[#This Row],[MTD Panel]]</f>
        <v>60.533333333333331</v>
      </c>
      <c r="H7" s="13">
        <f>Table333456789101215[[#This Row],[Company Panel]]-Table333456789101215[[#This Row],[Our panel]]</f>
        <v>0</v>
      </c>
      <c r="I7" s="13">
        <f>Table333456789101215[[#This Row],[MTD Company]]-Table333456789101215[[#This Row],[MTD Panel]]</f>
        <v>0</v>
      </c>
    </row>
    <row r="8" spans="1:12">
      <c r="A8" s="11" t="str">
        <f>Table333456789101217[[#This Row],[Carrier]]</f>
        <v>Strike</v>
      </c>
      <c r="B8" s="5" t="str">
        <f>Table333456789101217[[#This Row],[IP]]</f>
        <v>100.200.150.3/100.200.165.38/41.102.90.78</v>
      </c>
      <c r="C8" s="6" t="str">
        <f>Table333456789101217[[#This Row],[Carrier Code]]</f>
        <v>ST</v>
      </c>
      <c r="D8" s="53">
        <v>656.2833333333333</v>
      </c>
      <c r="E8" s="53">
        <v>656.2833333333333</v>
      </c>
      <c r="F8" s="18">
        <f>Table333456789101215[[#This Row],[Company Panel]]+Table333456789101214[[#This Row],[MTD Company]]</f>
        <v>2083.7666666666664</v>
      </c>
      <c r="G8" s="18">
        <f>Table333456789101215[[#This Row],[Our panel]]+Table333456789101214[[#This Row],[MTD Panel]]</f>
        <v>2083.7666666666664</v>
      </c>
      <c r="H8" s="13">
        <f>Table333456789101215[[#This Row],[Company Panel]]-Table333456789101215[[#This Row],[Our panel]]</f>
        <v>0</v>
      </c>
      <c r="I8" s="13">
        <f>Table333456789101215[[#This Row],[MTD Company]]-Table333456789101215[[#This Row],[MTD Panel]]</f>
        <v>0</v>
      </c>
      <c r="L8" s="9"/>
    </row>
    <row r="9" spans="1:12">
      <c r="A9" s="11" t="str">
        <f>Table333456789101217[[#This Row],[Carrier]]</f>
        <v>Blunt</v>
      </c>
      <c r="B9" s="5" t="str">
        <f>Table333456789101217[[#This Row],[IP]]</f>
        <v>52.28.191.25/52.28.191.38/52.28.191.24/61.110.23.45</v>
      </c>
      <c r="C9" s="6" t="str">
        <f>Table333456789101217[[#This Row],[Carrier Code]]</f>
        <v>BL</v>
      </c>
      <c r="D9" s="53">
        <v>2322.4499999999998</v>
      </c>
      <c r="E9" s="53">
        <v>2322.4499999999998</v>
      </c>
      <c r="F9" s="18">
        <f>Table333456789101215[[#This Row],[Company Panel]]+Table333456789101214[[#This Row],[MTD Company]]</f>
        <v>10118.549999999999</v>
      </c>
      <c r="G9" s="18">
        <f>Table333456789101215[[#This Row],[Our panel]]+Table333456789101214[[#This Row],[MTD Panel]]</f>
        <v>10118.549999999999</v>
      </c>
      <c r="H9" s="13">
        <f>Table333456789101215[[#This Row],[Company Panel]]-Table333456789101215[[#This Row],[Our panel]]</f>
        <v>0</v>
      </c>
      <c r="I9" s="13">
        <f>Table333456789101215[[#This Row],[MTD Company]]-Table333456789101215[[#This Row],[MTD Panel]]</f>
        <v>0</v>
      </c>
    </row>
    <row r="10" spans="1:12">
      <c r="A10" s="11" t="str">
        <f>Table333456789101217[[#This Row],[Carrier]]</f>
        <v>Law</v>
      </c>
      <c r="B10" s="5" t="str">
        <f>Table333456789101217[[#This Row],[IP]]</f>
        <v>77.88.99.21/77.88.99.88/77.88.99.94/110.56.211.7</v>
      </c>
      <c r="C10" s="6" t="str">
        <f>Table333456789101217[[#This Row],[Carrier Code]]</f>
        <v>LA</v>
      </c>
      <c r="D10" s="53">
        <v>0</v>
      </c>
      <c r="E10" s="53">
        <v>0</v>
      </c>
      <c r="F10" s="18">
        <f>Table333456789101215[[#This Row],[Company Panel]]+Table333456789101214[[#This Row],[MTD Company]]</f>
        <v>0</v>
      </c>
      <c r="G10" s="18">
        <f>Table333456789101215[[#This Row],[Our panel]]+Table333456789101214[[#This Row],[MTD Panel]]</f>
        <v>0</v>
      </c>
      <c r="H10" s="13">
        <f>Table333456789101215[[#This Row],[Company Panel]]-Table333456789101215[[#This Row],[Our panel]]</f>
        <v>0</v>
      </c>
      <c r="I10" s="13">
        <f>Table333456789101215[[#This Row],[MTD Company]]-Table333456789101215[[#This Row],[MTD Panel]]</f>
        <v>0</v>
      </c>
    </row>
    <row r="11" spans="1:12">
      <c r="A11" s="11" t="str">
        <f>Table333456789101217[[#This Row],[Carrier]]</f>
        <v>Pulse</v>
      </c>
      <c r="B11" s="5" t="str">
        <f>Table333456789101217[[#This Row],[IP]]</f>
        <v>198.51.100.130/31.725.16.608/66.59.61.503/167.34.122.90</v>
      </c>
      <c r="C11" s="6" t="str">
        <f>Table333456789101217[[#This Row],[Carrier Code]]</f>
        <v>PU</v>
      </c>
      <c r="D11" s="53">
        <v>0</v>
      </c>
      <c r="E11" s="53">
        <v>0</v>
      </c>
      <c r="F11" s="18">
        <f>Table333456789101215[[#This Row],[Company Panel]]+Table333456789101214[[#This Row],[MTD Company]]</f>
        <v>0</v>
      </c>
      <c r="G11" s="18">
        <f>Table333456789101215[[#This Row],[Our panel]]+Table333456789101214[[#This Row],[MTD Panel]]</f>
        <v>0</v>
      </c>
      <c r="H11" s="13">
        <f>Table333456789101215[[#This Row],[Company Panel]]-Table333456789101215[[#This Row],[Our panel]]</f>
        <v>0</v>
      </c>
      <c r="I11" s="13">
        <f>Table333456789101215[[#This Row],[MTD Company]]-Table333456789101215[[#This Row],[MTD Panel]]</f>
        <v>0</v>
      </c>
    </row>
    <row r="12" spans="1:12">
      <c r="A12" s="11" t="str">
        <f>Table333456789101217[[#This Row],[Carrier]]</f>
        <v>Phantom</v>
      </c>
      <c r="B12" s="5" t="str">
        <f>Table333456789101217[[#This Row],[IP]]</f>
        <v>141.15.210.67/141.15.42.82/179.62.211.4</v>
      </c>
      <c r="C12" s="6" t="str">
        <f>Table333456789101217[[#This Row],[Carrier Code]]</f>
        <v>PH</v>
      </c>
      <c r="D12" s="53">
        <v>30.55</v>
      </c>
      <c r="E12" s="53">
        <v>30.55</v>
      </c>
      <c r="F12" s="18">
        <f>Table333456789101215[[#This Row],[Company Panel]]+Table333456789101214[[#This Row],[MTD Company]]</f>
        <v>3353.4833333333336</v>
      </c>
      <c r="G12" s="18">
        <f>Table333456789101215[[#This Row],[Our panel]]+Table333456789101214[[#This Row],[MTD Panel]]</f>
        <v>3353.4833333333336</v>
      </c>
      <c r="H12" s="13">
        <f>Table333456789101215[[#This Row],[Company Panel]]-Table333456789101215[[#This Row],[Our panel]]</f>
        <v>0</v>
      </c>
      <c r="I12" s="13">
        <f>Table333456789101215[[#This Row],[MTD Company]]-Table333456789101215[[#This Row],[MTD Panel]]</f>
        <v>0</v>
      </c>
    </row>
    <row r="13" spans="1:12">
      <c r="A13" s="11" t="str">
        <f>Table333456789101217[[#This Row],[Carrier]]</f>
        <v>Dragon</v>
      </c>
      <c r="B13" s="5" t="str">
        <f>Table333456789101217[[#This Row],[IP]]</f>
        <v>12.34.56.78/12.34.56.128/200.180.245.18</v>
      </c>
      <c r="C13" s="6" t="str">
        <f>Table333456789101217[[#This Row],[Carrier Code]]</f>
        <v>DG</v>
      </c>
      <c r="D13" s="53">
        <v>0</v>
      </c>
      <c r="E13" s="53">
        <v>0</v>
      </c>
      <c r="F13" s="18">
        <f>Table333456789101215[[#This Row],[Company Panel]]+Table333456789101214[[#This Row],[MTD Company]]</f>
        <v>0</v>
      </c>
      <c r="G13" s="18">
        <f>Table333456789101215[[#This Row],[Our panel]]+Table333456789101214[[#This Row],[MTD Panel]]</f>
        <v>0</v>
      </c>
      <c r="H13" s="13">
        <f>Table333456789101215[[#This Row],[Company Panel]]-Table333456789101215[[#This Row],[Our panel]]</f>
        <v>0</v>
      </c>
      <c r="I13" s="13">
        <f>Table333456789101215[[#This Row],[MTD Company]]-Table333456789101215[[#This Row],[MTD Panel]]</f>
        <v>0</v>
      </c>
    </row>
    <row r="14" spans="1:12">
      <c r="A14" s="11" t="str">
        <f>Table333456789101217[[#This Row],[Carrier]]</f>
        <v>Tempest</v>
      </c>
      <c r="B14" s="5" t="str">
        <f>Table333456789101217[[#This Row],[IP]]</f>
        <v>59.144.223.88/55.39.99.60</v>
      </c>
      <c r="C14" s="6" t="str">
        <f>Table333456789101217[[#This Row],[Carrier Code]]</f>
        <v>TE</v>
      </c>
      <c r="D14" s="53">
        <v>0</v>
      </c>
      <c r="E14" s="53">
        <v>0</v>
      </c>
      <c r="F14" s="18">
        <f>Table333456789101215[[#This Row],[Company Panel]]+Table333456789101214[[#This Row],[MTD Company]]</f>
        <v>0</v>
      </c>
      <c r="G14" s="18">
        <f>Table333456789101215[[#This Row],[Our panel]]+Table333456789101214[[#This Row],[MTD Panel]]</f>
        <v>0</v>
      </c>
      <c r="H14" s="13">
        <f>Table333456789101215[[#This Row],[Company Panel]]-Table333456789101215[[#This Row],[Our panel]]</f>
        <v>0</v>
      </c>
      <c r="I14" s="13">
        <f>Table333456789101215[[#This Row],[MTD Company]]-Table333456789101215[[#This Row],[MTD Panel]]</f>
        <v>0</v>
      </c>
    </row>
    <row r="15" spans="1:12">
      <c r="A15" s="11" t="str">
        <f>Table333456789101217[[#This Row],[Carrier]]</f>
        <v>Shadow</v>
      </c>
      <c r="B15" s="5" t="str">
        <f>Table333456789101217[[#This Row],[IP]]</f>
        <v>175.45.112.100/25.851.31.153/39.80.220.100</v>
      </c>
      <c r="C15" s="6" t="str">
        <f>Table333456789101217[[#This Row],[Carrier Code]]</f>
        <v>SH</v>
      </c>
      <c r="D15" s="53">
        <v>0.1</v>
      </c>
      <c r="E15" s="53">
        <v>0.1</v>
      </c>
      <c r="F15" s="18">
        <f>Table333456789101215[[#This Row],[Company Panel]]+Table333456789101214[[#This Row],[MTD Company]]</f>
        <v>0.1</v>
      </c>
      <c r="G15" s="18">
        <f>Table333456789101215[[#This Row],[Our panel]]+Table333456789101214[[#This Row],[MTD Panel]]</f>
        <v>0.1</v>
      </c>
      <c r="H15" s="13">
        <f>Table333456789101215[[#This Row],[Company Panel]]-Table333456789101215[[#This Row],[Our panel]]</f>
        <v>0</v>
      </c>
      <c r="I15" s="13">
        <f>Table333456789101215[[#This Row],[MTD Company]]-Table333456789101215[[#This Row],[MTD Panel]]</f>
        <v>0</v>
      </c>
    </row>
    <row r="16" spans="1:12">
      <c r="A16" s="11" t="str">
        <f>Table333456789101217[[#This Row],[Carrier]]</f>
        <v>Cyclone</v>
      </c>
      <c r="B16" s="5" t="str">
        <f>Table333456789101217[[#This Row],[IP]]</f>
        <v>150.13.75.190/16.160.89.512/72.11.97.34</v>
      </c>
      <c r="C16" s="6" t="str">
        <f>Table333456789101217[[#This Row],[Carrier Code]]</f>
        <v>CY</v>
      </c>
      <c r="D16" s="53">
        <v>0</v>
      </c>
      <c r="E16" s="53">
        <v>0</v>
      </c>
      <c r="F16" s="18">
        <f>Table333456789101215[[#This Row],[Company Panel]]+Table333456789101214[[#This Row],[MTD Company]]</f>
        <v>0</v>
      </c>
      <c r="G16" s="18">
        <f>Table333456789101215[[#This Row],[Our panel]]+Table333456789101214[[#This Row],[MTD Panel]]</f>
        <v>0</v>
      </c>
      <c r="H16" s="13">
        <f>Table333456789101215[[#This Row],[Company Panel]]-Table333456789101215[[#This Row],[Our panel]]</f>
        <v>0</v>
      </c>
      <c r="I16" s="13">
        <f>Table333456789101215[[#This Row],[MTD Company]]-Table333456789101215[[#This Row],[MTD Panel]]</f>
        <v>0</v>
      </c>
    </row>
    <row r="17" spans="1:9">
      <c r="A17" s="11" t="str">
        <f>Table333456789101217[[#This Row],[Carrier]]</f>
        <v>Reaver</v>
      </c>
      <c r="B17" s="5" t="str">
        <f>Table333456789101217[[#This Row],[IP]]</f>
        <v>203.0.113.44/188.17.56.210</v>
      </c>
      <c r="C17" s="6" t="str">
        <f>Table333456789101217[[#This Row],[Carrier Code]]</f>
        <v>RE</v>
      </c>
      <c r="D17" s="53">
        <v>0</v>
      </c>
      <c r="E17" s="53">
        <v>0</v>
      </c>
      <c r="F17" s="18">
        <f>Table333456789101215[[#This Row],[Company Panel]]+Table333456789101214[[#This Row],[MTD Company]]</f>
        <v>0</v>
      </c>
      <c r="G17" s="18">
        <f>Table333456789101215[[#This Row],[Our panel]]+Table333456789101214[[#This Row],[MTD Panel]]</f>
        <v>0</v>
      </c>
      <c r="H17" s="13">
        <f>Table333456789101215[[#This Row],[Company Panel]]-Table333456789101215[[#This Row],[Our panel]]</f>
        <v>0</v>
      </c>
      <c r="I17" s="13">
        <f>Table333456789101215[[#This Row],[MTD Company]]-Table333456789101215[[#This Row],[MTD Panel]]</f>
        <v>0</v>
      </c>
    </row>
    <row r="18" spans="1:9">
      <c r="A18" s="11" t="str">
        <f>Table333456789101217[[#This Row],[Carrier]]</f>
        <v>Forge</v>
      </c>
      <c r="B18" s="5" t="str">
        <f>Table333456789101217[[#This Row],[IP]]</f>
        <v>112.54.89.168/112.54.89.138</v>
      </c>
      <c r="C18" s="6" t="str">
        <f>Table333456789101217[[#This Row],[Carrier Code]]</f>
        <v>FO</v>
      </c>
      <c r="D18" s="53">
        <v>153.56666666666666</v>
      </c>
      <c r="E18" s="53">
        <v>153.56666666666666</v>
      </c>
      <c r="F18" s="18">
        <f>Table333456789101215[[#This Row],[Company Panel]]+Table333456789101214[[#This Row],[MTD Company]]</f>
        <v>494.53333333333336</v>
      </c>
      <c r="G18" s="18">
        <f>Table333456789101215[[#This Row],[Our panel]]+Table333456789101214[[#This Row],[MTD Panel]]</f>
        <v>494.53333333333336</v>
      </c>
      <c r="H18" s="13">
        <f>Table333456789101215[[#This Row],[Company Panel]]-Table333456789101215[[#This Row],[Our panel]]</f>
        <v>0</v>
      </c>
      <c r="I18" s="13">
        <f>Table333456789101215[[#This Row],[MTD Company]]-Table333456789101215[[#This Row],[MTD Panel]]</f>
        <v>0</v>
      </c>
    </row>
    <row r="19" spans="1:9">
      <c r="A19" s="11" t="str">
        <f>Table333456789101217[[#This Row],[Carrier]]</f>
        <v>Ember</v>
      </c>
      <c r="B19" s="5" t="str">
        <f>Table333456789101217[[#This Row],[IP]]</f>
        <v>78.34.90.24/328.56.122.44/142.150.75.22</v>
      </c>
      <c r="C19" s="6" t="str">
        <f>Table333456789101217[[#This Row],[Carrier Code]]</f>
        <v>EM</v>
      </c>
      <c r="D19" s="53">
        <v>0</v>
      </c>
      <c r="E19" s="53">
        <v>0</v>
      </c>
      <c r="F19" s="18">
        <f>Table333456789101215[[#This Row],[Company Panel]]+Table333456789101214[[#This Row],[MTD Company]]</f>
        <v>0</v>
      </c>
      <c r="G19" s="18">
        <f>Table333456789101215[[#This Row],[Our panel]]+Table333456789101214[[#This Row],[MTD Panel]]</f>
        <v>0</v>
      </c>
      <c r="H19" s="13">
        <f>Table333456789101215[[#This Row],[Company Panel]]-Table333456789101215[[#This Row],[Our panel]]</f>
        <v>0</v>
      </c>
      <c r="I19" s="13">
        <f>Table333456789101215[[#This Row],[MTD Company]]-Table333456789101215[[#This Row],[MTD Panel]]</f>
        <v>0</v>
      </c>
    </row>
    <row r="20" spans="1:9">
      <c r="A20" s="11" t="str">
        <f>Table333456789101217[[#This Row],[Carrier]]</f>
        <v>Specter</v>
      </c>
      <c r="B20" s="5" t="str">
        <f>Table333456789101217[[#This Row],[IP]]</f>
        <v>205.60.34.150</v>
      </c>
      <c r="C20" s="6" t="str">
        <f>Table333456789101217[[#This Row],[Carrier Code]]</f>
        <v>SP</v>
      </c>
      <c r="D20" s="53">
        <v>0.15</v>
      </c>
      <c r="E20" s="53">
        <v>0.15</v>
      </c>
      <c r="F20" s="18">
        <f>Table333456789101215[[#This Row],[Company Panel]]+Table333456789101214[[#This Row],[MTD Company]]</f>
        <v>11.950000000000001</v>
      </c>
      <c r="G20" s="18">
        <f>Table333456789101215[[#This Row],[Our panel]]+Table333456789101214[[#This Row],[MTD Panel]]</f>
        <v>11.950000000000001</v>
      </c>
      <c r="H20" s="13">
        <f>Table333456789101215[[#This Row],[Company Panel]]-Table333456789101215[[#This Row],[Our panel]]</f>
        <v>0</v>
      </c>
      <c r="I20" s="13">
        <f>Table333456789101215[[#This Row],[MTD Company]]-Table333456789101215[[#This Row],[MTD Panel]]</f>
        <v>0</v>
      </c>
    </row>
    <row r="21" spans="1:9">
      <c r="A21" s="11" t="str">
        <f>Table333456789101217[[#This Row],[Carrier]]</f>
        <v>Throne</v>
      </c>
      <c r="B21" s="5" t="str">
        <f>Table333456789101217[[#This Row],[IP]]</f>
        <v>54.32.11.90/27.758.27.201/125.150.58.20</v>
      </c>
      <c r="C21" s="6" t="str">
        <f>Table333456789101217[[#This Row],[Carrier Code]]</f>
        <v>TH</v>
      </c>
      <c r="D21" s="53">
        <v>0</v>
      </c>
      <c r="E21" s="53">
        <v>0</v>
      </c>
      <c r="F21" s="18">
        <f>Table333456789101215[[#This Row],[Company Panel]]+Table333456789101214[[#This Row],[MTD Company]]</f>
        <v>0</v>
      </c>
      <c r="G21" s="18">
        <f>Table333456789101215[[#This Row],[Our panel]]+Table333456789101214[[#This Row],[MTD Panel]]</f>
        <v>0</v>
      </c>
      <c r="H21" s="13">
        <f>Table333456789101215[[#This Row],[Company Panel]]-Table333456789101215[[#This Row],[Our panel]]</f>
        <v>0</v>
      </c>
      <c r="I21" s="13">
        <f>Table333456789101215[[#This Row],[MTD Company]]-Table333456789101215[[#This Row],[MTD Panel]]</f>
        <v>0</v>
      </c>
    </row>
    <row r="22" spans="1:9">
      <c r="A22" s="11" t="str">
        <f>Table333456789101217[[#This Row],[Carrier]]</f>
        <v>Arcane</v>
      </c>
      <c r="B22" s="5" t="str">
        <f>Table333456789101217[[#This Row],[IP]]</f>
        <v>212.100.25.78/212.100.25.87</v>
      </c>
      <c r="C22" s="6" t="str">
        <f>Table333456789101217[[#This Row],[Carrier Code]]</f>
        <v>AR</v>
      </c>
      <c r="D22" s="53">
        <v>65.599999999999994</v>
      </c>
      <c r="E22" s="53">
        <v>65.599999999999994</v>
      </c>
      <c r="F22" s="18">
        <f>Table333456789101215[[#This Row],[Company Panel]]+Table333456789101214[[#This Row],[MTD Company]]</f>
        <v>66.183333333333323</v>
      </c>
      <c r="G22" s="18">
        <f>Table333456789101215[[#This Row],[Our panel]]+Table333456789101214[[#This Row],[MTD Panel]]</f>
        <v>66.183333333333323</v>
      </c>
      <c r="H22" s="13">
        <f>Table333456789101215[[#This Row],[Company Panel]]-Table333456789101215[[#This Row],[Our panel]]</f>
        <v>0</v>
      </c>
      <c r="I22" s="13">
        <f>Table333456789101215[[#This Row],[MTD Company]]-Table333456789101215[[#This Row],[MTD Panel]]</f>
        <v>0</v>
      </c>
    </row>
    <row r="23" spans="1:9">
      <c r="A23" s="11" t="str">
        <f>Table333456789101217[[#This Row],[Carrier]]</f>
        <v>Glitch</v>
      </c>
      <c r="B23" s="5" t="str">
        <f>Table333456789101217[[#This Row],[IP]]</f>
        <v>198.204.100.12/198.204.100.34/198.204.100.51</v>
      </c>
      <c r="C23" s="6" t="str">
        <f>Table333456789101217[[#This Row],[Carrier Code]]</f>
        <v>GL</v>
      </c>
      <c r="D23" s="53">
        <v>0</v>
      </c>
      <c r="E23" s="53">
        <v>0</v>
      </c>
      <c r="F23" s="18">
        <f>Table333456789101215[[#This Row],[Company Panel]]+Table333456789101214[[#This Row],[MTD Company]]</f>
        <v>0</v>
      </c>
      <c r="G23" s="18">
        <f>Table333456789101215[[#This Row],[Our panel]]+Table333456789101214[[#This Row],[MTD Panel]]</f>
        <v>0</v>
      </c>
      <c r="H23" s="13">
        <f>Table333456789101215[[#This Row],[Company Panel]]-Table333456789101215[[#This Row],[Our panel]]</f>
        <v>0</v>
      </c>
      <c r="I23" s="13">
        <f>Table333456789101215[[#This Row],[MTD Company]]-Table333456789101215[[#This Row],[MTD Panel]]</f>
        <v>0</v>
      </c>
    </row>
    <row r="24" spans="1:9">
      <c r="A24" s="11" t="str">
        <f>Table333456789101217[[#This Row],[Carrier]]</f>
        <v>Nitro</v>
      </c>
      <c r="B24" s="5" t="str">
        <f>Table333456789101217[[#This Row],[IP]]</f>
        <v>15.150.200.33/119.82.200.100</v>
      </c>
      <c r="C24" s="6" t="str">
        <f>Table333456789101217[[#This Row],[Carrier Code]]</f>
        <v>NI</v>
      </c>
      <c r="D24" s="53">
        <v>0</v>
      </c>
      <c r="E24" s="53">
        <v>0</v>
      </c>
      <c r="F24" s="18">
        <f>Table333456789101215[[#This Row],[Company Panel]]+Table333456789101214[[#This Row],[MTD Company]]</f>
        <v>0</v>
      </c>
      <c r="G24" s="18">
        <f>Table333456789101215[[#This Row],[Our panel]]+Table333456789101214[[#This Row],[MTD Panel]]</f>
        <v>0</v>
      </c>
      <c r="H24" s="13">
        <f>Table333456789101215[[#This Row],[Company Panel]]-Table333456789101215[[#This Row],[Our panel]]</f>
        <v>0</v>
      </c>
      <c r="I24" s="13">
        <f>Table333456789101215[[#This Row],[MTD Company]]-Table333456789101215[[#This Row],[MTD Panel]]</f>
        <v>0</v>
      </c>
    </row>
    <row r="25" spans="1:9">
      <c r="A25" s="11" t="str">
        <f>Table333456789101217[[#This Row],[Carrier]]</f>
        <v>Drip</v>
      </c>
      <c r="B25" s="5" t="str">
        <f>Table333456789101217[[#This Row],[IP]]</f>
        <v>84.13.76.190/90.945.80.11/198.160.234.5</v>
      </c>
      <c r="C25" s="6" t="str">
        <f>Table333456789101217[[#This Row],[Carrier Code]]</f>
        <v>DR</v>
      </c>
      <c r="D25" s="53">
        <v>0</v>
      </c>
      <c r="E25" s="53">
        <v>0</v>
      </c>
      <c r="F25" s="18">
        <f>Table333456789101215[[#This Row],[Company Panel]]+Table333456789101214[[#This Row],[MTD Company]]</f>
        <v>0</v>
      </c>
      <c r="G25" s="18">
        <f>Table333456789101215[[#This Row],[Our panel]]+Table333456789101214[[#This Row],[MTD Panel]]</f>
        <v>0</v>
      </c>
      <c r="H25" s="13">
        <f>Table333456789101215[[#This Row],[Company Panel]]-Table333456789101215[[#This Row],[Our panel]]</f>
        <v>0</v>
      </c>
      <c r="I25" s="13">
        <f>Table333456789101215[[#This Row],[MTD Company]]-Table333456789101215[[#This Row],[MTD Panel]]</f>
        <v>0</v>
      </c>
    </row>
    <row r="26" spans="1:9">
      <c r="A26" s="11" t="str">
        <f>Table333456789101217[[#This Row],[Carrier]]</f>
        <v>Glide</v>
      </c>
      <c r="B26" s="5" t="str">
        <f>Table333456789101217[[#This Row],[IP]]</f>
        <v>120.45.12.25/85.739.221.80/85.739.221.93</v>
      </c>
      <c r="C26" s="6" t="str">
        <f>Table333456789101217[[#This Row],[Carrier Code]]</f>
        <v>GI</v>
      </c>
      <c r="D26" s="53">
        <v>0</v>
      </c>
      <c r="E26" s="53">
        <v>0</v>
      </c>
      <c r="F26" s="18">
        <f>Table333456789101215[[#This Row],[Company Panel]]+Table333456789101214[[#This Row],[MTD Company]]</f>
        <v>0</v>
      </c>
      <c r="G26" s="18">
        <f>Table333456789101215[[#This Row],[Our panel]]+Table333456789101214[[#This Row],[MTD Panel]]</f>
        <v>0</v>
      </c>
      <c r="H26" s="13">
        <f>Table333456789101215[[#This Row],[Company Panel]]-Table333456789101215[[#This Row],[Our panel]]</f>
        <v>0</v>
      </c>
      <c r="I26" s="13">
        <f>Table333456789101215[[#This Row],[MTD Company]]-Table333456789101215[[#This Row],[MTD Panel]]</f>
        <v>0</v>
      </c>
    </row>
    <row r="27" spans="1:9">
      <c r="A27" s="11" t="str">
        <f>Table333456789101217[[#This Row],[Carrier]]</f>
        <v>Orbit</v>
      </c>
      <c r="B27" s="5" t="str">
        <f>Table333456789101217[[#This Row],[IP]]</f>
        <v>176.98.54.112/60.110.154.91/60.110.155.162</v>
      </c>
      <c r="C27" s="6" t="str">
        <f>Table333456789101217[[#This Row],[Carrier Code]]</f>
        <v>OR</v>
      </c>
      <c r="D27" s="53">
        <v>0</v>
      </c>
      <c r="E27" s="53">
        <v>0</v>
      </c>
      <c r="F27" s="18">
        <f>Table333456789101215[[#This Row],[Company Panel]]+Table333456789101214[[#This Row],[MTD Company]]</f>
        <v>0</v>
      </c>
      <c r="G27" s="18">
        <f>Table333456789101215[[#This Row],[Our panel]]+Table333456789101214[[#This Row],[MTD Panel]]</f>
        <v>0</v>
      </c>
      <c r="H27" s="13">
        <f>Table333456789101215[[#This Row],[Company Panel]]-Table333456789101215[[#This Row],[Our panel]]</f>
        <v>0</v>
      </c>
      <c r="I27" s="13">
        <f>Table333456789101215[[#This Row],[MTD Company]]-Table333456789101215[[#This Row],[MTD Panel]]</f>
        <v>0</v>
      </c>
    </row>
    <row r="28" spans="1:9">
      <c r="A28" s="11" t="str">
        <f>Table333456789101217[[#This Row],[Carrier]]</f>
        <v>Thunder</v>
      </c>
      <c r="B28" s="5" t="str">
        <f>Table333456789101217[[#This Row],[IP]]</f>
        <v>67.102.200.9/81.905.48.847/143.235.100.34</v>
      </c>
      <c r="C28" s="6" t="str">
        <f>Table333456789101217[[#This Row],[Carrier Code]]</f>
        <v>TU</v>
      </c>
      <c r="D28" s="53">
        <v>185.63333333333333</v>
      </c>
      <c r="E28" s="53">
        <v>185.63333333333333</v>
      </c>
      <c r="F28" s="18">
        <f>Table333456789101215[[#This Row],[Company Panel]]+Table333456789101214[[#This Row],[MTD Company]]</f>
        <v>513.76666666666665</v>
      </c>
      <c r="G28" s="18">
        <f>Table333456789101215[[#This Row],[Our panel]]+Table333456789101214[[#This Row],[MTD Panel]]</f>
        <v>513.76666666666665</v>
      </c>
      <c r="H28" s="13">
        <f>Table333456789101215[[#This Row],[Company Panel]]-Table333456789101215[[#This Row],[Our panel]]</f>
        <v>0</v>
      </c>
      <c r="I28" s="13">
        <f>Table333456789101215[[#This Row],[MTD Company]]-Table333456789101215[[#This Row],[MTD Panel]]</f>
        <v>0</v>
      </c>
    </row>
    <row r="29" spans="1:9">
      <c r="A29" s="11" t="str">
        <f>Table333456789101217[[#This Row],[Carrier]]</f>
        <v>Glimmer</v>
      </c>
      <c r="B29" s="5" t="str">
        <f>Table333456789101217[[#This Row],[IP]]</f>
        <v>99.22.211.100/71.54.85.344/71.54.85.218</v>
      </c>
      <c r="C29" s="6" t="str">
        <f>Table333456789101217[[#This Row],[Carrier Code]]</f>
        <v>GM</v>
      </c>
      <c r="D29" s="53">
        <v>0</v>
      </c>
      <c r="E29" s="53">
        <v>0</v>
      </c>
      <c r="F29" s="18">
        <f>Table333456789101215[[#This Row],[Company Panel]]+Table333456789101214[[#This Row],[MTD Company]]</f>
        <v>0</v>
      </c>
      <c r="G29" s="18">
        <f>Table333456789101215[[#This Row],[Our panel]]+Table333456789101214[[#This Row],[MTD Panel]]</f>
        <v>0</v>
      </c>
      <c r="H29" s="13">
        <f>Table333456789101215[[#This Row],[Company Panel]]-Table333456789101215[[#This Row],[Our panel]]</f>
        <v>0</v>
      </c>
      <c r="I29" s="13">
        <f>Table333456789101215[[#This Row],[MTD Company]]-Table333456789101215[[#This Row],[MTD Panel]]</f>
        <v>0</v>
      </c>
    </row>
    <row r="30" spans="1:9">
      <c r="A30" s="11" t="str">
        <f>Table333456789101217[[#This Row],[Carrier]]</f>
        <v>Fragment</v>
      </c>
      <c r="B30" s="5" t="str">
        <f>Table333456789101217[[#This Row],[IP]]</f>
        <v>203.0.113.56/195.56.101.10</v>
      </c>
      <c r="C30" s="6" t="str">
        <f>Table333456789101217[[#This Row],[Carrier Code]]</f>
        <v>FR</v>
      </c>
      <c r="D30" s="53">
        <v>0</v>
      </c>
      <c r="E30" s="53">
        <v>0</v>
      </c>
      <c r="F30" s="18">
        <f>Table333456789101215[[#This Row],[Company Panel]]+Table333456789101214[[#This Row],[MTD Company]]</f>
        <v>0</v>
      </c>
      <c r="G30" s="18">
        <f>Table333456789101215[[#This Row],[Our panel]]+Table333456789101214[[#This Row],[MTD Panel]]</f>
        <v>0</v>
      </c>
      <c r="H30" s="13">
        <f>Table333456789101215[[#This Row],[Company Panel]]-Table333456789101215[[#This Row],[Our panel]]</f>
        <v>0</v>
      </c>
      <c r="I30" s="13">
        <f>Table333456789101215[[#This Row],[MTD Company]]-Table333456789101215[[#This Row],[MTD Panel]]</f>
        <v>0</v>
      </c>
    </row>
    <row r="31" spans="1:9">
      <c r="A31" s="11" t="str">
        <f>Table333456789101217[[#This Row],[Carrier]]</f>
        <v>Dusk</v>
      </c>
      <c r="B31" s="5" t="str">
        <f>Table333456789101217[[#This Row],[IP]]</f>
        <v>33.44.55.66/33.44.55.84/33.44.55.122/214.68.90.122</v>
      </c>
      <c r="C31" s="6" t="str">
        <f>Table333456789101217[[#This Row],[Carrier Code]]</f>
        <v>DK</v>
      </c>
      <c r="D31" s="53">
        <v>0</v>
      </c>
      <c r="E31" s="53">
        <v>0</v>
      </c>
      <c r="F31" s="18">
        <f>Table333456789101215[[#This Row],[Company Panel]]+Table333456789101214[[#This Row],[MTD Company]]</f>
        <v>0</v>
      </c>
      <c r="G31" s="18">
        <f>Table333456789101215[[#This Row],[Our panel]]+Table333456789101214[[#This Row],[MTD Panel]]</f>
        <v>0</v>
      </c>
      <c r="H31" s="13">
        <f>Table333456789101215[[#This Row],[Company Panel]]-Table333456789101215[[#This Row],[Our panel]]</f>
        <v>0</v>
      </c>
      <c r="I31" s="13">
        <f>Table333456789101215[[#This Row],[MTD Company]]-Table333456789101215[[#This Row],[MTD Panel]]</f>
        <v>0</v>
      </c>
    </row>
    <row r="32" spans="1:9">
      <c r="A32" s="11" t="str">
        <f>Table333456789101217[[#This Row],[Carrier]]</f>
        <v>Breeze</v>
      </c>
      <c r="B32" s="5" t="str">
        <f>Table333456789101217[[#This Row],[IP]]</f>
        <v>199.123.87.45/199.123.34.52/77.189.22.56</v>
      </c>
      <c r="C32" s="6" t="str">
        <f>Table333456789101217[[#This Row],[Carrier Code]]</f>
        <v>BR</v>
      </c>
      <c r="D32" s="53">
        <v>0</v>
      </c>
      <c r="E32" s="53">
        <v>0</v>
      </c>
      <c r="F32" s="18">
        <v>0</v>
      </c>
      <c r="G32" s="18">
        <v>0</v>
      </c>
      <c r="H32" s="13">
        <f>Table333456789101215[[#This Row],[Company Panel]]-Table333456789101215[[#This Row],[Our panel]]</f>
        <v>0</v>
      </c>
      <c r="I32" s="13">
        <f>Table333456789101215[[#This Row],[MTD Company]]-Table333456789101215[[#This Row],[MTD Panel]]</f>
        <v>0</v>
      </c>
    </row>
    <row r="33" spans="1:9">
      <c r="A33" s="11" t="str">
        <f>Table333456789101217[[#This Row],[Carrier]]</f>
        <v>Clutch</v>
      </c>
      <c r="B33" s="5" t="str">
        <f>Table333456789101217[[#This Row],[IP]]</f>
        <v>55.66.77.88/84.126.79.28/152.233.45.11</v>
      </c>
      <c r="C33" s="6" t="str">
        <f>Table333456789101217[[#This Row],[Carrier Code]]</f>
        <v>CL</v>
      </c>
      <c r="D33" s="53">
        <v>0</v>
      </c>
      <c r="E33" s="53">
        <v>0</v>
      </c>
      <c r="F33" s="18">
        <v>0</v>
      </c>
      <c r="G33" s="18">
        <v>0</v>
      </c>
      <c r="H33" s="13">
        <f>Table333456789101215[[#This Row],[Company Panel]]-Table333456789101215[[#This Row],[Our panel]]</f>
        <v>0</v>
      </c>
      <c r="I33" s="13">
        <f>Table333456789101215[[#This Row],[MTD Company]]-Table333456789101215[[#This Row],[MTD Panel]]</f>
        <v>0</v>
      </c>
    </row>
    <row r="34" spans="1:9">
      <c r="A34" s="11" t="str">
        <f>Table333456789101217[[#This Row],[Carrier]]</f>
        <v>Haze</v>
      </c>
      <c r="B34" s="5" t="str">
        <f>Table333456789101217[[#This Row],[IP]]</f>
        <v>230.111.44.56</v>
      </c>
      <c r="C34" s="6" t="str">
        <f>Table333456789101217[[#This Row],[Carrier Code]]</f>
        <v>HZ</v>
      </c>
      <c r="D34" s="53">
        <v>2428.0333333333333</v>
      </c>
      <c r="E34" s="53">
        <v>2428.0333333333333</v>
      </c>
      <c r="F34" s="18">
        <f>Table333456789101215[[#This Row],[Company Panel]]+Table333456789101214[[#This Row],[MTD Company]]</f>
        <v>2428.6</v>
      </c>
      <c r="G34" s="18">
        <f>Table333456789101215[[#This Row],[Our panel]]+Table333456789101214[[#This Row],[MTD Panel]]</f>
        <v>2428.6</v>
      </c>
      <c r="H34" s="13">
        <f>Table333456789101215[[#This Row],[Company Panel]]-Table333456789101215[[#This Row],[Our panel]]</f>
        <v>0</v>
      </c>
      <c r="I34" s="13">
        <f>Table333456789101215[[#This Row],[MTD Company]]-Table333456789101215[[#This Row],[MTD Panel]]</f>
        <v>0</v>
      </c>
    </row>
    <row r="35" spans="1:9">
      <c r="A35" s="11" t="str">
        <f>Table333456789101217[[#This Row],[Carrier]]</f>
        <v>Vault</v>
      </c>
      <c r="B35" s="5" t="str">
        <f>Table333456789101217[[#This Row],[IP]]</f>
        <v>213.189.94.5/213.189.94.7/111.180.64.222</v>
      </c>
      <c r="C35" s="6" t="str">
        <f>Table333456789101217[[#This Row],[Carrier Code]]</f>
        <v>VA</v>
      </c>
      <c r="D35" s="53">
        <v>0</v>
      </c>
      <c r="E35" s="53">
        <v>0</v>
      </c>
      <c r="F35" s="18">
        <f>Table333456789101215[[#This Row],[Company Panel]]+Table333456789101214[[#This Row],[MTD Company]]</f>
        <v>0</v>
      </c>
      <c r="G35" s="18">
        <f>Table333456789101215[[#This Row],[Our panel]]+Table333456789101214[[#This Row],[MTD Panel]]</f>
        <v>0</v>
      </c>
      <c r="H35" s="63">
        <f>Table333456789101215[[#This Row],[Company Panel]]-Table333456789101215[[#This Row],[Our panel]]</f>
        <v>0</v>
      </c>
      <c r="I35" s="63">
        <f>Table333456789101215[[#This Row],[MTD Company]]-Table333456789101215[[#This Row],[MTD Panel]]</f>
        <v>0</v>
      </c>
    </row>
    <row r="36" spans="1:9">
      <c r="A36" s="11" t="str">
        <f>Table333456789101217[[#This Row],[Carrier]]</f>
        <v>Scatter</v>
      </c>
      <c r="B36" s="5" t="str">
        <f>Table333456789101217[[#This Row],[IP]]</f>
        <v>14.123.45.67/168.251.90.15</v>
      </c>
      <c r="C36" s="6" t="str">
        <f>Table333456789101217[[#This Row],[Carrier Code]]</f>
        <v>SC</v>
      </c>
      <c r="D36" s="53">
        <v>663.43333333333328</v>
      </c>
      <c r="E36" s="53">
        <v>663.43333333333328</v>
      </c>
      <c r="F36" s="18">
        <f>Table333456789101215[[#This Row],[Company Panel]]+Table333456789101214[[#This Row],[MTD Company]]</f>
        <v>1104.8833333333332</v>
      </c>
      <c r="G36" s="18">
        <f>Table333456789101215[[#This Row],[Our panel]]+Table333456789101214[[#This Row],[MTD Panel]]</f>
        <v>1104.8833333333332</v>
      </c>
      <c r="H36" s="13">
        <f>Table333456789101215[[#This Row],[Company Panel]]-Table333456789101215[[#This Row],[Our panel]]</f>
        <v>0</v>
      </c>
      <c r="I36" s="13">
        <f>Table333456789101215[[#This Row],[MTD Company]]-Table333456789101215[[#This Row],[MTD Panel]]</f>
        <v>0</v>
      </c>
    </row>
    <row r="37" spans="1:9">
      <c r="A37" s="11" t="str">
        <f>Table333456789101217[[#This Row],[Carrier]]</f>
        <v>Hammer</v>
      </c>
      <c r="B37" s="5" t="str">
        <f>Table333456789101217[[#This Row],[IP]]</f>
        <v>200.111.78.9/200.111.236.62/200.111.823.89/137.79.48.56</v>
      </c>
      <c r="C37" s="6" t="str">
        <f>Table333456789101217[[#This Row],[Carrier Code]]</f>
        <v>HA</v>
      </c>
      <c r="D37" s="53">
        <v>0</v>
      </c>
      <c r="E37" s="53">
        <v>0</v>
      </c>
      <c r="F37" s="18">
        <f>Table333456789101215[[#This Row],[Company Panel]]+Table333456789101214[[#This Row],[MTD Company]]</f>
        <v>0</v>
      </c>
      <c r="G37" s="18">
        <f>Table333456789101215[[#This Row],[Our panel]]+Table333456789101214[[#This Row],[MTD Panel]]</f>
        <v>0</v>
      </c>
      <c r="H37" s="72">
        <f>Table333456789101215[[#This Row],[Company Panel]]-Table333456789101215[[#This Row],[Our panel]]</f>
        <v>0</v>
      </c>
      <c r="I37" s="72">
        <f>Table333456789101215[[#This Row],[MTD Company]]-Table333456789101215[[#This Row],[MTD Panel]]</f>
        <v>0</v>
      </c>
    </row>
    <row r="38" spans="1:9">
      <c r="A38" s="11" t="str">
        <f>Table333456789101217[[#This Row],[Carrier]]</f>
        <v>Smudge</v>
      </c>
      <c r="B38" s="5" t="str">
        <f>Table333456789101217[[#This Row],[IP]]</f>
        <v>88.99.233.56/54.71.99.234</v>
      </c>
      <c r="C38" s="6" t="str">
        <f>Table333456789101217[[#This Row],[Carrier Code]]</f>
        <v>SM</v>
      </c>
      <c r="D38" s="53">
        <v>198.76666666666668</v>
      </c>
      <c r="E38" s="53">
        <v>198.76666666666668</v>
      </c>
      <c r="F38" s="18">
        <f>Table333456789101215[[#This Row],[Company Panel]]+Table333456789101214[[#This Row],[MTD Company]]</f>
        <v>335.55</v>
      </c>
      <c r="G38" s="18">
        <f>Table333456789101215[[#This Row],[Our panel]]+Table333456789101214[[#This Row],[MTD Panel]]</f>
        <v>335.55</v>
      </c>
      <c r="H38" s="72">
        <f>Table333456789101215[[#This Row],[Company Panel]]-Table333456789101215[[#This Row],[Our panel]]</f>
        <v>0</v>
      </c>
      <c r="I38" s="72">
        <f>Table333456789101215[[#This Row],[MTD Company]]-Table333456789101215[[#This Row],[MTD Panel]]</f>
        <v>0</v>
      </c>
    </row>
    <row r="39" spans="1:9">
      <c r="A39" s="11" t="str">
        <f>Table333456789101217[[#This Row],[Carrier]]</f>
        <v>Quirk</v>
      </c>
      <c r="B39" s="5" t="str">
        <f>Table333456789101217[[#This Row],[IP]]</f>
        <v>62.45.100.31/62.45.100.15/62.45.100.65/211.95.102.6</v>
      </c>
      <c r="C39" s="6" t="str">
        <f>Table333456789101217[[#This Row],[Carrier Code]]</f>
        <v>QU</v>
      </c>
      <c r="D39" s="53">
        <v>12890.333333333334</v>
      </c>
      <c r="E39" s="53">
        <v>12890.333333333334</v>
      </c>
      <c r="F39" s="18">
        <f>Table333456789101215[[#This Row],[Company Panel]]+Table333456789101214[[#This Row],[MTD Company]]</f>
        <v>34276.433333333334</v>
      </c>
      <c r="G39" s="18">
        <f>Table333456789101215[[#This Row],[Our panel]]+Table333456789101214[[#This Row],[MTD Panel]]</f>
        <v>34276.433333333334</v>
      </c>
      <c r="H39" s="13">
        <f>Table333456789101215[[#This Row],[Company Panel]]-Table333456789101215[[#This Row],[Our panel]]</f>
        <v>0</v>
      </c>
      <c r="I39" s="13">
        <f>Table333456789101215[[#This Row],[MTD Company]]-Table333456789101215[[#This Row],[MTD Panel]]</f>
        <v>0</v>
      </c>
    </row>
    <row r="40" spans="1:9">
      <c r="A40" s="11" t="str">
        <f>Table333456789101217[[#This Row],[Carrier]]</f>
        <v>Vortex</v>
      </c>
      <c r="B40" s="5" t="str">
        <f>Table333456789101217[[#This Row],[IP]]</f>
        <v>179.250.91.8/29.540.67.457/94.25.34.78/183.144.27.18</v>
      </c>
      <c r="C40" s="6" t="str">
        <f>Table333456789101217[[#This Row],[Carrier Code]]</f>
        <v>VT</v>
      </c>
      <c r="D40" s="53">
        <v>0</v>
      </c>
      <c r="E40" s="53">
        <v>0</v>
      </c>
      <c r="F40" s="18">
        <f>Table333456789101215[[#This Row],[Company Panel]]+Table333456789101214[[#This Row],[MTD Company]]</f>
        <v>0</v>
      </c>
      <c r="G40" s="18">
        <f>Table333456789101215[[#This Row],[Our panel]]+Table333456789101214[[#This Row],[MTD Panel]]</f>
        <v>0</v>
      </c>
      <c r="H40" s="72">
        <f>Table333456789101215[[#This Row],[Company Panel]]-Table333456789101215[[#This Row],[Our panel]]</f>
        <v>0</v>
      </c>
      <c r="I40" s="72">
        <f>Table333456789101215[[#This Row],[MTD Company]]-Table333456789101215[[#This Row],[MTD Panel]]</f>
        <v>0</v>
      </c>
    </row>
    <row r="41" spans="1:9">
      <c r="A41" s="11" t="str">
        <f>Table333456789101217[[#This Row],[Carrier]]</f>
        <v>Void</v>
      </c>
      <c r="B41" s="5" t="str">
        <f>Table333456789101217[[#This Row],[IP]]</f>
        <v>156.34.123.11/156.34.123.25/156.34.123.62/92.44.233.110</v>
      </c>
      <c r="C41" s="6" t="str">
        <f>Table333456789101217[[#This Row],[Carrier Code]]</f>
        <v>VO</v>
      </c>
      <c r="D41" s="53">
        <v>203.75</v>
      </c>
      <c r="E41" s="53">
        <v>203.75</v>
      </c>
      <c r="F41" s="18">
        <f>Table333456789101215[[#This Row],[Company Panel]]+Table333456789101214[[#This Row],[MTD Company]]</f>
        <v>834.08333333333337</v>
      </c>
      <c r="G41" s="18">
        <f>Table333456789101215[[#This Row],[Our panel]]+Table333456789101214[[#This Row],[MTD Panel]]</f>
        <v>834.08333333333337</v>
      </c>
      <c r="H41" s="72">
        <f>Table333456789101215[[#This Row],[Company Panel]]-Table333456789101215[[#This Row],[Our panel]]</f>
        <v>0</v>
      </c>
      <c r="I41" s="72">
        <f>Table333456789101215[[#This Row],[MTD Company]]-Table333456789101215[[#This Row],[MTD Panel]]</f>
        <v>0</v>
      </c>
    </row>
    <row r="42" spans="1:9">
      <c r="A42" s="11" t="str">
        <f>Table333456789101217[[#This Row],[Carrier]]</f>
        <v>Midnight</v>
      </c>
      <c r="B42" s="5" t="str">
        <f>Table333456789101217[[#This Row],[IP]]</f>
        <v>134.77.22.4/23.97.150.8</v>
      </c>
      <c r="C42" s="6" t="str">
        <f>Table333456789101217[[#This Row],[Carrier Code]]</f>
        <v>MI</v>
      </c>
      <c r="D42" s="53">
        <v>4389.3166666666666</v>
      </c>
      <c r="E42" s="53">
        <v>4389.3166666666666</v>
      </c>
      <c r="F42" s="18">
        <f>Table333456789101215[[#This Row],[Company Panel]]+Table333456789101214[[#This Row],[MTD Company]]</f>
        <v>6653</v>
      </c>
      <c r="G42" s="18">
        <f>Table333456789101215[[#This Row],[Our panel]]+Table333456789101214[[#This Row],[MTD Panel]]</f>
        <v>6653</v>
      </c>
      <c r="H42" s="72">
        <f>Table333456789101215[[#This Row],[Company Panel]]-Table333456789101215[[#This Row],[Our panel]]</f>
        <v>0</v>
      </c>
      <c r="I42" s="72">
        <f>Table333456789101215[[#This Row],[MTD Company]]-Table333456789101215[[#This Row],[MTD Panel]]</f>
        <v>0</v>
      </c>
    </row>
    <row r="43" spans="1:9">
      <c r="A43" s="11" t="str">
        <f>Table333456789101217[[#This Row],[Carrier]]</f>
        <v>Autumn</v>
      </c>
      <c r="B43" s="5" t="str">
        <f>Table333456789101217[[#This Row],[IP]]</f>
        <v>202.54.210.88/12.331.94.73/64.19.28.175</v>
      </c>
      <c r="C43" s="6" t="str">
        <f>Table333456789101217[[#This Row],[Carrier Code]]</f>
        <v>AU</v>
      </c>
      <c r="D43" s="53">
        <v>40.783333333333331</v>
      </c>
      <c r="E43" s="53">
        <v>40.783333333333331</v>
      </c>
      <c r="F43" s="18">
        <f>Table333456789101215[[#This Row],[Company Panel]]+Table333456789101214[[#This Row],[MTD Company]]</f>
        <v>258.31666666666666</v>
      </c>
      <c r="G43" s="18">
        <f>Table333456789101215[[#This Row],[Our panel]]+Table333456789101214[[#This Row],[MTD Panel]]</f>
        <v>258.31666666666666</v>
      </c>
      <c r="H43" s="72">
        <f>Table333456789101215[[#This Row],[Company Panel]]-Table333456789101215[[#This Row],[Our panel]]</f>
        <v>0</v>
      </c>
      <c r="I43" s="72">
        <f>Table333456789101215[[#This Row],[MTD Company]]-Table333456789101215[[#This Row],[MTD Panel]]</f>
        <v>0</v>
      </c>
    </row>
    <row r="44" spans="1:9">
      <c r="A44" s="11" t="str">
        <f>Table333456789101217[[#This Row],[Carrier]]</f>
        <v>Mystic</v>
      </c>
      <c r="B44" s="5" t="str">
        <f>Table333456789101217[[#This Row],[IP]]</f>
        <v>51.233.21.76/82.115.35.60/82.115.35.85</v>
      </c>
      <c r="C44" s="6" t="str">
        <f>Table333456789101217[[#This Row],[Carrier Code]]</f>
        <v>MY</v>
      </c>
      <c r="D44" s="53">
        <v>0</v>
      </c>
      <c r="E44" s="53">
        <v>0</v>
      </c>
      <c r="F44" s="18">
        <f>Table333456789101215[[#This Row],[Company Panel]]+Table333456789101214[[#This Row],[MTD Company]]</f>
        <v>0</v>
      </c>
      <c r="G44" s="18">
        <f>Table333456789101215[[#This Row],[Our panel]]+Table333456789101214[[#This Row],[MTD Panel]]</f>
        <v>0</v>
      </c>
      <c r="H44" s="78">
        <f>Table333456789101215[[#This Row],[Company Panel]]-Table333456789101215[[#This Row],[Our panel]]</f>
        <v>0</v>
      </c>
      <c r="I44" s="78">
        <f>Table333456789101215[[#This Row],[MTD Company]]-Table333456789101215[[#This Row],[MTD Panel]]</f>
        <v>0</v>
      </c>
    </row>
    <row r="45" spans="1:9">
      <c r="A45" s="11" t="str">
        <f>Table333456789101217[[#This Row],[Carrier]]</f>
        <v>Clover</v>
      </c>
      <c r="B45" s="5" t="str">
        <f>Table333456789101217[[#This Row],[IP]]</f>
        <v>210.150.12.45/84.50.212.66/135.113.88.9</v>
      </c>
      <c r="C45" s="6" t="str">
        <f>Table333456789101217[[#This Row],[Carrier Code]]</f>
        <v>CO</v>
      </c>
      <c r="D45" s="53">
        <v>665.05</v>
      </c>
      <c r="E45" s="53">
        <v>665.05</v>
      </c>
      <c r="F45" s="18">
        <f>Table333456789101215[[#This Row],[Company Panel]]+Table333456789101214[[#This Row],[MTD Company]]</f>
        <v>34576.733333333337</v>
      </c>
      <c r="G45" s="18">
        <f>Table333456789101215[[#This Row],[Our panel]]+Table333456789101214[[#This Row],[MTD Panel]]</f>
        <v>34576.733333333337</v>
      </c>
      <c r="H45" s="13">
        <f>Table333456789101215[[#This Row],[Company Panel]]-Table333456789101215[[#This Row],[Our panel]]</f>
        <v>0</v>
      </c>
      <c r="I45" s="13">
        <f>Table333456789101215[[#This Row],[MTD Company]]-Table333456789101215[[#This Row],[MTD Panel]]</f>
        <v>0</v>
      </c>
    </row>
    <row r="46" spans="1:9">
      <c r="A46" s="11" t="str">
        <f>Table333456789101217[[#This Row],[Carrier]]</f>
        <v>Hunter</v>
      </c>
      <c r="B46" s="5" t="str">
        <f>Table333456789101217[[#This Row],[IP]]</f>
        <v>170.199.20.87/13.693.39.280/78.30.123.47</v>
      </c>
      <c r="C46" s="6" t="str">
        <f>Table333456789101217[[#This Row],[Carrier Code]]</f>
        <v>HU</v>
      </c>
      <c r="D46" s="53">
        <v>10933.933333333332</v>
      </c>
      <c r="E46" s="53">
        <v>10933.933333333332</v>
      </c>
      <c r="F46" s="18">
        <f>Table333456789101215[[#This Row],[Company Panel]]+Table333456789101214[[#This Row],[MTD Company]]</f>
        <v>16064.55</v>
      </c>
      <c r="G46" s="18">
        <f>Table333456789101215[[#This Row],[Our panel]]+Table333456789101214[[#This Row],[MTD Panel]]</f>
        <v>16064.55</v>
      </c>
      <c r="H46" s="13">
        <f>Table333456789101215[[#This Row],[Company Panel]]-Table333456789101215[[#This Row],[Our panel]]</f>
        <v>0</v>
      </c>
      <c r="I46" s="13">
        <f>Table333456789101215[[#This Row],[MTD Company]]-Table333456789101215[[#This Row],[MTD Panel]]</f>
        <v>0</v>
      </c>
    </row>
    <row r="47" spans="1:9">
      <c r="A47" s="11" t="str">
        <f>Table333456789101217[[#This Row],[Carrier]]</f>
        <v>Invaded</v>
      </c>
      <c r="B47" s="5" t="str">
        <f>Table333456789101217[[#This Row],[IP]]</f>
        <v>182.67.99.120/80.518.230.410/26.847.95.107/188.12.67.92</v>
      </c>
      <c r="C47" s="6" t="str">
        <f>Table333456789101217[[#This Row],[Carrier Code]]</f>
        <v>ID</v>
      </c>
      <c r="D47" s="7">
        <v>0</v>
      </c>
      <c r="E47" s="7">
        <v>0</v>
      </c>
      <c r="F47" s="18">
        <f>Table333456789101215[[#This Row],[Company Panel]]+Table333456789101214[[#This Row],[MTD Company]]</f>
        <v>0</v>
      </c>
      <c r="G47" s="18">
        <f>Table333456789101215[[#This Row],[Our panel]]+Table333456789101214[[#This Row],[MTD Panel]]</f>
        <v>0</v>
      </c>
      <c r="H47" s="90">
        <f>Table333456789101215[[#This Row],[Company Panel]]-Table333456789101215[[#This Row],[Our panel]]</f>
        <v>0</v>
      </c>
      <c r="I47" s="90">
        <f>Table333456789101215[[#This Row],[MTD Company]]-Table333456789101215[[#This Row],[MTD Panel]]</f>
        <v>0</v>
      </c>
    </row>
    <row r="48" spans="1:9">
      <c r="A48" s="11" t="str">
        <f>Table333456789101217[[#This Row],[Carrier]]</f>
        <v>Delusion</v>
      </c>
      <c r="B48" s="5" t="str">
        <f>Table333456789101217[[#This Row],[IP]]</f>
        <v>198.51.100.72/69.887.74.738/39.153.110.645</v>
      </c>
      <c r="C48" s="6" t="str">
        <f>Table333456789101217[[#This Row],[Carrier Code]]</f>
        <v>DU</v>
      </c>
      <c r="D48" s="7">
        <v>0</v>
      </c>
      <c r="E48" s="7">
        <v>0</v>
      </c>
      <c r="F48" s="18">
        <f>Table333456789101215[[#This Row],[Company Panel]]+Table333456789101214[[#This Row],[MTD Company]]</f>
        <v>0</v>
      </c>
      <c r="G48" s="18">
        <f>Table333456789101215[[#This Row],[Our panel]]+Table333456789101214[[#This Row],[MTD Panel]]</f>
        <v>0</v>
      </c>
      <c r="H48" s="90">
        <f>Table333456789101215[[#This Row],[Company Panel]]-Table333456789101215[[#This Row],[Our panel]]</f>
        <v>0</v>
      </c>
      <c r="I48" s="90">
        <f>Table333456789101215[[#This Row],[MTD Company]]-Table333456789101215[[#This Row],[MTD Panel]]</f>
        <v>0</v>
      </c>
    </row>
    <row r="49" spans="1:9" ht="15.5">
      <c r="A49" s="14" t="s">
        <v>10</v>
      </c>
      <c r="B49" s="14"/>
      <c r="C49" s="15"/>
      <c r="D49" s="16">
        <f t="shared" ref="D49:I49" si="0">SUM(D3:D48)</f>
        <v>42744.349999999991</v>
      </c>
      <c r="E49" s="16">
        <f t="shared" si="0"/>
        <v>42744.349999999991</v>
      </c>
      <c r="F49" s="16">
        <f t="shared" si="0"/>
        <v>180243.65000000002</v>
      </c>
      <c r="G49" s="16">
        <f t="shared" si="0"/>
        <v>180243.65000000002</v>
      </c>
      <c r="H49" s="16">
        <f t="shared" si="0"/>
        <v>0</v>
      </c>
      <c r="I49" s="16">
        <f t="shared" si="0"/>
        <v>0</v>
      </c>
    </row>
  </sheetData>
  <conditionalFormatting sqref="H2:I49">
    <cfRule type="cellIs" dxfId="628" priority="13" operator="lessThan">
      <formula>0</formula>
    </cfRule>
  </conditionalFormatting>
  <conditionalFormatting sqref="I30:I48">
    <cfRule type="cellIs" dxfId="627" priority="12" operator="lessThan">
      <formula>0</formula>
    </cfRule>
  </conditionalFormatting>
  <conditionalFormatting sqref="H3:I49">
    <cfRule type="cellIs" dxfId="626" priority="11" operator="lessThan">
      <formula>0</formula>
    </cfRule>
  </conditionalFormatting>
  <conditionalFormatting sqref="I30:I48">
    <cfRule type="cellIs" dxfId="625" priority="10" operator="lessThan">
      <formula>0</formula>
    </cfRule>
  </conditionalFormatting>
  <conditionalFormatting sqref="I49">
    <cfRule type="cellIs" dxfId="624" priority="6" operator="lessThan">
      <formula>0</formula>
    </cfRule>
  </conditionalFormatting>
  <conditionalFormatting sqref="I3:I49">
    <cfRule type="cellIs" dxfId="623" priority="1" operator="lessThan">
      <formula>0</formula>
    </cfRule>
    <cfRule type="cellIs" dxfId="622" priority="2" operator="lessThan">
      <formula>0</formula>
    </cfRule>
  </conditionalFormatting>
  <hyperlinks>
    <hyperlink ref="E1" location="H!A1" display="Home"/>
    <hyperlink ref="D1" location="'W2'!D1" display="←"/>
    <hyperlink ref="F1" location="'W4'!F1" display="→"/>
  </hyperlinks>
  <pageMargins left="0.7" right="0.7" top="0.75" bottom="0.75" header="0.3" footer="0.3"/>
  <pageSetup orientation="portrait" r:id="rId1"/>
  <ignoredErrors>
    <ignoredError sqref="E3:E48 E49:I49 F32:G33" calculatedColumn="1"/>
  </ignoredErrors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5"/>
  <sheetViews>
    <sheetView workbookViewId="0">
      <pane xSplit="3" ySplit="2" topLeftCell="D3" activePane="bottomRight" state="frozen"/>
      <selection activeCell="A18" sqref="A18"/>
      <selection pane="topRight" activeCell="A18" sqref="A18"/>
      <selection pane="bottomLeft" activeCell="A18" sqref="A18"/>
      <selection pane="bottomRight" activeCell="D3" sqref="D3"/>
    </sheetView>
  </sheetViews>
  <sheetFormatPr defaultRowHeight="14.5"/>
  <cols>
    <col min="1" max="1" width="41.08984375" customWidth="1"/>
    <col min="2" max="2" width="43.54296875" bestFit="1" customWidth="1"/>
    <col min="3" max="3" width="10.453125" customWidth="1"/>
    <col min="4" max="9" width="12.7265625" customWidth="1"/>
  </cols>
  <sheetData>
    <row r="1" spans="1:9" ht="18.5">
      <c r="A1" s="23" t="str">
        <f>H!G5</f>
        <v>21 April 2025 to 27 April 2025</v>
      </c>
      <c r="B1" s="24"/>
      <c r="C1" s="24"/>
      <c r="D1" s="22" t="s">
        <v>16</v>
      </c>
      <c r="E1" s="22" t="s">
        <v>9</v>
      </c>
      <c r="F1" s="22" t="s">
        <v>17</v>
      </c>
    </row>
    <row r="2" spans="1:9" ht="31">
      <c r="A2" s="1" t="s">
        <v>0</v>
      </c>
      <c r="B2" s="2" t="s">
        <v>1</v>
      </c>
      <c r="C2" s="2" t="s">
        <v>2</v>
      </c>
      <c r="D2" s="2" t="s">
        <v>3</v>
      </c>
      <c r="E2" s="2" t="s">
        <v>11</v>
      </c>
      <c r="F2" s="2" t="s">
        <v>4</v>
      </c>
      <c r="G2" s="4" t="s">
        <v>6</v>
      </c>
      <c r="H2" s="4" t="s">
        <v>7</v>
      </c>
      <c r="I2" s="3" t="s">
        <v>8</v>
      </c>
    </row>
    <row r="3" spans="1:9">
      <c r="A3" s="11" t="str">
        <f>Table333456789101217[[#This Row],[Carrier]]</f>
        <v>Blaze</v>
      </c>
      <c r="B3" s="5" t="str">
        <f>Table333456789101217[[#This Row],[IP]]</f>
        <v>8.12.34.56/48.163.17.845/60.502.86.203/191.45.28.14</v>
      </c>
      <c r="C3" s="6" t="str">
        <f>Table333456789101217[[#This Row],[Carrier Code]]</f>
        <v>BZ</v>
      </c>
      <c r="D3" s="53">
        <v>0</v>
      </c>
      <c r="E3" s="53">
        <v>0</v>
      </c>
      <c r="F3" s="18">
        <f>Table333456789101216[[#This Row],[Company Panel]]+Table333456789101215[[#This Row],[MTD Company]]</f>
        <v>0</v>
      </c>
      <c r="G3" s="18">
        <f>Table333456789101216[[#This Row],[Our panel]]+Table333456789101215[[#This Row],[MTD Panel]]</f>
        <v>0</v>
      </c>
      <c r="H3" s="13">
        <f>Table333456789101216[[#This Row],[Company Panel]]-Table333456789101216[[#This Row],[Our panel]]</f>
        <v>0</v>
      </c>
      <c r="I3" s="13">
        <f>Table333456789101216[[#This Row],[MTD Company]]-Table333456789101216[[#This Row],[MTD Panel]]</f>
        <v>0</v>
      </c>
    </row>
    <row r="4" spans="1:9">
      <c r="A4" s="11" t="str">
        <f>Table333456789101217[[#This Row],[Carrier]]</f>
        <v>Titan</v>
      </c>
      <c r="B4" s="5" t="str">
        <f>Table333456789101217[[#This Row],[IP]]</f>
        <v>123.45.67.89/123.45.67.93/203.24.101.65</v>
      </c>
      <c r="C4" s="6" t="str">
        <f>Table333456789101217[[#This Row],[Carrier Code]]</f>
        <v>TI</v>
      </c>
      <c r="D4" s="53">
        <v>6.3166666666666664</v>
      </c>
      <c r="E4" s="53">
        <v>6.3166666666666664</v>
      </c>
      <c r="F4" s="18">
        <f>Table333456789101216[[#This Row],[Company Panel]]+Table333456789101215[[#This Row],[MTD Company]]</f>
        <v>331.48333333333335</v>
      </c>
      <c r="G4" s="18">
        <f>Table333456789101216[[#This Row],[Our panel]]+Table333456789101215[[#This Row],[MTD Panel]]</f>
        <v>331.48333333333335</v>
      </c>
      <c r="H4" s="13">
        <f>Table333456789101216[[#This Row],[Company Panel]]-Table333456789101216[[#This Row],[Our panel]]</f>
        <v>0</v>
      </c>
      <c r="I4" s="13">
        <f>Table333456789101216[[#This Row],[MTD Company]]-Table333456789101216[[#This Row],[MTD Panel]]</f>
        <v>0</v>
      </c>
    </row>
    <row r="5" spans="1:9">
      <c r="A5" s="11" t="str">
        <f>Table333456789101217[[#This Row],[Carrier]]</f>
        <v>Hollow</v>
      </c>
      <c r="B5" s="5" t="str">
        <f>Table333456789101217[[#This Row],[IP]]</f>
        <v>204.56.78.100/204.56.57.169/52.94.101.12</v>
      </c>
      <c r="C5" s="6" t="str">
        <f>Table333456789101217[[#This Row],[Carrier Code]]</f>
        <v>HO</v>
      </c>
      <c r="D5" s="53">
        <v>0</v>
      </c>
      <c r="E5" s="53">
        <v>0</v>
      </c>
      <c r="F5" s="18">
        <f>Table333456789101216[[#This Row],[Company Panel]]+Table333456789101215[[#This Row],[MTD Company]]</f>
        <v>0</v>
      </c>
      <c r="G5" s="18">
        <f>Table333456789101216[[#This Row],[Our panel]]+Table333456789101215[[#This Row],[MTD Panel]]</f>
        <v>0</v>
      </c>
      <c r="H5" s="13">
        <f>Table333456789101216[[#This Row],[Company Panel]]-Table333456789101216[[#This Row],[Our panel]]</f>
        <v>0</v>
      </c>
      <c r="I5" s="13">
        <f>Table333456789101216[[#This Row],[MTD Company]]-Table333456789101216[[#This Row],[MTD Panel]]</f>
        <v>0</v>
      </c>
    </row>
    <row r="6" spans="1:9">
      <c r="A6" s="11" t="str">
        <f>Table333456789101217[[#This Row],[Carrier]]</f>
        <v>Prism</v>
      </c>
      <c r="B6" s="5" t="str">
        <f>Table333456789101217[[#This Row],[IP]]</f>
        <v>35.118.22.45/137.63.112.25</v>
      </c>
      <c r="C6" s="6" t="str">
        <f>Table333456789101217[[#This Row],[Carrier Code]]</f>
        <v>PS</v>
      </c>
      <c r="D6" s="53">
        <v>6628.25</v>
      </c>
      <c r="E6" s="53">
        <v>6628.25</v>
      </c>
      <c r="F6" s="18">
        <f>Table333456789101216[[#This Row],[Company Panel]]+Table333456789101215[[#This Row],[MTD Company]]</f>
        <v>73311.71666666666</v>
      </c>
      <c r="G6" s="18">
        <f>Table333456789101216[[#This Row],[Our panel]]+Table333456789101215[[#This Row],[MTD Panel]]</f>
        <v>73311.71666666666</v>
      </c>
      <c r="H6" s="13">
        <f>Table333456789101216[[#This Row],[Company Panel]]-Table333456789101216[[#This Row],[Our panel]]</f>
        <v>0</v>
      </c>
      <c r="I6" s="13">
        <f>Table333456789101216[[#This Row],[MTD Company]]-Table333456789101216[[#This Row],[MTD Panel]]</f>
        <v>0</v>
      </c>
    </row>
    <row r="7" spans="1:9">
      <c r="A7" s="11" t="str">
        <f>Table333456789101217[[#This Row],[Carrier]]</f>
        <v>Echo</v>
      </c>
      <c r="B7" s="5" t="str">
        <f>Table333456789101217[[#This Row],[IP]]</f>
        <v>66.89.101.10/66.89.101.19/66.89.101.23/66.89.101.45/66.89.101.81/85.21.34.99</v>
      </c>
      <c r="C7" s="6" t="str">
        <f>Table333456789101217[[#This Row],[Carrier Code]]</f>
        <v>EC</v>
      </c>
      <c r="D7" s="53">
        <v>55.65</v>
      </c>
      <c r="E7" s="53">
        <v>55.65</v>
      </c>
      <c r="F7" s="18">
        <f>Table333456789101216[[#This Row],[Company Panel]]+Table333456789101215[[#This Row],[MTD Company]]</f>
        <v>116.18333333333334</v>
      </c>
      <c r="G7" s="18">
        <f>Table333456789101216[[#This Row],[Our panel]]+Table333456789101215[[#This Row],[MTD Panel]]</f>
        <v>116.18333333333334</v>
      </c>
      <c r="H7" s="13">
        <f>Table333456789101216[[#This Row],[Company Panel]]-Table333456789101216[[#This Row],[Our panel]]</f>
        <v>0</v>
      </c>
      <c r="I7" s="13">
        <f>Table333456789101216[[#This Row],[MTD Company]]-Table333456789101216[[#This Row],[MTD Panel]]</f>
        <v>0</v>
      </c>
    </row>
    <row r="8" spans="1:9">
      <c r="A8" s="11" t="str">
        <f>Table333456789101217[[#This Row],[Carrier]]</f>
        <v>Strike</v>
      </c>
      <c r="B8" s="5" t="str">
        <f>Table333456789101217[[#This Row],[IP]]</f>
        <v>100.200.150.3/100.200.165.38/41.102.90.78</v>
      </c>
      <c r="C8" s="6" t="str">
        <f>Table333456789101217[[#This Row],[Carrier Code]]</f>
        <v>ST</v>
      </c>
      <c r="D8" s="53">
        <v>937.98333333333335</v>
      </c>
      <c r="E8" s="53">
        <v>937.98333333333335</v>
      </c>
      <c r="F8" s="18">
        <f>Table333456789101216[[#This Row],[Company Panel]]+Table333456789101215[[#This Row],[MTD Company]]</f>
        <v>3021.75</v>
      </c>
      <c r="G8" s="18">
        <f>Table333456789101216[[#This Row],[Our panel]]+Table333456789101215[[#This Row],[MTD Panel]]</f>
        <v>3021.75</v>
      </c>
      <c r="H8" s="13">
        <f>Table333456789101216[[#This Row],[Company Panel]]-Table333456789101216[[#This Row],[Our panel]]</f>
        <v>0</v>
      </c>
      <c r="I8" s="13">
        <f>Table333456789101216[[#This Row],[MTD Company]]-Table333456789101216[[#This Row],[MTD Panel]]</f>
        <v>0</v>
      </c>
    </row>
    <row r="9" spans="1:9">
      <c r="A9" s="11" t="str">
        <f>Table333456789101217[[#This Row],[Carrier]]</f>
        <v>Blunt</v>
      </c>
      <c r="B9" s="5" t="str">
        <f>Table333456789101217[[#This Row],[IP]]</f>
        <v>52.28.191.25/52.28.191.38/52.28.191.24/61.110.23.45</v>
      </c>
      <c r="C9" s="6" t="str">
        <f>Table333456789101217[[#This Row],[Carrier Code]]</f>
        <v>BL</v>
      </c>
      <c r="D9" s="53">
        <v>931.45</v>
      </c>
      <c r="E9" s="53">
        <v>931.45</v>
      </c>
      <c r="F9" s="18">
        <f>Table333456789101216[[#This Row],[Company Panel]]+Table333456789101215[[#This Row],[MTD Company]]</f>
        <v>11050</v>
      </c>
      <c r="G9" s="18">
        <f>Table333456789101216[[#This Row],[Our panel]]+Table333456789101215[[#This Row],[MTD Panel]]</f>
        <v>11050</v>
      </c>
      <c r="H9" s="13">
        <f>Table333456789101216[[#This Row],[Company Panel]]-Table333456789101216[[#This Row],[Our panel]]</f>
        <v>0</v>
      </c>
      <c r="I9" s="13">
        <f>Table333456789101216[[#This Row],[MTD Company]]-Table333456789101216[[#This Row],[MTD Panel]]</f>
        <v>0</v>
      </c>
    </row>
    <row r="10" spans="1:9">
      <c r="A10" s="11" t="str">
        <f>Table333456789101217[[#This Row],[Carrier]]</f>
        <v>Law</v>
      </c>
      <c r="B10" s="5" t="str">
        <f>Table333456789101217[[#This Row],[IP]]</f>
        <v>77.88.99.21/77.88.99.88/77.88.99.94/110.56.211.7</v>
      </c>
      <c r="C10" s="6" t="str">
        <f>Table333456789101217[[#This Row],[Carrier Code]]</f>
        <v>LA</v>
      </c>
      <c r="D10" s="53">
        <v>0</v>
      </c>
      <c r="E10" s="53">
        <v>0</v>
      </c>
      <c r="F10" s="18">
        <f>Table333456789101216[[#This Row],[Company Panel]]+Table333456789101215[[#This Row],[MTD Company]]</f>
        <v>0</v>
      </c>
      <c r="G10" s="18">
        <f>Table333456789101216[[#This Row],[Our panel]]+Table333456789101215[[#This Row],[MTD Panel]]</f>
        <v>0</v>
      </c>
      <c r="H10" s="13">
        <f>Table333456789101216[[#This Row],[Company Panel]]-Table333456789101216[[#This Row],[Our panel]]</f>
        <v>0</v>
      </c>
      <c r="I10" s="13">
        <f>Table333456789101216[[#This Row],[MTD Company]]-Table333456789101216[[#This Row],[MTD Panel]]</f>
        <v>0</v>
      </c>
    </row>
    <row r="11" spans="1:9">
      <c r="A11" s="11" t="str">
        <f>Table333456789101217[[#This Row],[Carrier]]</f>
        <v>Pulse</v>
      </c>
      <c r="B11" s="5" t="str">
        <f>Table333456789101217[[#This Row],[IP]]</f>
        <v>198.51.100.130/31.725.16.608/66.59.61.503/167.34.122.90</v>
      </c>
      <c r="C11" s="6" t="str">
        <f>Table333456789101217[[#This Row],[Carrier Code]]</f>
        <v>PU</v>
      </c>
      <c r="D11" s="53">
        <v>0</v>
      </c>
      <c r="E11" s="53">
        <v>0</v>
      </c>
      <c r="F11" s="18">
        <f>Table333456789101216[[#This Row],[Company Panel]]+Table333456789101215[[#This Row],[MTD Company]]</f>
        <v>0</v>
      </c>
      <c r="G11" s="18">
        <f>Table333456789101216[[#This Row],[Our panel]]+Table333456789101215[[#This Row],[MTD Panel]]</f>
        <v>0</v>
      </c>
      <c r="H11" s="13">
        <f>Table333456789101216[[#This Row],[Company Panel]]-Table333456789101216[[#This Row],[Our panel]]</f>
        <v>0</v>
      </c>
      <c r="I11" s="13">
        <f>Table333456789101216[[#This Row],[MTD Company]]-Table333456789101216[[#This Row],[MTD Panel]]</f>
        <v>0</v>
      </c>
    </row>
    <row r="12" spans="1:9">
      <c r="A12" s="11" t="str">
        <f>Table333456789101217[[#This Row],[Carrier]]</f>
        <v>Phantom</v>
      </c>
      <c r="B12" s="5" t="str">
        <f>Table333456789101217[[#This Row],[IP]]</f>
        <v>141.15.210.67/141.15.42.82/179.62.211.4</v>
      </c>
      <c r="C12" s="6" t="str">
        <f>Table333456789101217[[#This Row],[Carrier Code]]</f>
        <v>PH</v>
      </c>
      <c r="D12" s="53">
        <v>24.3</v>
      </c>
      <c r="E12" s="53">
        <v>24.3</v>
      </c>
      <c r="F12" s="18">
        <f>Table333456789101216[[#This Row],[Company Panel]]+Table333456789101215[[#This Row],[MTD Company]]</f>
        <v>3377.7833333333338</v>
      </c>
      <c r="G12" s="18">
        <f>Table333456789101216[[#This Row],[Our panel]]+Table333456789101215[[#This Row],[MTD Panel]]</f>
        <v>3377.7833333333338</v>
      </c>
      <c r="H12" s="13">
        <f>Table333456789101216[[#This Row],[Company Panel]]-Table333456789101216[[#This Row],[Our panel]]</f>
        <v>0</v>
      </c>
      <c r="I12" s="13">
        <f>Table333456789101216[[#This Row],[MTD Company]]-Table333456789101216[[#This Row],[MTD Panel]]</f>
        <v>0</v>
      </c>
    </row>
    <row r="13" spans="1:9">
      <c r="A13" s="11" t="str">
        <f>Table333456789101217[[#This Row],[Carrier]]</f>
        <v>Dragon</v>
      </c>
      <c r="B13" s="5" t="str">
        <f>Table333456789101217[[#This Row],[IP]]</f>
        <v>12.34.56.78/12.34.56.128/200.180.245.18</v>
      </c>
      <c r="C13" s="6" t="str">
        <f>Table333456789101217[[#This Row],[Carrier Code]]</f>
        <v>DG</v>
      </c>
      <c r="D13" s="53">
        <v>0</v>
      </c>
      <c r="E13" s="53">
        <v>0</v>
      </c>
      <c r="F13" s="18">
        <f>Table333456789101216[[#This Row],[Company Panel]]+Table333456789101215[[#This Row],[MTD Company]]</f>
        <v>0</v>
      </c>
      <c r="G13" s="18">
        <f>Table333456789101216[[#This Row],[Our panel]]+Table333456789101215[[#This Row],[MTD Panel]]</f>
        <v>0</v>
      </c>
      <c r="H13" s="13">
        <f>Table333456789101216[[#This Row],[Company Panel]]-Table333456789101216[[#This Row],[Our panel]]</f>
        <v>0</v>
      </c>
      <c r="I13" s="13">
        <f>Table333456789101216[[#This Row],[MTD Company]]-Table333456789101216[[#This Row],[MTD Panel]]</f>
        <v>0</v>
      </c>
    </row>
    <row r="14" spans="1:9">
      <c r="A14" s="11" t="str">
        <f>Table333456789101217[[#This Row],[Carrier]]</f>
        <v>Tempest</v>
      </c>
      <c r="B14" s="5" t="str">
        <f>Table333456789101217[[#This Row],[IP]]</f>
        <v>59.144.223.88/55.39.99.60</v>
      </c>
      <c r="C14" s="6" t="str">
        <f>Table333456789101217[[#This Row],[Carrier Code]]</f>
        <v>TE</v>
      </c>
      <c r="D14" s="53">
        <v>0</v>
      </c>
      <c r="E14" s="53">
        <v>0</v>
      </c>
      <c r="F14" s="18">
        <f>Table333456789101216[[#This Row],[Company Panel]]+Table333456789101215[[#This Row],[MTD Company]]</f>
        <v>0</v>
      </c>
      <c r="G14" s="18">
        <f>Table333456789101216[[#This Row],[Our panel]]+Table333456789101215[[#This Row],[MTD Panel]]</f>
        <v>0</v>
      </c>
      <c r="H14" s="13">
        <f>Table333456789101216[[#This Row],[Company Panel]]-Table333456789101216[[#This Row],[Our panel]]</f>
        <v>0</v>
      </c>
      <c r="I14" s="13">
        <f>Table333456789101216[[#This Row],[MTD Company]]-Table333456789101216[[#This Row],[MTD Panel]]</f>
        <v>0</v>
      </c>
    </row>
    <row r="15" spans="1:9">
      <c r="A15" s="11" t="str">
        <f>Table333456789101217[[#This Row],[Carrier]]</f>
        <v>Shadow</v>
      </c>
      <c r="B15" s="5" t="str">
        <f>Table333456789101217[[#This Row],[IP]]</f>
        <v>175.45.112.100/25.851.31.153/39.80.220.100</v>
      </c>
      <c r="C15" s="6" t="str">
        <f>Table333456789101217[[#This Row],[Carrier Code]]</f>
        <v>SH</v>
      </c>
      <c r="D15" s="53">
        <v>0</v>
      </c>
      <c r="E15" s="53">
        <v>0</v>
      </c>
      <c r="F15" s="18">
        <f>Table333456789101216[[#This Row],[Company Panel]]+Table333456789101215[[#This Row],[MTD Company]]</f>
        <v>0.1</v>
      </c>
      <c r="G15" s="18">
        <f>Table333456789101216[[#This Row],[Our panel]]+Table333456789101215[[#This Row],[MTD Panel]]</f>
        <v>0.1</v>
      </c>
      <c r="H15" s="13">
        <f>Table333456789101216[[#This Row],[Company Panel]]-Table333456789101216[[#This Row],[Our panel]]</f>
        <v>0</v>
      </c>
      <c r="I15" s="13">
        <f>Table333456789101216[[#This Row],[MTD Company]]-Table333456789101216[[#This Row],[MTD Panel]]</f>
        <v>0</v>
      </c>
    </row>
    <row r="16" spans="1:9">
      <c r="A16" s="11" t="str">
        <f>Table333456789101217[[#This Row],[Carrier]]</f>
        <v>Cyclone</v>
      </c>
      <c r="B16" s="5" t="str">
        <f>Table333456789101217[[#This Row],[IP]]</f>
        <v>150.13.75.190/16.160.89.512/72.11.97.34</v>
      </c>
      <c r="C16" s="6" t="str">
        <f>Table333456789101217[[#This Row],[Carrier Code]]</f>
        <v>CY</v>
      </c>
      <c r="D16" s="53">
        <v>0</v>
      </c>
      <c r="E16" s="53">
        <v>0</v>
      </c>
      <c r="F16" s="18">
        <f>Table333456789101216[[#This Row],[Company Panel]]+Table333456789101215[[#This Row],[MTD Company]]</f>
        <v>0</v>
      </c>
      <c r="G16" s="18">
        <f>Table333456789101216[[#This Row],[Our panel]]+Table333456789101215[[#This Row],[MTD Panel]]</f>
        <v>0</v>
      </c>
      <c r="H16" s="13">
        <f>Table333456789101216[[#This Row],[Company Panel]]-Table333456789101216[[#This Row],[Our panel]]</f>
        <v>0</v>
      </c>
      <c r="I16" s="13">
        <f>Table333456789101216[[#This Row],[MTD Company]]-Table333456789101216[[#This Row],[MTD Panel]]</f>
        <v>0</v>
      </c>
    </row>
    <row r="17" spans="1:9">
      <c r="A17" s="11" t="str">
        <f>Table333456789101217[[#This Row],[Carrier]]</f>
        <v>Reaver</v>
      </c>
      <c r="B17" s="5" t="str">
        <f>Table333456789101217[[#This Row],[IP]]</f>
        <v>203.0.113.44/188.17.56.210</v>
      </c>
      <c r="C17" s="6" t="str">
        <f>Table333456789101217[[#This Row],[Carrier Code]]</f>
        <v>RE</v>
      </c>
      <c r="D17" s="53">
        <v>0</v>
      </c>
      <c r="E17" s="53">
        <v>0</v>
      </c>
      <c r="F17" s="18">
        <f>Table333456789101216[[#This Row],[Company Panel]]+Table333456789101215[[#This Row],[MTD Company]]</f>
        <v>0</v>
      </c>
      <c r="G17" s="18">
        <f>Table333456789101216[[#This Row],[Our panel]]+Table333456789101215[[#This Row],[MTD Panel]]</f>
        <v>0</v>
      </c>
      <c r="H17" s="13">
        <f>Table333456789101216[[#This Row],[Company Panel]]-Table333456789101216[[#This Row],[Our panel]]</f>
        <v>0</v>
      </c>
      <c r="I17" s="13">
        <f>Table333456789101216[[#This Row],[MTD Company]]-Table333456789101216[[#This Row],[MTD Panel]]</f>
        <v>0</v>
      </c>
    </row>
    <row r="18" spans="1:9">
      <c r="A18" s="11" t="str">
        <f>Table333456789101217[[#This Row],[Carrier]]</f>
        <v>Forge</v>
      </c>
      <c r="B18" s="5" t="str">
        <f>Table333456789101217[[#This Row],[IP]]</f>
        <v>112.54.89.168/112.54.89.138</v>
      </c>
      <c r="C18" s="6" t="str">
        <f>Table333456789101217[[#This Row],[Carrier Code]]</f>
        <v>FO</v>
      </c>
      <c r="D18" s="53">
        <v>179.68333333333334</v>
      </c>
      <c r="E18" s="53">
        <v>179.68333333333334</v>
      </c>
      <c r="F18" s="18">
        <f>Table333456789101216[[#This Row],[Company Panel]]+Table333456789101215[[#This Row],[MTD Company]]</f>
        <v>674.2166666666667</v>
      </c>
      <c r="G18" s="18">
        <f>Table333456789101216[[#This Row],[Our panel]]+Table333456789101215[[#This Row],[MTD Panel]]</f>
        <v>674.2166666666667</v>
      </c>
      <c r="H18" s="13">
        <f>Table333456789101216[[#This Row],[Company Panel]]-Table333456789101216[[#This Row],[Our panel]]</f>
        <v>0</v>
      </c>
      <c r="I18" s="13">
        <f>Table333456789101216[[#This Row],[MTD Company]]-Table333456789101216[[#This Row],[MTD Panel]]</f>
        <v>0</v>
      </c>
    </row>
    <row r="19" spans="1:9">
      <c r="A19" s="11" t="str">
        <f>Table333456789101217[[#This Row],[Carrier]]</f>
        <v>Ember</v>
      </c>
      <c r="B19" s="5" t="str">
        <f>Table333456789101217[[#This Row],[IP]]</f>
        <v>78.34.90.24/328.56.122.44/142.150.75.22</v>
      </c>
      <c r="C19" s="6" t="str">
        <f>Table333456789101217[[#This Row],[Carrier Code]]</f>
        <v>EM</v>
      </c>
      <c r="D19" s="53">
        <v>1.1499999999999999</v>
      </c>
      <c r="E19" s="53">
        <v>1.1499999999999999</v>
      </c>
      <c r="F19" s="18">
        <f>Table333456789101216[[#This Row],[Company Panel]]+Table333456789101215[[#This Row],[MTD Company]]</f>
        <v>1.1499999999999999</v>
      </c>
      <c r="G19" s="18">
        <f>Table333456789101216[[#This Row],[Our panel]]+Table333456789101215[[#This Row],[MTD Panel]]</f>
        <v>1.1499999999999999</v>
      </c>
      <c r="H19" s="13">
        <f>Table333456789101216[[#This Row],[Company Panel]]-Table333456789101216[[#This Row],[Our panel]]</f>
        <v>0</v>
      </c>
      <c r="I19" s="13">
        <f>Table333456789101216[[#This Row],[MTD Company]]-Table333456789101216[[#This Row],[MTD Panel]]</f>
        <v>0</v>
      </c>
    </row>
    <row r="20" spans="1:9">
      <c r="A20" s="11" t="str">
        <f>Table333456789101217[[#This Row],[Carrier]]</f>
        <v>Specter</v>
      </c>
      <c r="B20" s="5" t="str">
        <f>Table333456789101217[[#This Row],[IP]]</f>
        <v>205.60.34.150</v>
      </c>
      <c r="C20" s="6" t="str">
        <f>Table333456789101217[[#This Row],[Carrier Code]]</f>
        <v>SP</v>
      </c>
      <c r="D20" s="53">
        <v>38.166666666666664</v>
      </c>
      <c r="E20" s="53">
        <v>38.166666666666664</v>
      </c>
      <c r="F20" s="18">
        <f>Table333456789101216[[#This Row],[Company Panel]]+Table333456789101215[[#This Row],[MTD Company]]</f>
        <v>50.116666666666667</v>
      </c>
      <c r="G20" s="18">
        <f>Table333456789101216[[#This Row],[Our panel]]+Table333456789101215[[#This Row],[MTD Panel]]</f>
        <v>50.116666666666667</v>
      </c>
      <c r="H20" s="13">
        <f>Table333456789101216[[#This Row],[Company Panel]]-Table333456789101216[[#This Row],[Our panel]]</f>
        <v>0</v>
      </c>
      <c r="I20" s="13">
        <f>Table333456789101216[[#This Row],[MTD Company]]-Table333456789101216[[#This Row],[MTD Panel]]</f>
        <v>0</v>
      </c>
    </row>
    <row r="21" spans="1:9">
      <c r="A21" s="11" t="str">
        <f>Table333456789101217[[#This Row],[Carrier]]</f>
        <v>Throne</v>
      </c>
      <c r="B21" s="5" t="str">
        <f>Table333456789101217[[#This Row],[IP]]</f>
        <v>54.32.11.90/27.758.27.201/125.150.58.20</v>
      </c>
      <c r="C21" s="6" t="str">
        <f>Table333456789101217[[#This Row],[Carrier Code]]</f>
        <v>TH</v>
      </c>
      <c r="D21" s="53">
        <v>0</v>
      </c>
      <c r="E21" s="53">
        <v>0</v>
      </c>
      <c r="F21" s="18">
        <f>Table333456789101216[[#This Row],[Company Panel]]+Table333456789101215[[#This Row],[MTD Company]]</f>
        <v>0</v>
      </c>
      <c r="G21" s="18">
        <f>Table333456789101216[[#This Row],[Our panel]]+Table333456789101215[[#This Row],[MTD Panel]]</f>
        <v>0</v>
      </c>
      <c r="H21" s="13">
        <f>Table333456789101216[[#This Row],[Company Panel]]-Table333456789101216[[#This Row],[Our panel]]</f>
        <v>0</v>
      </c>
      <c r="I21" s="13">
        <f>Table333456789101216[[#This Row],[MTD Company]]-Table333456789101216[[#This Row],[MTD Panel]]</f>
        <v>0</v>
      </c>
    </row>
    <row r="22" spans="1:9">
      <c r="A22" s="11" t="str">
        <f>Table333456789101217[[#This Row],[Carrier]]</f>
        <v>Arcane</v>
      </c>
      <c r="B22" s="5" t="str">
        <f>Table333456789101217[[#This Row],[IP]]</f>
        <v>212.100.25.78/212.100.25.87</v>
      </c>
      <c r="C22" s="6" t="str">
        <f>Table333456789101217[[#This Row],[Carrier Code]]</f>
        <v>AR</v>
      </c>
      <c r="D22" s="53">
        <v>3269.85</v>
      </c>
      <c r="E22" s="53">
        <v>3269.85</v>
      </c>
      <c r="F22" s="18">
        <f>Table333456789101216[[#This Row],[Company Panel]]+Table333456789101215[[#This Row],[MTD Company]]</f>
        <v>3336.0333333333333</v>
      </c>
      <c r="G22" s="18">
        <f>Table333456789101216[[#This Row],[Our panel]]+Table333456789101215[[#This Row],[MTD Panel]]</f>
        <v>3336.0333333333333</v>
      </c>
      <c r="H22" s="13">
        <f>Table333456789101216[[#This Row],[Company Panel]]-Table333456789101216[[#This Row],[Our panel]]</f>
        <v>0</v>
      </c>
      <c r="I22" s="13">
        <f>Table333456789101216[[#This Row],[MTD Company]]-Table333456789101216[[#This Row],[MTD Panel]]</f>
        <v>0</v>
      </c>
    </row>
    <row r="23" spans="1:9">
      <c r="A23" s="11" t="str">
        <f>Table333456789101217[[#This Row],[Carrier]]</f>
        <v>Glitch</v>
      </c>
      <c r="B23" s="5" t="str">
        <f>Table333456789101217[[#This Row],[IP]]</f>
        <v>198.204.100.12/198.204.100.34/198.204.100.51</v>
      </c>
      <c r="C23" s="6" t="str">
        <f>Table333456789101217[[#This Row],[Carrier Code]]</f>
        <v>GL</v>
      </c>
      <c r="D23" s="53">
        <v>0</v>
      </c>
      <c r="E23" s="53">
        <v>0</v>
      </c>
      <c r="F23" s="18">
        <f>Table333456789101216[[#This Row],[Company Panel]]+Table333456789101215[[#This Row],[MTD Company]]</f>
        <v>0</v>
      </c>
      <c r="G23" s="18">
        <f>Table333456789101216[[#This Row],[Our panel]]+Table333456789101215[[#This Row],[MTD Panel]]</f>
        <v>0</v>
      </c>
      <c r="H23" s="13">
        <f>Table333456789101216[[#This Row],[Company Panel]]-Table333456789101216[[#This Row],[Our panel]]</f>
        <v>0</v>
      </c>
      <c r="I23" s="13">
        <f>Table333456789101216[[#This Row],[MTD Company]]-Table333456789101216[[#This Row],[MTD Panel]]</f>
        <v>0</v>
      </c>
    </row>
    <row r="24" spans="1:9">
      <c r="A24" s="11" t="str">
        <f>Table333456789101217[[#This Row],[Carrier]]</f>
        <v>Nitro</v>
      </c>
      <c r="B24" s="5" t="str">
        <f>Table333456789101217[[#This Row],[IP]]</f>
        <v>15.150.200.33/119.82.200.100</v>
      </c>
      <c r="C24" s="6" t="str">
        <f>Table333456789101217[[#This Row],[Carrier Code]]</f>
        <v>NI</v>
      </c>
      <c r="D24" s="53">
        <v>0</v>
      </c>
      <c r="E24" s="53">
        <v>0</v>
      </c>
      <c r="F24" s="18">
        <f>Table333456789101216[[#This Row],[Company Panel]]+Table333456789101215[[#This Row],[MTD Company]]</f>
        <v>0</v>
      </c>
      <c r="G24" s="18">
        <f>Table333456789101216[[#This Row],[Our panel]]+Table333456789101215[[#This Row],[MTD Panel]]</f>
        <v>0</v>
      </c>
      <c r="H24" s="13">
        <f>Table333456789101216[[#This Row],[Company Panel]]-Table333456789101216[[#This Row],[Our panel]]</f>
        <v>0</v>
      </c>
      <c r="I24" s="13">
        <f>Table333456789101216[[#This Row],[MTD Company]]-Table333456789101216[[#This Row],[MTD Panel]]</f>
        <v>0</v>
      </c>
    </row>
    <row r="25" spans="1:9">
      <c r="A25" s="11" t="str">
        <f>Table333456789101217[[#This Row],[Carrier]]</f>
        <v>Drip</v>
      </c>
      <c r="B25" s="5" t="str">
        <f>Table333456789101217[[#This Row],[IP]]</f>
        <v>84.13.76.190/90.945.80.11/198.160.234.5</v>
      </c>
      <c r="C25" s="6" t="str">
        <f>Table333456789101217[[#This Row],[Carrier Code]]</f>
        <v>DR</v>
      </c>
      <c r="D25" s="53">
        <v>0</v>
      </c>
      <c r="E25" s="53">
        <v>0</v>
      </c>
      <c r="F25" s="18">
        <f>Table333456789101216[[#This Row],[Company Panel]]+Table333456789101215[[#This Row],[MTD Company]]</f>
        <v>0</v>
      </c>
      <c r="G25" s="18">
        <f>Table333456789101216[[#This Row],[Our panel]]+Table333456789101215[[#This Row],[MTD Panel]]</f>
        <v>0</v>
      </c>
      <c r="H25" s="13">
        <f>Table333456789101216[[#This Row],[Company Panel]]-Table333456789101216[[#This Row],[Our panel]]</f>
        <v>0</v>
      </c>
      <c r="I25" s="13">
        <f>Table333456789101216[[#This Row],[MTD Company]]-Table333456789101216[[#This Row],[MTD Panel]]</f>
        <v>0</v>
      </c>
    </row>
    <row r="26" spans="1:9">
      <c r="A26" s="11" t="str">
        <f>Table333456789101217[[#This Row],[Carrier]]</f>
        <v>Glide</v>
      </c>
      <c r="B26" s="5" t="str">
        <f>Table333456789101217[[#This Row],[IP]]</f>
        <v>120.45.12.25/85.739.221.80/85.739.221.93</v>
      </c>
      <c r="C26" s="6" t="str">
        <f>Table333456789101217[[#This Row],[Carrier Code]]</f>
        <v>GI</v>
      </c>
      <c r="D26" s="53">
        <v>0</v>
      </c>
      <c r="E26" s="53">
        <v>0</v>
      </c>
      <c r="F26" s="18">
        <f>Table333456789101216[[#This Row],[Company Panel]]+Table333456789101215[[#This Row],[MTD Company]]</f>
        <v>0</v>
      </c>
      <c r="G26" s="18">
        <f>Table333456789101216[[#This Row],[Our panel]]+Table333456789101215[[#This Row],[MTD Panel]]</f>
        <v>0</v>
      </c>
      <c r="H26" s="13">
        <f>Table333456789101216[[#This Row],[Company Panel]]-Table333456789101216[[#This Row],[Our panel]]</f>
        <v>0</v>
      </c>
      <c r="I26" s="13">
        <f>Table333456789101216[[#This Row],[MTD Company]]-Table333456789101216[[#This Row],[MTD Panel]]</f>
        <v>0</v>
      </c>
    </row>
    <row r="27" spans="1:9">
      <c r="A27" s="11" t="str">
        <f>Table333456789101217[[#This Row],[Carrier]]</f>
        <v>Orbit</v>
      </c>
      <c r="B27" s="5" t="str">
        <f>Table333456789101217[[#This Row],[IP]]</f>
        <v>176.98.54.112/60.110.154.91/60.110.155.162</v>
      </c>
      <c r="C27" s="6" t="str">
        <f>Table333456789101217[[#This Row],[Carrier Code]]</f>
        <v>OR</v>
      </c>
      <c r="D27" s="53">
        <v>0</v>
      </c>
      <c r="E27" s="53">
        <v>0</v>
      </c>
      <c r="F27" s="18">
        <f>Table333456789101216[[#This Row],[Company Panel]]+Table333456789101215[[#This Row],[MTD Company]]</f>
        <v>0</v>
      </c>
      <c r="G27" s="18">
        <f>Table333456789101216[[#This Row],[Our panel]]+Table333456789101215[[#This Row],[MTD Panel]]</f>
        <v>0</v>
      </c>
      <c r="H27" s="13">
        <f>Table333456789101216[[#This Row],[Company Panel]]-Table333456789101216[[#This Row],[Our panel]]</f>
        <v>0</v>
      </c>
      <c r="I27" s="13">
        <f>Table333456789101216[[#This Row],[MTD Company]]-Table333456789101216[[#This Row],[MTD Panel]]</f>
        <v>0</v>
      </c>
    </row>
    <row r="28" spans="1:9">
      <c r="A28" s="11" t="str">
        <f>Table333456789101217[[#This Row],[Carrier]]</f>
        <v>Thunder</v>
      </c>
      <c r="B28" s="5" t="str">
        <f>Table333456789101217[[#This Row],[IP]]</f>
        <v>67.102.200.9/81.905.48.847/143.235.100.34</v>
      </c>
      <c r="C28" s="6" t="str">
        <f>Table333456789101217[[#This Row],[Carrier Code]]</f>
        <v>TU</v>
      </c>
      <c r="D28" s="53">
        <v>138.35</v>
      </c>
      <c r="E28" s="53">
        <v>138.35</v>
      </c>
      <c r="F28" s="18">
        <f>Table333456789101216[[#This Row],[Company Panel]]+Table333456789101215[[#This Row],[MTD Company]]</f>
        <v>652.11666666666667</v>
      </c>
      <c r="G28" s="18">
        <f>Table333456789101216[[#This Row],[Our panel]]+Table333456789101215[[#This Row],[MTD Panel]]</f>
        <v>652.11666666666667</v>
      </c>
      <c r="H28" s="13">
        <f>Table333456789101216[[#This Row],[Company Panel]]-Table333456789101216[[#This Row],[Our panel]]</f>
        <v>0</v>
      </c>
      <c r="I28" s="13">
        <f>Table333456789101216[[#This Row],[MTD Company]]-Table333456789101216[[#This Row],[MTD Panel]]</f>
        <v>0</v>
      </c>
    </row>
    <row r="29" spans="1:9">
      <c r="A29" s="11" t="str">
        <f>Table333456789101217[[#This Row],[Carrier]]</f>
        <v>Glimmer</v>
      </c>
      <c r="B29" s="5" t="str">
        <f>Table333456789101217[[#This Row],[IP]]</f>
        <v>99.22.211.100/71.54.85.344/71.54.85.218</v>
      </c>
      <c r="C29" s="6" t="str">
        <f>Table333456789101217[[#This Row],[Carrier Code]]</f>
        <v>GM</v>
      </c>
      <c r="D29" s="53">
        <v>0</v>
      </c>
      <c r="E29" s="53">
        <v>0</v>
      </c>
      <c r="F29" s="18">
        <f>Table333456789101216[[#This Row],[Company Panel]]+Table333456789101215[[#This Row],[MTD Company]]</f>
        <v>0</v>
      </c>
      <c r="G29" s="18">
        <f>Table333456789101216[[#This Row],[Our panel]]+Table333456789101215[[#This Row],[MTD Panel]]</f>
        <v>0</v>
      </c>
      <c r="H29" s="13">
        <f>Table333456789101216[[#This Row],[Company Panel]]-Table333456789101216[[#This Row],[Our panel]]</f>
        <v>0</v>
      </c>
      <c r="I29" s="13">
        <f>Table333456789101216[[#This Row],[MTD Company]]-Table333456789101216[[#This Row],[MTD Panel]]</f>
        <v>0</v>
      </c>
    </row>
    <row r="30" spans="1:9">
      <c r="A30" s="11" t="str">
        <f>Table333456789101217[[#This Row],[Carrier]]</f>
        <v>Fragment</v>
      </c>
      <c r="B30" s="5" t="str">
        <f>Table333456789101217[[#This Row],[IP]]</f>
        <v>203.0.113.56/195.56.101.10</v>
      </c>
      <c r="C30" s="6" t="str">
        <f>Table333456789101217[[#This Row],[Carrier Code]]</f>
        <v>FR</v>
      </c>
      <c r="D30" s="53">
        <v>0</v>
      </c>
      <c r="E30" s="53">
        <v>0</v>
      </c>
      <c r="F30" s="18">
        <f>Table333456789101216[[#This Row],[Company Panel]]+Table333456789101215[[#This Row],[MTD Company]]</f>
        <v>0</v>
      </c>
      <c r="G30" s="18">
        <f>Table333456789101216[[#This Row],[Our panel]]+Table333456789101215[[#This Row],[MTD Panel]]</f>
        <v>0</v>
      </c>
      <c r="H30" s="13">
        <f>Table333456789101216[[#This Row],[Company Panel]]-Table333456789101216[[#This Row],[Our panel]]</f>
        <v>0</v>
      </c>
      <c r="I30" s="13">
        <f>Table333456789101216[[#This Row],[MTD Company]]-Table333456789101216[[#This Row],[MTD Panel]]</f>
        <v>0</v>
      </c>
    </row>
    <row r="31" spans="1:9">
      <c r="A31" s="11" t="str">
        <f>Table333456789101217[[#This Row],[Carrier]]</f>
        <v>Dusk</v>
      </c>
      <c r="B31" s="5" t="str">
        <f>Table333456789101217[[#This Row],[IP]]</f>
        <v>33.44.55.66/33.44.55.84/33.44.55.122/214.68.90.122</v>
      </c>
      <c r="C31" s="6" t="str">
        <f>Table333456789101217[[#This Row],[Carrier Code]]</f>
        <v>DK</v>
      </c>
      <c r="D31" s="53">
        <v>0</v>
      </c>
      <c r="E31" s="53">
        <v>0</v>
      </c>
      <c r="F31" s="18">
        <f>Table333456789101216[[#This Row],[Company Panel]]+Table333456789101215[[#This Row],[MTD Company]]</f>
        <v>0</v>
      </c>
      <c r="G31" s="18">
        <f>Table333456789101216[[#This Row],[Our panel]]+Table333456789101215[[#This Row],[MTD Panel]]</f>
        <v>0</v>
      </c>
      <c r="H31" s="13">
        <f>Table333456789101216[[#This Row],[Company Panel]]-Table333456789101216[[#This Row],[Our panel]]</f>
        <v>0</v>
      </c>
      <c r="I31" s="13">
        <f>Table333456789101216[[#This Row],[MTD Company]]-Table333456789101216[[#This Row],[MTD Panel]]</f>
        <v>0</v>
      </c>
    </row>
    <row r="32" spans="1:9">
      <c r="A32" s="11" t="str">
        <f>Table333456789101217[[#This Row],[Carrier]]</f>
        <v>Breeze</v>
      </c>
      <c r="B32" s="5" t="str">
        <f>Table333456789101217[[#This Row],[IP]]</f>
        <v>199.123.87.45/199.123.34.52/77.189.22.56</v>
      </c>
      <c r="C32" s="6" t="str">
        <f>Table333456789101217[[#This Row],[Carrier Code]]</f>
        <v>BR</v>
      </c>
      <c r="D32" s="53">
        <v>0</v>
      </c>
      <c r="E32" s="53">
        <v>0</v>
      </c>
      <c r="F32" s="18">
        <f>Table333456789101216[[#This Row],[Company Panel]]+Table333456789101215[[#This Row],[MTD Company]]</f>
        <v>0</v>
      </c>
      <c r="G32" s="18">
        <f>Table333456789101216[[#This Row],[Our panel]]+Table333456789101215[[#This Row],[MTD Panel]]</f>
        <v>0</v>
      </c>
      <c r="H32" s="59">
        <f>Table333456789101216[[#This Row],[Company Panel]]-Table333456789101216[[#This Row],[Our panel]]</f>
        <v>0</v>
      </c>
      <c r="I32" s="59">
        <f>Table333456789101216[[#This Row],[MTD Company]]-Table333456789101216[[#This Row],[MTD Panel]]</f>
        <v>0</v>
      </c>
    </row>
    <row r="33" spans="1:9">
      <c r="A33" s="11" t="str">
        <f>Table333456789101217[[#This Row],[Carrier]]</f>
        <v>Clutch</v>
      </c>
      <c r="B33" s="5" t="str">
        <f>Table333456789101217[[#This Row],[IP]]</f>
        <v>55.66.77.88/84.126.79.28/152.233.45.11</v>
      </c>
      <c r="C33" s="6" t="str">
        <f>Table333456789101217[[#This Row],[Carrier Code]]</f>
        <v>CL</v>
      </c>
      <c r="D33" s="53">
        <v>0</v>
      </c>
      <c r="E33" s="53">
        <v>0</v>
      </c>
      <c r="F33" s="18">
        <f>Table333456789101216[[#This Row],[Company Panel]]+Table333456789101215[[#This Row],[MTD Company]]</f>
        <v>0</v>
      </c>
      <c r="G33" s="18">
        <f>Table333456789101216[[#This Row],[Our panel]]+Table333456789101215[[#This Row],[MTD Panel]]</f>
        <v>0</v>
      </c>
      <c r="H33" s="59">
        <f>Table333456789101216[[#This Row],[Company Panel]]-Table333456789101216[[#This Row],[Our panel]]</f>
        <v>0</v>
      </c>
      <c r="I33" s="59">
        <f>Table333456789101216[[#This Row],[MTD Company]]-Table333456789101216[[#This Row],[MTD Panel]]</f>
        <v>0</v>
      </c>
    </row>
    <row r="34" spans="1:9">
      <c r="A34" s="11" t="str">
        <f>Table333456789101217[[#This Row],[Carrier]]</f>
        <v>Haze</v>
      </c>
      <c r="B34" s="5" t="str">
        <f>Table333456789101217[[#This Row],[IP]]</f>
        <v>230.111.44.56</v>
      </c>
      <c r="C34" s="6" t="str">
        <f>Table333456789101217[[#This Row],[Carrier Code]]</f>
        <v>HZ</v>
      </c>
      <c r="D34" s="53">
        <v>35645.800000000003</v>
      </c>
      <c r="E34" s="53">
        <v>35645.800000000003</v>
      </c>
      <c r="F34" s="18">
        <f>Table333456789101216[[#This Row],[Company Panel]]+Table333456789101215[[#This Row],[MTD Company]]</f>
        <v>38074.400000000001</v>
      </c>
      <c r="G34" s="18">
        <f>Table333456789101216[[#This Row],[Our panel]]+Table333456789101215[[#This Row],[MTD Panel]]</f>
        <v>38074.400000000001</v>
      </c>
      <c r="H34" s="13">
        <f>Table333456789101216[[#This Row],[Company Panel]]-Table333456789101216[[#This Row],[Our panel]]</f>
        <v>0</v>
      </c>
      <c r="I34" s="13">
        <f>Table333456789101216[[#This Row],[MTD Company]]-Table333456789101216[[#This Row],[MTD Panel]]</f>
        <v>0</v>
      </c>
    </row>
    <row r="35" spans="1:9">
      <c r="A35" s="11" t="str">
        <f>Table333456789101217[[#This Row],[Carrier]]</f>
        <v>Vault</v>
      </c>
      <c r="B35" s="5" t="str">
        <f>Table333456789101217[[#This Row],[IP]]</f>
        <v>213.189.94.5/213.189.94.7/111.180.64.222</v>
      </c>
      <c r="C35" s="6" t="str">
        <f>Table333456789101217[[#This Row],[Carrier Code]]</f>
        <v>VA</v>
      </c>
      <c r="D35" s="53">
        <v>0</v>
      </c>
      <c r="E35" s="53">
        <v>0</v>
      </c>
      <c r="F35" s="18">
        <f>Table333456789101216[[#This Row],[Company Panel]]+Table333456789101215[[#This Row],[MTD Company]]</f>
        <v>0</v>
      </c>
      <c r="G35" s="18">
        <f>Table333456789101216[[#This Row],[Our panel]]+Table333456789101215[[#This Row],[MTD Panel]]</f>
        <v>0</v>
      </c>
      <c r="H35" s="63">
        <f>Table333456789101216[[#This Row],[Company Panel]]-Table333456789101216[[#This Row],[Our panel]]</f>
        <v>0</v>
      </c>
      <c r="I35" s="63">
        <f>Table333456789101216[[#This Row],[MTD Company]]-Table333456789101216[[#This Row],[MTD Panel]]</f>
        <v>0</v>
      </c>
    </row>
    <row r="36" spans="1:9">
      <c r="A36" s="11" t="str">
        <f>Table333456789101217[[#This Row],[Carrier]]</f>
        <v>Scatter</v>
      </c>
      <c r="B36" s="5" t="str">
        <f>Table333456789101217[[#This Row],[IP]]</f>
        <v>14.123.45.67/168.251.90.15</v>
      </c>
      <c r="C36" s="6" t="str">
        <f>Table333456789101217[[#This Row],[Carrier Code]]</f>
        <v>SC</v>
      </c>
      <c r="D36" s="53">
        <v>607.88333333333333</v>
      </c>
      <c r="E36" s="53">
        <v>607.88333333333333</v>
      </c>
      <c r="F36" s="18">
        <f>Table333456789101216[[#This Row],[Company Panel]]+Table333456789101215[[#This Row],[MTD Company]]</f>
        <v>1712.7666666666664</v>
      </c>
      <c r="G36" s="18">
        <f>Table333456789101216[[#This Row],[Our panel]]+Table333456789101215[[#This Row],[MTD Panel]]</f>
        <v>1712.7666666666664</v>
      </c>
      <c r="H36" s="13">
        <f>Table333456789101216[[#This Row],[Company Panel]]-Table333456789101216[[#This Row],[Our panel]]</f>
        <v>0</v>
      </c>
      <c r="I36" s="13">
        <f>Table333456789101216[[#This Row],[MTD Company]]-Table333456789101216[[#This Row],[MTD Panel]]</f>
        <v>0</v>
      </c>
    </row>
    <row r="37" spans="1:9">
      <c r="A37" s="11" t="str">
        <f>Table333456789101217[[#This Row],[Carrier]]</f>
        <v>Hammer</v>
      </c>
      <c r="B37" s="5" t="str">
        <f>Table333456789101217[[#This Row],[IP]]</f>
        <v>200.111.78.9/200.111.236.62/200.111.823.89/137.79.48.56</v>
      </c>
      <c r="C37" s="6" t="str">
        <f>Table333456789101217[[#This Row],[Carrier Code]]</f>
        <v>HA</v>
      </c>
      <c r="D37" s="53">
        <v>0</v>
      </c>
      <c r="E37" s="53">
        <v>0</v>
      </c>
      <c r="F37" s="18">
        <f>Table333456789101216[[#This Row],[Company Panel]]+Table333456789101215[[#This Row],[MTD Company]]</f>
        <v>0</v>
      </c>
      <c r="G37" s="18">
        <f>Table333456789101216[[#This Row],[Our panel]]+Table333456789101215[[#This Row],[MTD Panel]]</f>
        <v>0</v>
      </c>
      <c r="H37" s="72">
        <f>Table333456789101216[[#This Row],[Company Panel]]-Table333456789101216[[#This Row],[Our panel]]</f>
        <v>0</v>
      </c>
      <c r="I37" s="72">
        <f>Table333456789101216[[#This Row],[MTD Company]]-Table333456789101216[[#This Row],[MTD Panel]]</f>
        <v>0</v>
      </c>
    </row>
    <row r="38" spans="1:9">
      <c r="A38" s="11" t="str">
        <f>Table333456789101217[[#This Row],[Carrier]]</f>
        <v>Smudge</v>
      </c>
      <c r="B38" s="5" t="str">
        <f>Table333456789101217[[#This Row],[IP]]</f>
        <v>88.99.233.56/54.71.99.234</v>
      </c>
      <c r="C38" s="6" t="str">
        <f>Table333456789101217[[#This Row],[Carrier Code]]</f>
        <v>SM</v>
      </c>
      <c r="D38" s="53">
        <v>5020.1499999999996</v>
      </c>
      <c r="E38" s="53">
        <v>5020.1499999999996</v>
      </c>
      <c r="F38" s="18">
        <f>Table333456789101216[[#This Row],[Company Panel]]+Table333456789101215[[#This Row],[MTD Company]]</f>
        <v>5355.7</v>
      </c>
      <c r="G38" s="18">
        <f>Table333456789101216[[#This Row],[Our panel]]+Table333456789101215[[#This Row],[MTD Panel]]</f>
        <v>5355.7</v>
      </c>
      <c r="H38" s="72">
        <f>Table333456789101216[[#This Row],[Company Panel]]-Table333456789101216[[#This Row],[Our panel]]</f>
        <v>0</v>
      </c>
      <c r="I38" s="72">
        <f>Table333456789101216[[#This Row],[MTD Company]]-Table333456789101216[[#This Row],[MTD Panel]]</f>
        <v>0</v>
      </c>
    </row>
    <row r="39" spans="1:9">
      <c r="A39" s="11" t="str">
        <f>Table333456789101217[[#This Row],[Carrier]]</f>
        <v>Quirk</v>
      </c>
      <c r="B39" s="5" t="str">
        <f>Table333456789101217[[#This Row],[IP]]</f>
        <v>62.45.100.31/62.45.100.15/62.45.100.65/211.95.102.6</v>
      </c>
      <c r="C39" s="6" t="str">
        <f>Table333456789101217[[#This Row],[Carrier Code]]</f>
        <v>QU</v>
      </c>
      <c r="D39" s="53">
        <v>8447.0333333333328</v>
      </c>
      <c r="E39" s="53">
        <v>8447.0333333333328</v>
      </c>
      <c r="F39" s="18">
        <f>Table333456789101216[[#This Row],[Company Panel]]+Table333456789101215[[#This Row],[MTD Company]]</f>
        <v>42723.466666666667</v>
      </c>
      <c r="G39" s="18">
        <f>Table333456789101216[[#This Row],[Our panel]]+Table333456789101215[[#This Row],[MTD Panel]]</f>
        <v>42723.466666666667</v>
      </c>
      <c r="H39" s="13">
        <f>Table333456789101216[[#This Row],[Company Panel]]-Table333456789101216[[#This Row],[Our panel]]</f>
        <v>0</v>
      </c>
      <c r="I39" s="13">
        <f>Table333456789101216[[#This Row],[MTD Company]]-Table333456789101216[[#This Row],[MTD Panel]]</f>
        <v>0</v>
      </c>
    </row>
    <row r="40" spans="1:9">
      <c r="A40" s="11" t="str">
        <f>Table333456789101217[[#This Row],[Carrier]]</f>
        <v>Vortex</v>
      </c>
      <c r="B40" s="5" t="str">
        <f>Table333456789101217[[#This Row],[IP]]</f>
        <v>179.250.91.8/29.540.67.457/94.25.34.78/183.144.27.18</v>
      </c>
      <c r="C40" s="6" t="str">
        <f>Table333456789101217[[#This Row],[Carrier Code]]</f>
        <v>VT</v>
      </c>
      <c r="D40" s="53">
        <v>0.95</v>
      </c>
      <c r="E40" s="53">
        <v>0.95</v>
      </c>
      <c r="F40" s="18">
        <f>Table333456789101216[[#This Row],[Company Panel]]+Table333456789101215[[#This Row],[MTD Company]]</f>
        <v>0.95</v>
      </c>
      <c r="G40" s="18">
        <f>Table333456789101216[[#This Row],[Our panel]]+Table333456789101215[[#This Row],[MTD Panel]]</f>
        <v>0.95</v>
      </c>
      <c r="H40" s="72">
        <f>Table333456789101216[[#This Row],[Company Panel]]-Table333456789101216[[#This Row],[Our panel]]</f>
        <v>0</v>
      </c>
      <c r="I40" s="72">
        <f>Table333456789101216[[#This Row],[MTD Company]]-Table333456789101216[[#This Row],[MTD Panel]]</f>
        <v>0</v>
      </c>
    </row>
    <row r="41" spans="1:9">
      <c r="A41" s="11" t="str">
        <f>Table333456789101217[[#This Row],[Carrier]]</f>
        <v>Void</v>
      </c>
      <c r="B41" s="5" t="str">
        <f>Table333456789101217[[#This Row],[IP]]</f>
        <v>156.34.123.11/156.34.123.25/156.34.123.62/92.44.233.110</v>
      </c>
      <c r="C41" s="6" t="str">
        <f>Table333456789101217[[#This Row],[Carrier Code]]</f>
        <v>VO</v>
      </c>
      <c r="D41" s="53">
        <v>143.25</v>
      </c>
      <c r="E41" s="53">
        <v>143.25</v>
      </c>
      <c r="F41" s="18">
        <f>Table333456789101216[[#This Row],[Company Panel]]+Table333456789101215[[#This Row],[MTD Company]]</f>
        <v>977.33333333333337</v>
      </c>
      <c r="G41" s="18">
        <f>Table333456789101216[[#This Row],[Our panel]]+Table333456789101215[[#This Row],[MTD Panel]]</f>
        <v>977.33333333333337</v>
      </c>
      <c r="H41" s="13">
        <f>Table333456789101216[[#This Row],[Company Panel]]-Table333456789101216[[#This Row],[Our panel]]</f>
        <v>0</v>
      </c>
      <c r="I41" s="13">
        <f>Table333456789101216[[#This Row],[MTD Company]]-Table333456789101216[[#This Row],[MTD Panel]]</f>
        <v>0</v>
      </c>
    </row>
    <row r="42" spans="1:9">
      <c r="A42" s="11" t="str">
        <f>Table333456789101217[[#This Row],[Carrier]]</f>
        <v>Midnight</v>
      </c>
      <c r="B42" s="5" t="str">
        <f>Table333456789101217[[#This Row],[IP]]</f>
        <v>134.77.22.4/23.97.150.8</v>
      </c>
      <c r="C42" s="6" t="str">
        <f>Table333456789101217[[#This Row],[Carrier Code]]</f>
        <v>MI</v>
      </c>
      <c r="D42" s="53">
        <v>1395.0166666666667</v>
      </c>
      <c r="E42" s="53">
        <v>1395.0166666666667</v>
      </c>
      <c r="F42" s="18">
        <f>Table333456789101216[[#This Row],[Company Panel]]+Table333456789101215[[#This Row],[MTD Company]]</f>
        <v>8048.0166666666664</v>
      </c>
      <c r="G42" s="18">
        <f>Table333456789101216[[#This Row],[Our panel]]+Table333456789101215[[#This Row],[MTD Panel]]</f>
        <v>8048.0166666666664</v>
      </c>
      <c r="H42" s="72">
        <f>Table333456789101216[[#This Row],[Company Panel]]-Table333456789101216[[#This Row],[Our panel]]</f>
        <v>0</v>
      </c>
      <c r="I42" s="72">
        <f>Table333456789101216[[#This Row],[MTD Company]]-Table333456789101216[[#This Row],[MTD Panel]]</f>
        <v>0</v>
      </c>
    </row>
    <row r="43" spans="1:9">
      <c r="A43" s="11" t="str">
        <f>Table333456789101217[[#This Row],[Carrier]]</f>
        <v>Autumn</v>
      </c>
      <c r="B43" s="5" t="str">
        <f>Table333456789101217[[#This Row],[IP]]</f>
        <v>202.54.210.88/12.331.94.73/64.19.28.175</v>
      </c>
      <c r="C43" s="6" t="str">
        <f>Table333456789101217[[#This Row],[Carrier Code]]</f>
        <v>AU</v>
      </c>
      <c r="D43" s="53">
        <v>13.766666666666667</v>
      </c>
      <c r="E43" s="53">
        <v>13.766666666666667</v>
      </c>
      <c r="F43" s="18">
        <f>Table333456789101216[[#This Row],[Company Panel]]+Table333456789101215[[#This Row],[MTD Company]]</f>
        <v>272.08333333333331</v>
      </c>
      <c r="G43" s="18">
        <f>Table333456789101216[[#This Row],[Our panel]]+Table333456789101215[[#This Row],[MTD Panel]]</f>
        <v>272.08333333333331</v>
      </c>
      <c r="H43" s="72">
        <f>Table333456789101216[[#This Row],[Company Panel]]-Table333456789101216[[#This Row],[Our panel]]</f>
        <v>0</v>
      </c>
      <c r="I43" s="72">
        <f>Table333456789101216[[#This Row],[MTD Company]]-Table333456789101216[[#This Row],[MTD Panel]]</f>
        <v>0</v>
      </c>
    </row>
    <row r="44" spans="1:9">
      <c r="A44" s="11" t="str">
        <f>Table333456789101217[[#This Row],[Carrier]]</f>
        <v>Mystic</v>
      </c>
      <c r="B44" s="5" t="str">
        <f>Table333456789101217[[#This Row],[IP]]</f>
        <v>51.233.21.76/82.115.35.60/82.115.35.85</v>
      </c>
      <c r="C44" s="6" t="str">
        <f>Table333456789101217[[#This Row],[Carrier Code]]</f>
        <v>MY</v>
      </c>
      <c r="D44" s="53">
        <v>0</v>
      </c>
      <c r="E44" s="53">
        <v>0</v>
      </c>
      <c r="F44" s="18">
        <f>Table333456789101216[[#This Row],[Company Panel]]+Table333456789101215[[#This Row],[MTD Company]]</f>
        <v>0</v>
      </c>
      <c r="G44" s="18">
        <f>Table333456789101216[[#This Row],[Our panel]]+Table333456789101215[[#This Row],[MTD Panel]]</f>
        <v>0</v>
      </c>
      <c r="H44" s="78">
        <f>Table333456789101216[[#This Row],[Company Panel]]-Table333456789101216[[#This Row],[Our panel]]</f>
        <v>0</v>
      </c>
      <c r="I44" s="78">
        <f>Table333456789101216[[#This Row],[MTD Company]]-Table333456789101216[[#This Row],[MTD Panel]]</f>
        <v>0</v>
      </c>
    </row>
    <row r="45" spans="1:9">
      <c r="A45" s="11" t="str">
        <f>Table333456789101217[[#This Row],[Carrier]]</f>
        <v>Clover</v>
      </c>
      <c r="B45" s="5" t="str">
        <f>Table333456789101217[[#This Row],[IP]]</f>
        <v>210.150.12.45/84.50.212.66/135.113.88.9</v>
      </c>
      <c r="C45" s="6" t="str">
        <f>Table333456789101217[[#This Row],[Carrier Code]]</f>
        <v>CO</v>
      </c>
      <c r="D45" s="53">
        <v>808.01666666666665</v>
      </c>
      <c r="E45" s="53">
        <v>808.01666666666665</v>
      </c>
      <c r="F45" s="18">
        <f>Table333456789101216[[#This Row],[Company Panel]]+Table333456789101215[[#This Row],[MTD Company]]</f>
        <v>35384.750000000007</v>
      </c>
      <c r="G45" s="18">
        <f>Table333456789101216[[#This Row],[Our panel]]+Table333456789101215[[#This Row],[MTD Panel]]</f>
        <v>35384.750000000007</v>
      </c>
      <c r="H45" s="72">
        <f>Table333456789101216[[#This Row],[Company Panel]]-Table333456789101216[[#This Row],[Our panel]]</f>
        <v>0</v>
      </c>
      <c r="I45" s="72">
        <f>Table333456789101216[[#This Row],[MTD Company]]-Table333456789101216[[#This Row],[MTD Panel]]</f>
        <v>0</v>
      </c>
    </row>
    <row r="46" spans="1:9">
      <c r="A46" s="11" t="str">
        <f>Table333456789101217[[#This Row],[Carrier]]</f>
        <v>Hunter</v>
      </c>
      <c r="B46" s="5" t="str">
        <f>Table333456789101217[[#This Row],[IP]]</f>
        <v>170.199.20.87/13.693.39.280/78.30.123.47</v>
      </c>
      <c r="C46" s="6" t="str">
        <f>Table333456789101217[[#This Row],[Carrier Code]]</f>
        <v>HU</v>
      </c>
      <c r="D46" s="53">
        <v>15488.566666666668</v>
      </c>
      <c r="E46" s="53">
        <v>15488.566666666668</v>
      </c>
      <c r="F46" s="18">
        <f>Table333456789101216[[#This Row],[Company Panel]]+Table333456789101215[[#This Row],[MTD Company]]</f>
        <v>31553.116666666669</v>
      </c>
      <c r="G46" s="18">
        <f>Table333456789101216[[#This Row],[Our panel]]+Table333456789101215[[#This Row],[MTD Panel]]</f>
        <v>31553.116666666669</v>
      </c>
      <c r="H46" s="13">
        <f>Table333456789101216[[#This Row],[Company Panel]]-Table333456789101216[[#This Row],[Our panel]]</f>
        <v>0</v>
      </c>
      <c r="I46" s="13">
        <f>Table333456789101216[[#This Row],[MTD Company]]-Table333456789101216[[#This Row],[MTD Panel]]</f>
        <v>0</v>
      </c>
    </row>
    <row r="47" spans="1:9">
      <c r="A47" s="11" t="str">
        <f>Table333456789101217[[#This Row],[Carrier]]</f>
        <v>Invaded</v>
      </c>
      <c r="B47" s="5" t="str">
        <f>Table333456789101217[[#This Row],[IP]]</f>
        <v>182.67.99.120/80.518.230.410/26.847.95.107/188.12.67.92</v>
      </c>
      <c r="C47" s="6" t="str">
        <f>Table333456789101217[[#This Row],[Carrier Code]]</f>
        <v>ID</v>
      </c>
      <c r="D47" s="7">
        <v>0</v>
      </c>
      <c r="E47" s="7">
        <v>0</v>
      </c>
      <c r="F47" s="18">
        <f>Table333456789101216[[#This Row],[Company Panel]]+Table333456789101215[[#This Row],[MTD Company]]</f>
        <v>0</v>
      </c>
      <c r="G47" s="18">
        <f>Table333456789101216[[#This Row],[Our panel]]+Table333456789101215[[#This Row],[MTD Panel]]</f>
        <v>0</v>
      </c>
      <c r="H47" s="90">
        <f>Table333456789101216[[#This Row],[Company Panel]]-Table333456789101216[[#This Row],[Our panel]]</f>
        <v>0</v>
      </c>
      <c r="I47" s="90">
        <f>Table333456789101216[[#This Row],[MTD Company]]-Table333456789101216[[#This Row],[MTD Panel]]</f>
        <v>0</v>
      </c>
    </row>
    <row r="48" spans="1:9">
      <c r="A48" s="11" t="str">
        <f>Table333456789101217[[#This Row],[Carrier]]</f>
        <v>Delusion</v>
      </c>
      <c r="B48" s="5" t="str">
        <f>Table333456789101217[[#This Row],[IP]]</f>
        <v>198.51.100.72/69.887.74.738/39.153.110.645</v>
      </c>
      <c r="C48" s="6" t="str">
        <f>Table333456789101217[[#This Row],[Carrier Code]]</f>
        <v>DU</v>
      </c>
      <c r="D48" s="7">
        <v>0</v>
      </c>
      <c r="E48" s="7">
        <v>0</v>
      </c>
      <c r="F48" s="18">
        <f>Table333456789101216[[#This Row],[Company Panel]]+Table333456789101215[[#This Row],[MTD Company]]</f>
        <v>0</v>
      </c>
      <c r="G48" s="18">
        <f>Table333456789101216[[#This Row],[Our panel]]+Table333456789101215[[#This Row],[MTD Panel]]</f>
        <v>0</v>
      </c>
      <c r="H48" s="90">
        <f>Table333456789101216[[#This Row],[Company Panel]]-Table333456789101216[[#This Row],[Our panel]]</f>
        <v>0</v>
      </c>
      <c r="I48" s="90">
        <f>Table333456789101216[[#This Row],[MTD Company]]-Table333456789101216[[#This Row],[MTD Panel]]</f>
        <v>0</v>
      </c>
    </row>
    <row r="49" spans="1:9" ht="15.5">
      <c r="A49" s="14" t="s">
        <v>10</v>
      </c>
      <c r="B49" s="14"/>
      <c r="C49" s="15"/>
      <c r="D49" s="16">
        <f t="shared" ref="D49:I49" si="0">SUM(D3:D48)</f>
        <v>79781.583333333343</v>
      </c>
      <c r="E49" s="16">
        <f t="shared" si="0"/>
        <v>79781.583333333343</v>
      </c>
      <c r="F49" s="16">
        <f t="shared" si="0"/>
        <v>260025.2333333334</v>
      </c>
      <c r="G49" s="16">
        <f t="shared" si="0"/>
        <v>260025.2333333334</v>
      </c>
      <c r="H49" s="16">
        <f t="shared" si="0"/>
        <v>0</v>
      </c>
      <c r="I49" s="16">
        <f t="shared" si="0"/>
        <v>0</v>
      </c>
    </row>
    <row r="53" spans="1:9">
      <c r="G53" s="52"/>
      <c r="H53" s="9"/>
    </row>
    <row r="55" spans="1:9">
      <c r="E55" s="9"/>
    </row>
  </sheetData>
  <conditionalFormatting sqref="H2:I49">
    <cfRule type="cellIs" dxfId="608" priority="13" operator="lessThan">
      <formula>0</formula>
    </cfRule>
  </conditionalFormatting>
  <conditionalFormatting sqref="I30:I48">
    <cfRule type="cellIs" dxfId="607" priority="12" operator="lessThan">
      <formula>0</formula>
    </cfRule>
  </conditionalFormatting>
  <conditionalFormatting sqref="H3:I49">
    <cfRule type="cellIs" dxfId="606" priority="11" operator="lessThan">
      <formula>0</formula>
    </cfRule>
  </conditionalFormatting>
  <conditionalFormatting sqref="I30:I48">
    <cfRule type="cellIs" dxfId="605" priority="10" operator="lessThan">
      <formula>0</formula>
    </cfRule>
  </conditionalFormatting>
  <conditionalFormatting sqref="I49">
    <cfRule type="cellIs" dxfId="604" priority="6" operator="lessThan">
      <formula>0</formula>
    </cfRule>
  </conditionalFormatting>
  <conditionalFormatting sqref="I3:I49">
    <cfRule type="cellIs" dxfId="603" priority="1" operator="lessThan">
      <formula>0</formula>
    </cfRule>
    <cfRule type="cellIs" dxfId="602" priority="2" operator="lessThan">
      <formula>0</formula>
    </cfRule>
  </conditionalFormatting>
  <hyperlinks>
    <hyperlink ref="E1" location="H!A1" display="Home"/>
    <hyperlink ref="D1" location="'W3'!D1" display="←"/>
    <hyperlink ref="F1" location="'W5(23May-29May'!F1" display="→"/>
  </hyperlink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"/>
  <sheetViews>
    <sheetView workbookViewId="0">
      <selection activeCell="D3" sqref="D3"/>
    </sheetView>
  </sheetViews>
  <sheetFormatPr defaultRowHeight="14.5"/>
  <cols>
    <col min="1" max="1" width="36.1796875" customWidth="1"/>
    <col min="2" max="2" width="37" bestFit="1" customWidth="1"/>
    <col min="3" max="3" width="10.453125" customWidth="1"/>
    <col min="4" max="9" width="12.7265625" customWidth="1"/>
  </cols>
  <sheetData>
    <row r="1" spans="1:9" ht="18.5">
      <c r="A1" s="23" t="str">
        <f>H!G6</f>
        <v>28 April 2025 to 30 April 2025</v>
      </c>
      <c r="B1" s="24"/>
      <c r="C1" s="24"/>
      <c r="D1" s="22" t="s">
        <v>16</v>
      </c>
      <c r="E1" s="22" t="s">
        <v>9</v>
      </c>
      <c r="F1" s="22" t="s">
        <v>17</v>
      </c>
    </row>
    <row r="2" spans="1:9" ht="31">
      <c r="A2" s="1" t="s">
        <v>0</v>
      </c>
      <c r="B2" s="2" t="s">
        <v>1</v>
      </c>
      <c r="C2" s="2" t="s">
        <v>2</v>
      </c>
      <c r="D2" s="2" t="s">
        <v>3</v>
      </c>
      <c r="E2" s="2" t="s">
        <v>11</v>
      </c>
      <c r="F2" s="2" t="s">
        <v>4</v>
      </c>
      <c r="G2" s="4" t="s">
        <v>6</v>
      </c>
      <c r="H2" s="4" t="s">
        <v>7</v>
      </c>
      <c r="I2" s="3" t="s">
        <v>8</v>
      </c>
    </row>
    <row r="3" spans="1:9">
      <c r="A3" s="11" t="str">
        <f>Table333456789101217[[#This Row],[Carrier]]</f>
        <v>Blaze</v>
      </c>
      <c r="B3" s="5" t="str">
        <f>Table333456789101217[[#This Row],[IP]]</f>
        <v>8.12.34.56/48.163.17.845/60.502.86.203/191.45.28.14</v>
      </c>
      <c r="C3" s="6" t="str">
        <f>Table333456789101217[[#This Row],[Carrier Code]]</f>
        <v>BZ</v>
      </c>
      <c r="D3" s="53">
        <v>0</v>
      </c>
      <c r="E3" s="53">
        <v>0</v>
      </c>
      <c r="F3" s="18">
        <f>Table33345678910121613[[#This Row],[Company Panel]]+Table333456789101216[[#This Row],[MTD Company]]</f>
        <v>0</v>
      </c>
      <c r="G3" s="18">
        <f>Table33345678910121613[[#This Row],[Our panel]]+Table333456789101216[[#This Row],[MTD Panel]]</f>
        <v>0</v>
      </c>
      <c r="H3" s="13">
        <f>Table33345678910121613[[#This Row],[Company Panel]]-Table33345678910121613[[#This Row],[Our panel]]</f>
        <v>0</v>
      </c>
      <c r="I3" s="13">
        <f>Table33345678910121613[[#This Row],[MTD Company]]-Table33345678910121613[[#This Row],[MTD Panel]]</f>
        <v>0</v>
      </c>
    </row>
    <row r="4" spans="1:9">
      <c r="A4" s="11" t="str">
        <f>Table333456789101217[[#This Row],[Carrier]]</f>
        <v>Titan</v>
      </c>
      <c r="B4" s="5" t="str">
        <f>Table333456789101217[[#This Row],[IP]]</f>
        <v>123.45.67.89/123.45.67.93/203.24.101.65</v>
      </c>
      <c r="C4" s="6" t="str">
        <f>Table333456789101217[[#This Row],[Carrier Code]]</f>
        <v>TI</v>
      </c>
      <c r="D4" s="53">
        <v>177.41666666666666</v>
      </c>
      <c r="E4" s="53">
        <v>177.41666666666666</v>
      </c>
      <c r="F4" s="18">
        <f>Table33345678910121613[[#This Row],[Company Panel]]+Table333456789101216[[#This Row],[MTD Company]]</f>
        <v>508.9</v>
      </c>
      <c r="G4" s="18">
        <f>Table33345678910121613[[#This Row],[Our panel]]+Table333456789101216[[#This Row],[MTD Panel]]</f>
        <v>508.9</v>
      </c>
      <c r="H4" s="13">
        <f>Table33345678910121613[[#This Row],[Company Panel]]-Table33345678910121613[[#This Row],[Our panel]]</f>
        <v>0</v>
      </c>
      <c r="I4" s="13">
        <f>Table33345678910121613[[#This Row],[MTD Company]]-Table33345678910121613[[#This Row],[MTD Panel]]</f>
        <v>0</v>
      </c>
    </row>
    <row r="5" spans="1:9">
      <c r="A5" s="11" t="str">
        <f>Table333456789101217[[#This Row],[Carrier]]</f>
        <v>Hollow</v>
      </c>
      <c r="B5" s="5" t="str">
        <f>Table333456789101217[[#This Row],[IP]]</f>
        <v>204.56.78.100/204.56.57.169/52.94.101.12</v>
      </c>
      <c r="C5" s="6" t="str">
        <f>Table333456789101217[[#This Row],[Carrier Code]]</f>
        <v>HO</v>
      </c>
      <c r="D5" s="53">
        <v>0</v>
      </c>
      <c r="E5" s="53">
        <v>0</v>
      </c>
      <c r="F5" s="18">
        <f>Table33345678910121613[[#This Row],[Company Panel]]+Table333456789101216[[#This Row],[MTD Company]]</f>
        <v>0</v>
      </c>
      <c r="G5" s="18">
        <f>Table33345678910121613[[#This Row],[Our panel]]+Table333456789101216[[#This Row],[MTD Panel]]</f>
        <v>0</v>
      </c>
      <c r="H5" s="13">
        <f>Table33345678910121613[[#This Row],[Company Panel]]-Table33345678910121613[[#This Row],[Our panel]]</f>
        <v>0</v>
      </c>
      <c r="I5" s="13">
        <f>Table33345678910121613[[#This Row],[MTD Company]]-Table33345678910121613[[#This Row],[MTD Panel]]</f>
        <v>0</v>
      </c>
    </row>
    <row r="6" spans="1:9">
      <c r="A6" s="11" t="str">
        <f>Table333456789101217[[#This Row],[Carrier]]</f>
        <v>Prism</v>
      </c>
      <c r="B6" s="5" t="str">
        <f>Table333456789101217[[#This Row],[IP]]</f>
        <v>35.118.22.45/137.63.112.25</v>
      </c>
      <c r="C6" s="6" t="str">
        <f>Table333456789101217[[#This Row],[Carrier Code]]</f>
        <v>PS</v>
      </c>
      <c r="D6" s="53">
        <v>5693.3833333333332</v>
      </c>
      <c r="E6" s="53">
        <v>5693.3833333333332</v>
      </c>
      <c r="F6" s="18">
        <f>Table33345678910121613[[#This Row],[Company Panel]]+Table333456789101216[[#This Row],[MTD Company]]</f>
        <v>79005.099999999991</v>
      </c>
      <c r="G6" s="18">
        <f>Table33345678910121613[[#This Row],[Our panel]]+Table333456789101216[[#This Row],[MTD Panel]]</f>
        <v>79005.099999999991</v>
      </c>
      <c r="H6" s="13">
        <f>Table33345678910121613[[#This Row],[Company Panel]]-Table33345678910121613[[#This Row],[Our panel]]</f>
        <v>0</v>
      </c>
      <c r="I6" s="13">
        <f>Table33345678910121613[[#This Row],[MTD Company]]-Table33345678910121613[[#This Row],[MTD Panel]]</f>
        <v>0</v>
      </c>
    </row>
    <row r="7" spans="1:9">
      <c r="A7" s="11" t="str">
        <f>Table333456789101217[[#This Row],[Carrier]]</f>
        <v>Echo</v>
      </c>
      <c r="B7" s="5" t="str">
        <f>Table333456789101217[[#This Row],[IP]]</f>
        <v>66.89.101.10/66.89.101.19/66.89.101.23/66.89.101.45/66.89.101.81/85.21.34.99</v>
      </c>
      <c r="C7" s="6" t="str">
        <f>Table333456789101217[[#This Row],[Carrier Code]]</f>
        <v>EC</v>
      </c>
      <c r="D7" s="53">
        <v>46.616666666666667</v>
      </c>
      <c r="E7" s="53">
        <v>46.616666666666667</v>
      </c>
      <c r="F7" s="18">
        <f>Table33345678910121613[[#This Row],[Company Panel]]+Table333456789101216[[#This Row],[MTD Company]]</f>
        <v>162.80000000000001</v>
      </c>
      <c r="G7" s="18">
        <f>Table33345678910121613[[#This Row],[Our panel]]+Table333456789101216[[#This Row],[MTD Panel]]</f>
        <v>162.80000000000001</v>
      </c>
      <c r="H7" s="13">
        <f>Table33345678910121613[[#This Row],[Company Panel]]-Table33345678910121613[[#This Row],[Our panel]]</f>
        <v>0</v>
      </c>
      <c r="I7" s="13">
        <f>Table33345678910121613[[#This Row],[MTD Company]]-Table33345678910121613[[#This Row],[MTD Panel]]</f>
        <v>0</v>
      </c>
    </row>
    <row r="8" spans="1:9">
      <c r="A8" s="11" t="str">
        <f>Table333456789101217[[#This Row],[Carrier]]</f>
        <v>Strike</v>
      </c>
      <c r="B8" s="5" t="str">
        <f>Table333456789101217[[#This Row],[IP]]</f>
        <v>100.200.150.3/100.200.165.38/41.102.90.78</v>
      </c>
      <c r="C8" s="6" t="str">
        <f>Table333456789101217[[#This Row],[Carrier Code]]</f>
        <v>ST</v>
      </c>
      <c r="D8" s="53">
        <v>338.83333333333331</v>
      </c>
      <c r="E8" s="53">
        <v>338.83333333333331</v>
      </c>
      <c r="F8" s="18">
        <f>Table33345678910121613[[#This Row],[Company Panel]]+Table333456789101216[[#This Row],[MTD Company]]</f>
        <v>3360.5833333333335</v>
      </c>
      <c r="G8" s="18">
        <f>Table33345678910121613[[#This Row],[Our panel]]+Table333456789101216[[#This Row],[MTD Panel]]</f>
        <v>3360.5833333333335</v>
      </c>
      <c r="H8" s="13">
        <f>Table33345678910121613[[#This Row],[Company Panel]]-Table33345678910121613[[#This Row],[Our panel]]</f>
        <v>0</v>
      </c>
      <c r="I8" s="13">
        <f>Table33345678910121613[[#This Row],[MTD Company]]-Table33345678910121613[[#This Row],[MTD Panel]]</f>
        <v>0</v>
      </c>
    </row>
    <row r="9" spans="1:9">
      <c r="A9" s="11" t="str">
        <f>Table333456789101217[[#This Row],[Carrier]]</f>
        <v>Blunt</v>
      </c>
      <c r="B9" s="5" t="str">
        <f>Table333456789101217[[#This Row],[IP]]</f>
        <v>52.28.191.25/52.28.191.38/52.28.191.24/61.110.23.45</v>
      </c>
      <c r="C9" s="6" t="str">
        <f>Table333456789101217[[#This Row],[Carrier Code]]</f>
        <v>BL</v>
      </c>
      <c r="D9" s="53">
        <v>525.91666666666663</v>
      </c>
      <c r="E9" s="53">
        <v>525.91666666666663</v>
      </c>
      <c r="F9" s="18">
        <f>Table33345678910121613[[#This Row],[Company Panel]]+Table333456789101216[[#This Row],[MTD Company]]</f>
        <v>11575.916666666666</v>
      </c>
      <c r="G9" s="18">
        <f>Table33345678910121613[[#This Row],[Our panel]]+Table333456789101216[[#This Row],[MTD Panel]]</f>
        <v>11575.916666666666</v>
      </c>
      <c r="H9" s="13">
        <f>Table33345678910121613[[#This Row],[Company Panel]]-Table33345678910121613[[#This Row],[Our panel]]</f>
        <v>0</v>
      </c>
      <c r="I9" s="13">
        <f>Table33345678910121613[[#This Row],[MTD Company]]-Table33345678910121613[[#This Row],[MTD Panel]]</f>
        <v>0</v>
      </c>
    </row>
    <row r="10" spans="1:9">
      <c r="A10" s="11" t="str">
        <f>Table333456789101217[[#This Row],[Carrier]]</f>
        <v>Law</v>
      </c>
      <c r="B10" s="5" t="str">
        <f>Table333456789101217[[#This Row],[IP]]</f>
        <v>77.88.99.21/77.88.99.88/77.88.99.94/110.56.211.7</v>
      </c>
      <c r="C10" s="6" t="str">
        <f>Table333456789101217[[#This Row],[Carrier Code]]</f>
        <v>LA</v>
      </c>
      <c r="D10" s="53">
        <v>0</v>
      </c>
      <c r="E10" s="53">
        <v>0</v>
      </c>
      <c r="F10" s="18">
        <f>Table33345678910121613[[#This Row],[Company Panel]]+Table333456789101216[[#This Row],[MTD Company]]</f>
        <v>0</v>
      </c>
      <c r="G10" s="18">
        <f>Table33345678910121613[[#This Row],[Our panel]]+Table333456789101216[[#This Row],[MTD Panel]]</f>
        <v>0</v>
      </c>
      <c r="H10" s="13">
        <f>Table33345678910121613[[#This Row],[Company Panel]]-Table33345678910121613[[#This Row],[Our panel]]</f>
        <v>0</v>
      </c>
      <c r="I10" s="13">
        <f>Table33345678910121613[[#This Row],[MTD Company]]-Table33345678910121613[[#This Row],[MTD Panel]]</f>
        <v>0</v>
      </c>
    </row>
    <row r="11" spans="1:9">
      <c r="A11" s="11" t="str">
        <f>Table333456789101217[[#This Row],[Carrier]]</f>
        <v>Pulse</v>
      </c>
      <c r="B11" s="5" t="str">
        <f>Table333456789101217[[#This Row],[IP]]</f>
        <v>198.51.100.130/31.725.16.608/66.59.61.503/167.34.122.90</v>
      </c>
      <c r="C11" s="6" t="str">
        <f>Table333456789101217[[#This Row],[Carrier Code]]</f>
        <v>PU</v>
      </c>
      <c r="D11" s="53">
        <v>0</v>
      </c>
      <c r="E11" s="53">
        <v>0</v>
      </c>
      <c r="F11" s="18">
        <f>Table33345678910121613[[#This Row],[Company Panel]]+Table333456789101216[[#This Row],[MTD Company]]</f>
        <v>0</v>
      </c>
      <c r="G11" s="18">
        <f>Table33345678910121613[[#This Row],[Our panel]]+Table333456789101216[[#This Row],[MTD Panel]]</f>
        <v>0</v>
      </c>
      <c r="H11" s="13">
        <f>Table33345678910121613[[#This Row],[Company Panel]]-Table33345678910121613[[#This Row],[Our panel]]</f>
        <v>0</v>
      </c>
      <c r="I11" s="13">
        <f>Table33345678910121613[[#This Row],[MTD Company]]-Table33345678910121613[[#This Row],[MTD Panel]]</f>
        <v>0</v>
      </c>
    </row>
    <row r="12" spans="1:9">
      <c r="A12" s="11" t="str">
        <f>Table333456789101217[[#This Row],[Carrier]]</f>
        <v>Phantom</v>
      </c>
      <c r="B12" s="5" t="str">
        <f>Table333456789101217[[#This Row],[IP]]</f>
        <v>141.15.210.67/141.15.42.82/179.62.211.4</v>
      </c>
      <c r="C12" s="6" t="str">
        <f>Table333456789101217[[#This Row],[Carrier Code]]</f>
        <v>PH</v>
      </c>
      <c r="D12" s="53">
        <v>8.4</v>
      </c>
      <c r="E12" s="53">
        <v>8.4</v>
      </c>
      <c r="F12" s="18">
        <f>Table33345678910121613[[#This Row],[Company Panel]]+Table333456789101216[[#This Row],[MTD Company]]</f>
        <v>3386.1833333333338</v>
      </c>
      <c r="G12" s="18">
        <f>Table33345678910121613[[#This Row],[Our panel]]+Table333456789101216[[#This Row],[MTD Panel]]</f>
        <v>3386.1833333333338</v>
      </c>
      <c r="H12" s="13">
        <f>Table33345678910121613[[#This Row],[Company Panel]]-Table33345678910121613[[#This Row],[Our panel]]</f>
        <v>0</v>
      </c>
      <c r="I12" s="13">
        <f>Table33345678910121613[[#This Row],[MTD Company]]-Table33345678910121613[[#This Row],[MTD Panel]]</f>
        <v>0</v>
      </c>
    </row>
    <row r="13" spans="1:9">
      <c r="A13" s="11" t="str">
        <f>Table333456789101217[[#This Row],[Carrier]]</f>
        <v>Dragon</v>
      </c>
      <c r="B13" s="5" t="str">
        <f>Table333456789101217[[#This Row],[IP]]</f>
        <v>12.34.56.78/12.34.56.128/200.180.245.18</v>
      </c>
      <c r="C13" s="6" t="str">
        <f>Table333456789101217[[#This Row],[Carrier Code]]</f>
        <v>DG</v>
      </c>
      <c r="D13" s="53">
        <v>0</v>
      </c>
      <c r="E13" s="53">
        <v>0</v>
      </c>
      <c r="F13" s="18">
        <f>Table33345678910121613[[#This Row],[Company Panel]]+Table333456789101216[[#This Row],[MTD Company]]</f>
        <v>0</v>
      </c>
      <c r="G13" s="18">
        <f>Table33345678910121613[[#This Row],[Our panel]]+Table333456789101216[[#This Row],[MTD Panel]]</f>
        <v>0</v>
      </c>
      <c r="H13" s="13">
        <f>Table33345678910121613[[#This Row],[Company Panel]]-Table33345678910121613[[#This Row],[Our panel]]</f>
        <v>0</v>
      </c>
      <c r="I13" s="13">
        <f>Table33345678910121613[[#This Row],[MTD Company]]-Table33345678910121613[[#This Row],[MTD Panel]]</f>
        <v>0</v>
      </c>
    </row>
    <row r="14" spans="1:9">
      <c r="A14" s="11" t="str">
        <f>Table333456789101217[[#This Row],[Carrier]]</f>
        <v>Tempest</v>
      </c>
      <c r="B14" s="5" t="str">
        <f>Table333456789101217[[#This Row],[IP]]</f>
        <v>59.144.223.88/55.39.99.60</v>
      </c>
      <c r="C14" s="6" t="str">
        <f>Table333456789101217[[#This Row],[Carrier Code]]</f>
        <v>TE</v>
      </c>
      <c r="D14" s="53">
        <v>0</v>
      </c>
      <c r="E14" s="53">
        <v>0</v>
      </c>
      <c r="F14" s="18">
        <f>Table33345678910121613[[#This Row],[Company Panel]]+Table333456789101216[[#This Row],[MTD Company]]</f>
        <v>0</v>
      </c>
      <c r="G14" s="18">
        <f>Table33345678910121613[[#This Row],[Our panel]]+Table333456789101216[[#This Row],[MTD Panel]]</f>
        <v>0</v>
      </c>
      <c r="H14" s="13">
        <f>Table33345678910121613[[#This Row],[Company Panel]]-Table33345678910121613[[#This Row],[Our panel]]</f>
        <v>0</v>
      </c>
      <c r="I14" s="13">
        <f>Table33345678910121613[[#This Row],[MTD Company]]-Table33345678910121613[[#This Row],[MTD Panel]]</f>
        <v>0</v>
      </c>
    </row>
    <row r="15" spans="1:9">
      <c r="A15" s="11" t="str">
        <f>Table333456789101217[[#This Row],[Carrier]]</f>
        <v>Shadow</v>
      </c>
      <c r="B15" s="5" t="str">
        <f>Table333456789101217[[#This Row],[IP]]</f>
        <v>175.45.112.100/25.851.31.153/39.80.220.100</v>
      </c>
      <c r="C15" s="6" t="str">
        <f>Table333456789101217[[#This Row],[Carrier Code]]</f>
        <v>SH</v>
      </c>
      <c r="D15" s="53">
        <v>1.35</v>
      </c>
      <c r="E15" s="53">
        <v>1.35</v>
      </c>
      <c r="F15" s="18">
        <f>Table33345678910121613[[#This Row],[Company Panel]]+Table333456789101216[[#This Row],[MTD Company]]</f>
        <v>1.4500000000000002</v>
      </c>
      <c r="G15" s="18">
        <f>Table33345678910121613[[#This Row],[Our panel]]+Table333456789101216[[#This Row],[MTD Panel]]</f>
        <v>1.4500000000000002</v>
      </c>
      <c r="H15" s="13">
        <f>Table33345678910121613[[#This Row],[Company Panel]]-Table33345678910121613[[#This Row],[Our panel]]</f>
        <v>0</v>
      </c>
      <c r="I15" s="13">
        <f>Table33345678910121613[[#This Row],[MTD Company]]-Table33345678910121613[[#This Row],[MTD Panel]]</f>
        <v>0</v>
      </c>
    </row>
    <row r="16" spans="1:9">
      <c r="A16" s="11" t="str">
        <f>Table333456789101217[[#This Row],[Carrier]]</f>
        <v>Cyclone</v>
      </c>
      <c r="B16" s="5" t="str">
        <f>Table333456789101217[[#This Row],[IP]]</f>
        <v>150.13.75.190/16.160.89.512/72.11.97.34</v>
      </c>
      <c r="C16" s="6" t="str">
        <f>Table333456789101217[[#This Row],[Carrier Code]]</f>
        <v>CY</v>
      </c>
      <c r="D16" s="53">
        <v>0</v>
      </c>
      <c r="E16" s="53">
        <v>0</v>
      </c>
      <c r="F16" s="18">
        <f>Table33345678910121613[[#This Row],[Company Panel]]+Table333456789101216[[#This Row],[MTD Company]]</f>
        <v>0</v>
      </c>
      <c r="G16" s="18">
        <f>Table33345678910121613[[#This Row],[Our panel]]+Table333456789101216[[#This Row],[MTD Panel]]</f>
        <v>0</v>
      </c>
      <c r="H16" s="13">
        <f>Table33345678910121613[[#This Row],[Company Panel]]-Table33345678910121613[[#This Row],[Our panel]]</f>
        <v>0</v>
      </c>
      <c r="I16" s="13">
        <f>Table33345678910121613[[#This Row],[MTD Company]]-Table33345678910121613[[#This Row],[MTD Panel]]</f>
        <v>0</v>
      </c>
    </row>
    <row r="17" spans="1:9">
      <c r="A17" s="11" t="str">
        <f>Table333456789101217[[#This Row],[Carrier]]</f>
        <v>Reaver</v>
      </c>
      <c r="B17" s="5" t="str">
        <f>Table333456789101217[[#This Row],[IP]]</f>
        <v>203.0.113.44/188.17.56.210</v>
      </c>
      <c r="C17" s="6" t="str">
        <f>Table333456789101217[[#This Row],[Carrier Code]]</f>
        <v>RE</v>
      </c>
      <c r="D17" s="53">
        <v>0</v>
      </c>
      <c r="E17" s="53">
        <v>0</v>
      </c>
      <c r="F17" s="18">
        <f>Table33345678910121613[[#This Row],[Company Panel]]+Table333456789101216[[#This Row],[MTD Company]]</f>
        <v>0</v>
      </c>
      <c r="G17" s="18">
        <f>Table33345678910121613[[#This Row],[Our panel]]+Table333456789101216[[#This Row],[MTD Panel]]</f>
        <v>0</v>
      </c>
      <c r="H17" s="13">
        <f>Table33345678910121613[[#This Row],[Company Panel]]-Table33345678910121613[[#This Row],[Our panel]]</f>
        <v>0</v>
      </c>
      <c r="I17" s="13">
        <f>Table33345678910121613[[#This Row],[MTD Company]]-Table33345678910121613[[#This Row],[MTD Panel]]</f>
        <v>0</v>
      </c>
    </row>
    <row r="18" spans="1:9">
      <c r="A18" s="11" t="str">
        <f>Table333456789101217[[#This Row],[Carrier]]</f>
        <v>Forge</v>
      </c>
      <c r="B18" s="5" t="str">
        <f>Table333456789101217[[#This Row],[IP]]</f>
        <v>112.54.89.168/112.54.89.138</v>
      </c>
      <c r="C18" s="6" t="str">
        <f>Table333456789101217[[#This Row],[Carrier Code]]</f>
        <v>FO</v>
      </c>
      <c r="D18" s="53">
        <v>91.533333333333331</v>
      </c>
      <c r="E18" s="53">
        <v>91.533333333333331</v>
      </c>
      <c r="F18" s="18">
        <f>Table33345678910121613[[#This Row],[Company Panel]]+Table333456789101216[[#This Row],[MTD Company]]</f>
        <v>765.75</v>
      </c>
      <c r="G18" s="18">
        <f>Table33345678910121613[[#This Row],[Our panel]]+Table333456789101216[[#This Row],[MTD Panel]]</f>
        <v>765.75</v>
      </c>
      <c r="H18" s="13">
        <f>Table33345678910121613[[#This Row],[Company Panel]]-Table33345678910121613[[#This Row],[Our panel]]</f>
        <v>0</v>
      </c>
      <c r="I18" s="13">
        <f>Table33345678910121613[[#This Row],[MTD Company]]-Table33345678910121613[[#This Row],[MTD Panel]]</f>
        <v>0</v>
      </c>
    </row>
    <row r="19" spans="1:9">
      <c r="A19" s="11" t="str">
        <f>Table333456789101217[[#This Row],[Carrier]]</f>
        <v>Ember</v>
      </c>
      <c r="B19" s="5" t="str">
        <f>Table333456789101217[[#This Row],[IP]]</f>
        <v>78.34.90.24/328.56.122.44/142.150.75.22</v>
      </c>
      <c r="C19" s="6" t="str">
        <f>Table333456789101217[[#This Row],[Carrier Code]]</f>
        <v>EM</v>
      </c>
      <c r="D19" s="53">
        <v>0</v>
      </c>
      <c r="E19" s="53">
        <v>0</v>
      </c>
      <c r="F19" s="18">
        <f>Table33345678910121613[[#This Row],[Company Panel]]+Table333456789101216[[#This Row],[MTD Company]]</f>
        <v>1.1499999999999999</v>
      </c>
      <c r="G19" s="18">
        <f>Table33345678910121613[[#This Row],[Our panel]]+Table333456789101216[[#This Row],[MTD Panel]]</f>
        <v>1.1499999999999999</v>
      </c>
      <c r="H19" s="13">
        <f>Table33345678910121613[[#This Row],[Company Panel]]-Table33345678910121613[[#This Row],[Our panel]]</f>
        <v>0</v>
      </c>
      <c r="I19" s="13">
        <f>Table33345678910121613[[#This Row],[MTD Company]]-Table33345678910121613[[#This Row],[MTD Panel]]</f>
        <v>0</v>
      </c>
    </row>
    <row r="20" spans="1:9">
      <c r="A20" s="11" t="str">
        <f>Table333456789101217[[#This Row],[Carrier]]</f>
        <v>Specter</v>
      </c>
      <c r="B20" s="5" t="str">
        <f>Table333456789101217[[#This Row],[IP]]</f>
        <v>205.60.34.150</v>
      </c>
      <c r="C20" s="6" t="str">
        <f>Table333456789101217[[#This Row],[Carrier Code]]</f>
        <v>SP</v>
      </c>
      <c r="D20" s="53">
        <v>4.2833333333333332</v>
      </c>
      <c r="E20" s="53">
        <v>4.2833333333333332</v>
      </c>
      <c r="F20" s="18">
        <f>Table33345678910121613[[#This Row],[Company Panel]]+Table333456789101216[[#This Row],[MTD Company]]</f>
        <v>54.4</v>
      </c>
      <c r="G20" s="18">
        <f>Table33345678910121613[[#This Row],[Our panel]]+Table333456789101216[[#This Row],[MTD Panel]]</f>
        <v>54.4</v>
      </c>
      <c r="H20" s="13">
        <f>Table33345678910121613[[#This Row],[Company Panel]]-Table33345678910121613[[#This Row],[Our panel]]</f>
        <v>0</v>
      </c>
      <c r="I20" s="13">
        <f>Table33345678910121613[[#This Row],[MTD Company]]-Table33345678910121613[[#This Row],[MTD Panel]]</f>
        <v>0</v>
      </c>
    </row>
    <row r="21" spans="1:9">
      <c r="A21" s="11" t="str">
        <f>Table333456789101217[[#This Row],[Carrier]]</f>
        <v>Throne</v>
      </c>
      <c r="B21" s="5" t="str">
        <f>Table333456789101217[[#This Row],[IP]]</f>
        <v>54.32.11.90/27.758.27.201/125.150.58.20</v>
      </c>
      <c r="C21" s="6" t="str">
        <f>Table333456789101217[[#This Row],[Carrier Code]]</f>
        <v>TH</v>
      </c>
      <c r="D21" s="53">
        <v>0</v>
      </c>
      <c r="E21" s="53">
        <v>0</v>
      </c>
      <c r="F21" s="18">
        <f>Table33345678910121613[[#This Row],[Company Panel]]+Table333456789101216[[#This Row],[MTD Company]]</f>
        <v>0</v>
      </c>
      <c r="G21" s="18">
        <f>Table33345678910121613[[#This Row],[Our panel]]+Table333456789101216[[#This Row],[MTD Panel]]</f>
        <v>0</v>
      </c>
      <c r="H21" s="13">
        <f>Table33345678910121613[[#This Row],[Company Panel]]-Table33345678910121613[[#This Row],[Our panel]]</f>
        <v>0</v>
      </c>
      <c r="I21" s="13">
        <f>Table33345678910121613[[#This Row],[MTD Company]]-Table33345678910121613[[#This Row],[MTD Panel]]</f>
        <v>0</v>
      </c>
    </row>
    <row r="22" spans="1:9">
      <c r="A22" s="11" t="str">
        <f>Table333456789101217[[#This Row],[Carrier]]</f>
        <v>Arcane</v>
      </c>
      <c r="B22" s="5" t="str">
        <f>Table333456789101217[[#This Row],[IP]]</f>
        <v>212.100.25.78/212.100.25.87</v>
      </c>
      <c r="C22" s="6" t="str">
        <f>Table333456789101217[[#This Row],[Carrier Code]]</f>
        <v>AR</v>
      </c>
      <c r="D22" s="53">
        <v>0</v>
      </c>
      <c r="E22" s="53">
        <v>0</v>
      </c>
      <c r="F22" s="18">
        <f>Table33345678910121613[[#This Row],[Company Panel]]+Table333456789101216[[#This Row],[MTD Company]]</f>
        <v>3336.0333333333333</v>
      </c>
      <c r="G22" s="18">
        <f>Table33345678910121613[[#This Row],[Our panel]]+Table333456789101216[[#This Row],[MTD Panel]]</f>
        <v>3336.0333333333333</v>
      </c>
      <c r="H22" s="13">
        <f>Table33345678910121613[[#This Row],[Company Panel]]-Table33345678910121613[[#This Row],[Our panel]]</f>
        <v>0</v>
      </c>
      <c r="I22" s="13">
        <f>Table33345678910121613[[#This Row],[MTD Company]]-Table33345678910121613[[#This Row],[MTD Panel]]</f>
        <v>0</v>
      </c>
    </row>
    <row r="23" spans="1:9">
      <c r="A23" s="11" t="str">
        <f>Table333456789101217[[#This Row],[Carrier]]</f>
        <v>Glitch</v>
      </c>
      <c r="B23" s="5" t="str">
        <f>Table333456789101217[[#This Row],[IP]]</f>
        <v>198.204.100.12/198.204.100.34/198.204.100.51</v>
      </c>
      <c r="C23" s="6" t="str">
        <f>Table333456789101217[[#This Row],[Carrier Code]]</f>
        <v>GL</v>
      </c>
      <c r="D23" s="53">
        <v>0</v>
      </c>
      <c r="E23" s="53">
        <v>0</v>
      </c>
      <c r="F23" s="18">
        <f>Table33345678910121613[[#This Row],[Company Panel]]+Table333456789101216[[#This Row],[MTD Company]]</f>
        <v>0</v>
      </c>
      <c r="G23" s="18">
        <f>Table33345678910121613[[#This Row],[Our panel]]+Table333456789101216[[#This Row],[MTD Panel]]</f>
        <v>0</v>
      </c>
      <c r="H23" s="13">
        <f>Table33345678910121613[[#This Row],[Company Panel]]-Table33345678910121613[[#This Row],[Our panel]]</f>
        <v>0</v>
      </c>
      <c r="I23" s="13">
        <f>Table33345678910121613[[#This Row],[MTD Company]]-Table33345678910121613[[#This Row],[MTD Panel]]</f>
        <v>0</v>
      </c>
    </row>
    <row r="24" spans="1:9">
      <c r="A24" s="11" t="str">
        <f>Table333456789101217[[#This Row],[Carrier]]</f>
        <v>Nitro</v>
      </c>
      <c r="B24" s="5" t="str">
        <f>Table333456789101217[[#This Row],[IP]]</f>
        <v>15.150.200.33/119.82.200.100</v>
      </c>
      <c r="C24" s="6" t="str">
        <f>Table333456789101217[[#This Row],[Carrier Code]]</f>
        <v>NI</v>
      </c>
      <c r="D24" s="53">
        <v>0</v>
      </c>
      <c r="E24" s="53">
        <v>0</v>
      </c>
      <c r="F24" s="18">
        <f>Table33345678910121613[[#This Row],[Company Panel]]+Table333456789101216[[#This Row],[MTD Company]]</f>
        <v>0</v>
      </c>
      <c r="G24" s="18">
        <f>Table33345678910121613[[#This Row],[Our panel]]+Table333456789101216[[#This Row],[MTD Panel]]</f>
        <v>0</v>
      </c>
      <c r="H24" s="13">
        <f>Table33345678910121613[[#This Row],[Company Panel]]-Table33345678910121613[[#This Row],[Our panel]]</f>
        <v>0</v>
      </c>
      <c r="I24" s="13">
        <f>Table33345678910121613[[#This Row],[MTD Company]]-Table33345678910121613[[#This Row],[MTD Panel]]</f>
        <v>0</v>
      </c>
    </row>
    <row r="25" spans="1:9">
      <c r="A25" s="11" t="str">
        <f>Table333456789101217[[#This Row],[Carrier]]</f>
        <v>Drip</v>
      </c>
      <c r="B25" s="5" t="str">
        <f>Table333456789101217[[#This Row],[IP]]</f>
        <v>84.13.76.190/90.945.80.11/198.160.234.5</v>
      </c>
      <c r="C25" s="6" t="str">
        <f>Table333456789101217[[#This Row],[Carrier Code]]</f>
        <v>DR</v>
      </c>
      <c r="D25" s="53">
        <v>0</v>
      </c>
      <c r="E25" s="53">
        <v>0</v>
      </c>
      <c r="F25" s="18">
        <f>Table33345678910121613[[#This Row],[Company Panel]]+Table333456789101216[[#This Row],[MTD Company]]</f>
        <v>0</v>
      </c>
      <c r="G25" s="18">
        <f>Table33345678910121613[[#This Row],[Our panel]]+Table333456789101216[[#This Row],[MTD Panel]]</f>
        <v>0</v>
      </c>
      <c r="H25" s="13">
        <f>Table33345678910121613[[#This Row],[Company Panel]]-Table33345678910121613[[#This Row],[Our panel]]</f>
        <v>0</v>
      </c>
      <c r="I25" s="13">
        <f>Table33345678910121613[[#This Row],[MTD Company]]-Table33345678910121613[[#This Row],[MTD Panel]]</f>
        <v>0</v>
      </c>
    </row>
    <row r="26" spans="1:9">
      <c r="A26" s="11" t="str">
        <f>Table333456789101217[[#This Row],[Carrier]]</f>
        <v>Glide</v>
      </c>
      <c r="B26" s="5" t="str">
        <f>Table333456789101217[[#This Row],[IP]]</f>
        <v>120.45.12.25/85.739.221.80/85.739.221.93</v>
      </c>
      <c r="C26" s="6" t="str">
        <f>Table333456789101217[[#This Row],[Carrier Code]]</f>
        <v>GI</v>
      </c>
      <c r="D26" s="53">
        <v>0</v>
      </c>
      <c r="E26" s="53">
        <v>0</v>
      </c>
      <c r="F26" s="18">
        <f>Table33345678910121613[[#This Row],[Company Panel]]+Table333456789101216[[#This Row],[MTD Company]]</f>
        <v>0</v>
      </c>
      <c r="G26" s="18">
        <f>Table33345678910121613[[#This Row],[Our panel]]+Table333456789101216[[#This Row],[MTD Panel]]</f>
        <v>0</v>
      </c>
      <c r="H26" s="13">
        <f>Table33345678910121613[[#This Row],[Company Panel]]-Table33345678910121613[[#This Row],[Our panel]]</f>
        <v>0</v>
      </c>
      <c r="I26" s="13">
        <f>Table33345678910121613[[#This Row],[MTD Company]]-Table33345678910121613[[#This Row],[MTD Panel]]</f>
        <v>0</v>
      </c>
    </row>
    <row r="27" spans="1:9">
      <c r="A27" s="11" t="str">
        <f>Table333456789101217[[#This Row],[Carrier]]</f>
        <v>Orbit</v>
      </c>
      <c r="B27" s="5" t="str">
        <f>Table333456789101217[[#This Row],[IP]]</f>
        <v>176.98.54.112/60.110.154.91/60.110.155.162</v>
      </c>
      <c r="C27" s="6" t="str">
        <f>Table333456789101217[[#This Row],[Carrier Code]]</f>
        <v>OR</v>
      </c>
      <c r="D27" s="53">
        <v>0</v>
      </c>
      <c r="E27" s="53">
        <v>0</v>
      </c>
      <c r="F27" s="18">
        <f>Table33345678910121613[[#This Row],[Company Panel]]+Table333456789101216[[#This Row],[MTD Company]]</f>
        <v>0</v>
      </c>
      <c r="G27" s="18">
        <f>Table33345678910121613[[#This Row],[Our panel]]+Table333456789101216[[#This Row],[MTD Panel]]</f>
        <v>0</v>
      </c>
      <c r="H27" s="13">
        <f>Table33345678910121613[[#This Row],[Company Panel]]-Table33345678910121613[[#This Row],[Our panel]]</f>
        <v>0</v>
      </c>
      <c r="I27" s="13">
        <f>Table33345678910121613[[#This Row],[MTD Company]]-Table33345678910121613[[#This Row],[MTD Panel]]</f>
        <v>0</v>
      </c>
    </row>
    <row r="28" spans="1:9">
      <c r="A28" s="11" t="str">
        <f>Table333456789101217[[#This Row],[Carrier]]</f>
        <v>Thunder</v>
      </c>
      <c r="B28" s="5" t="str">
        <f>Table333456789101217[[#This Row],[IP]]</f>
        <v>67.102.200.9/81.905.48.847/143.235.100.34</v>
      </c>
      <c r="C28" s="6" t="str">
        <f>Table333456789101217[[#This Row],[Carrier Code]]</f>
        <v>TU</v>
      </c>
      <c r="D28" s="53">
        <v>120.83333333333333</v>
      </c>
      <c r="E28" s="53">
        <v>120.83333333333333</v>
      </c>
      <c r="F28" s="18">
        <f>Table33345678910121613[[#This Row],[Company Panel]]+Table333456789101216[[#This Row],[MTD Company]]</f>
        <v>772.95</v>
      </c>
      <c r="G28" s="18">
        <f>Table33345678910121613[[#This Row],[Our panel]]+Table333456789101216[[#This Row],[MTD Panel]]</f>
        <v>772.95</v>
      </c>
      <c r="H28" s="13">
        <f>Table33345678910121613[[#This Row],[Company Panel]]-Table33345678910121613[[#This Row],[Our panel]]</f>
        <v>0</v>
      </c>
      <c r="I28" s="13">
        <f>Table33345678910121613[[#This Row],[MTD Company]]-Table33345678910121613[[#This Row],[MTD Panel]]</f>
        <v>0</v>
      </c>
    </row>
    <row r="29" spans="1:9">
      <c r="A29" s="11" t="str">
        <f>Table333456789101217[[#This Row],[Carrier]]</f>
        <v>Glimmer</v>
      </c>
      <c r="B29" s="5" t="str">
        <f>Table333456789101217[[#This Row],[IP]]</f>
        <v>99.22.211.100/71.54.85.344/71.54.85.218</v>
      </c>
      <c r="C29" s="6" t="str">
        <f>Table333456789101217[[#This Row],[Carrier Code]]</f>
        <v>GM</v>
      </c>
      <c r="D29" s="53">
        <v>0</v>
      </c>
      <c r="E29" s="53">
        <v>0</v>
      </c>
      <c r="F29" s="18">
        <f>Table33345678910121613[[#This Row],[Company Panel]]+Table333456789101216[[#This Row],[MTD Company]]</f>
        <v>0</v>
      </c>
      <c r="G29" s="18">
        <f>Table33345678910121613[[#This Row],[Our panel]]+Table333456789101216[[#This Row],[MTD Panel]]</f>
        <v>0</v>
      </c>
      <c r="H29" s="13">
        <f>Table33345678910121613[[#This Row],[Company Panel]]-Table33345678910121613[[#This Row],[Our panel]]</f>
        <v>0</v>
      </c>
      <c r="I29" s="13">
        <f>Table33345678910121613[[#This Row],[MTD Company]]-Table33345678910121613[[#This Row],[MTD Panel]]</f>
        <v>0</v>
      </c>
    </row>
    <row r="30" spans="1:9">
      <c r="A30" s="11" t="str">
        <f>Table333456789101217[[#This Row],[Carrier]]</f>
        <v>Fragment</v>
      </c>
      <c r="B30" s="5" t="str">
        <f>Table333456789101217[[#This Row],[IP]]</f>
        <v>203.0.113.56/195.56.101.10</v>
      </c>
      <c r="C30" s="6" t="str">
        <f>Table333456789101217[[#This Row],[Carrier Code]]</f>
        <v>FR</v>
      </c>
      <c r="D30" s="53">
        <v>0</v>
      </c>
      <c r="E30" s="53">
        <v>0</v>
      </c>
      <c r="F30" s="18">
        <f>Table33345678910121613[[#This Row],[Company Panel]]+Table333456789101216[[#This Row],[MTD Company]]</f>
        <v>0</v>
      </c>
      <c r="G30" s="18">
        <f>Table33345678910121613[[#This Row],[Our panel]]+Table333456789101216[[#This Row],[MTD Panel]]</f>
        <v>0</v>
      </c>
      <c r="H30" s="13">
        <f>Table33345678910121613[[#This Row],[Company Panel]]-Table33345678910121613[[#This Row],[Our panel]]</f>
        <v>0</v>
      </c>
      <c r="I30" s="13">
        <f>Table33345678910121613[[#This Row],[MTD Company]]-Table33345678910121613[[#This Row],[MTD Panel]]</f>
        <v>0</v>
      </c>
    </row>
    <row r="31" spans="1:9">
      <c r="A31" s="11" t="str">
        <f>Table333456789101217[[#This Row],[Carrier]]</f>
        <v>Dusk</v>
      </c>
      <c r="B31" s="5" t="str">
        <f>Table333456789101217[[#This Row],[IP]]</f>
        <v>33.44.55.66/33.44.55.84/33.44.55.122/214.68.90.122</v>
      </c>
      <c r="C31" s="6" t="str">
        <f>Table333456789101217[[#This Row],[Carrier Code]]</f>
        <v>DK</v>
      </c>
      <c r="D31" s="53">
        <v>0</v>
      </c>
      <c r="E31" s="53">
        <v>0</v>
      </c>
      <c r="F31" s="18">
        <f>Table33345678910121613[[#This Row],[Company Panel]]+Table333456789101216[[#This Row],[MTD Company]]</f>
        <v>0</v>
      </c>
      <c r="G31" s="18">
        <f>Table33345678910121613[[#This Row],[Our panel]]+Table333456789101216[[#This Row],[MTD Panel]]</f>
        <v>0</v>
      </c>
      <c r="H31" s="13">
        <f>Table33345678910121613[[#This Row],[Company Panel]]-Table33345678910121613[[#This Row],[Our panel]]</f>
        <v>0</v>
      </c>
      <c r="I31" s="13">
        <f>Table33345678910121613[[#This Row],[MTD Company]]-Table33345678910121613[[#This Row],[MTD Panel]]</f>
        <v>0</v>
      </c>
    </row>
    <row r="32" spans="1:9">
      <c r="A32" s="11" t="str">
        <f>Table333456789101217[[#This Row],[Carrier]]</f>
        <v>Breeze</v>
      </c>
      <c r="B32" s="5" t="str">
        <f>Table333456789101217[[#This Row],[IP]]</f>
        <v>199.123.87.45/199.123.34.52/77.189.22.56</v>
      </c>
      <c r="C32" s="6" t="str">
        <f>Table333456789101217[[#This Row],[Carrier Code]]</f>
        <v>BR</v>
      </c>
      <c r="D32" s="53">
        <v>0</v>
      </c>
      <c r="E32" s="53">
        <v>0</v>
      </c>
      <c r="F32" s="18">
        <f>Table33345678910121613[[#This Row],[Company Panel]]+Table333456789101216[[#This Row],[MTD Company]]</f>
        <v>0</v>
      </c>
      <c r="G32" s="18">
        <f>Table33345678910121613[[#This Row],[Our panel]]+Table333456789101216[[#This Row],[MTD Panel]]</f>
        <v>0</v>
      </c>
      <c r="H32" s="13">
        <f>Table33345678910121613[[#This Row],[Company Panel]]-Table33345678910121613[[#This Row],[Our panel]]</f>
        <v>0</v>
      </c>
      <c r="I32" s="13">
        <f>Table33345678910121613[[#This Row],[MTD Company]]-Table33345678910121613[[#This Row],[MTD Panel]]</f>
        <v>0</v>
      </c>
    </row>
    <row r="33" spans="1:9">
      <c r="A33" s="11" t="str">
        <f>Table333456789101217[[#This Row],[Carrier]]</f>
        <v>Clutch</v>
      </c>
      <c r="B33" s="5" t="str">
        <f>Table333456789101217[[#This Row],[IP]]</f>
        <v>55.66.77.88/84.126.79.28/152.233.45.11</v>
      </c>
      <c r="C33" s="6" t="str">
        <f>Table333456789101217[[#This Row],[Carrier Code]]</f>
        <v>CL</v>
      </c>
      <c r="D33" s="53">
        <v>0</v>
      </c>
      <c r="E33" s="53">
        <v>0</v>
      </c>
      <c r="F33" s="18">
        <f>Table33345678910121613[[#This Row],[Company Panel]]+Table333456789101216[[#This Row],[MTD Company]]</f>
        <v>0</v>
      </c>
      <c r="G33" s="18">
        <f>Table33345678910121613[[#This Row],[Our panel]]+Table333456789101216[[#This Row],[MTD Panel]]</f>
        <v>0</v>
      </c>
      <c r="H33" s="13">
        <f>Table33345678910121613[[#This Row],[Company Panel]]-Table33345678910121613[[#This Row],[Our panel]]</f>
        <v>0</v>
      </c>
      <c r="I33" s="13">
        <f>Table33345678910121613[[#This Row],[MTD Company]]-Table33345678910121613[[#This Row],[MTD Panel]]</f>
        <v>0</v>
      </c>
    </row>
    <row r="34" spans="1:9">
      <c r="A34" s="11" t="str">
        <f>Table333456789101217[[#This Row],[Carrier]]</f>
        <v>Haze</v>
      </c>
      <c r="B34" s="5" t="str">
        <f>Table333456789101217[[#This Row],[IP]]</f>
        <v>230.111.44.56</v>
      </c>
      <c r="C34" s="6" t="str">
        <f>Table333456789101217[[#This Row],[Carrier Code]]</f>
        <v>HZ</v>
      </c>
      <c r="D34" s="53">
        <v>12469.483333333334</v>
      </c>
      <c r="E34" s="53">
        <v>12469.483333333334</v>
      </c>
      <c r="F34" s="18">
        <f>Table33345678910121613[[#This Row],[Company Panel]]+Table333456789101216[[#This Row],[MTD Company]]</f>
        <v>50543.883333333331</v>
      </c>
      <c r="G34" s="18">
        <f>Table33345678910121613[[#This Row],[Our panel]]+Table333456789101216[[#This Row],[MTD Panel]]</f>
        <v>50543.883333333331</v>
      </c>
      <c r="H34" s="13">
        <f>Table33345678910121613[[#This Row],[Company Panel]]-Table33345678910121613[[#This Row],[Our panel]]</f>
        <v>0</v>
      </c>
      <c r="I34" s="13">
        <f>Table33345678910121613[[#This Row],[MTD Company]]-Table33345678910121613[[#This Row],[MTD Panel]]</f>
        <v>0</v>
      </c>
    </row>
    <row r="35" spans="1:9">
      <c r="A35" s="11" t="str">
        <f>Table333456789101217[[#This Row],[Carrier]]</f>
        <v>Vault</v>
      </c>
      <c r="B35" s="5" t="str">
        <f>Table333456789101217[[#This Row],[IP]]</f>
        <v>213.189.94.5/213.189.94.7/111.180.64.222</v>
      </c>
      <c r="C35" s="6" t="str">
        <f>Table333456789101217[[#This Row],[Carrier Code]]</f>
        <v>VA</v>
      </c>
      <c r="D35" s="53">
        <v>0</v>
      </c>
      <c r="E35" s="53">
        <v>0</v>
      </c>
      <c r="F35" s="18">
        <f>Table33345678910121613[[#This Row],[Company Panel]]+Table333456789101216[[#This Row],[MTD Company]]</f>
        <v>0</v>
      </c>
      <c r="G35" s="18">
        <f>Table33345678910121613[[#This Row],[Our panel]]+Table333456789101216[[#This Row],[MTD Panel]]</f>
        <v>0</v>
      </c>
      <c r="H35" s="63">
        <f>Table33345678910121613[[#This Row],[Company Panel]]-Table33345678910121613[[#This Row],[Our panel]]</f>
        <v>0</v>
      </c>
      <c r="I35" s="63">
        <f>Table33345678910121613[[#This Row],[MTD Company]]-Table33345678910121613[[#This Row],[MTD Panel]]</f>
        <v>0</v>
      </c>
    </row>
    <row r="36" spans="1:9">
      <c r="A36" s="11" t="str">
        <f>Table333456789101217[[#This Row],[Carrier]]</f>
        <v>Scatter</v>
      </c>
      <c r="B36" s="5" t="str">
        <f>Table333456789101217[[#This Row],[IP]]</f>
        <v>14.123.45.67/168.251.90.15</v>
      </c>
      <c r="C36" s="6" t="str">
        <f>Table333456789101217[[#This Row],[Carrier Code]]</f>
        <v>SC</v>
      </c>
      <c r="D36" s="53">
        <v>151.30000000000001</v>
      </c>
      <c r="E36" s="53">
        <v>151.30000000000001</v>
      </c>
      <c r="F36" s="18">
        <f>Table33345678910121613[[#This Row],[Company Panel]]+Table333456789101216[[#This Row],[MTD Company]]</f>
        <v>1864.0666666666664</v>
      </c>
      <c r="G36" s="18">
        <f>Table33345678910121613[[#This Row],[Our panel]]+Table333456789101216[[#This Row],[MTD Panel]]</f>
        <v>1864.0666666666664</v>
      </c>
      <c r="H36" s="13">
        <f>Table33345678910121613[[#This Row],[Company Panel]]-Table33345678910121613[[#This Row],[Our panel]]</f>
        <v>0</v>
      </c>
      <c r="I36" s="13">
        <f>Table33345678910121613[[#This Row],[MTD Company]]-Table33345678910121613[[#This Row],[MTD Panel]]</f>
        <v>0</v>
      </c>
    </row>
    <row r="37" spans="1:9">
      <c r="A37" s="11" t="str">
        <f>Table333456789101217[[#This Row],[Carrier]]</f>
        <v>Hammer</v>
      </c>
      <c r="B37" s="5" t="str">
        <f>Table333456789101217[[#This Row],[IP]]</f>
        <v>200.111.78.9/200.111.236.62/200.111.823.89/137.79.48.56</v>
      </c>
      <c r="C37" s="6" t="str">
        <f>Table333456789101217[[#This Row],[Carrier Code]]</f>
        <v>HA</v>
      </c>
      <c r="D37" s="53">
        <v>0</v>
      </c>
      <c r="E37" s="53">
        <v>0</v>
      </c>
      <c r="F37" s="18">
        <f>Table33345678910121613[[#This Row],[Company Panel]]+Table333456789101216[[#This Row],[MTD Company]]</f>
        <v>0</v>
      </c>
      <c r="G37" s="18">
        <f>Table33345678910121613[[#This Row],[Our panel]]+Table333456789101216[[#This Row],[MTD Panel]]</f>
        <v>0</v>
      </c>
      <c r="H37" s="72">
        <f>Table33345678910121613[[#This Row],[Company Panel]]-Table33345678910121613[[#This Row],[Our panel]]</f>
        <v>0</v>
      </c>
      <c r="I37" s="72">
        <f>Table33345678910121613[[#This Row],[MTD Company]]-Table33345678910121613[[#This Row],[MTD Panel]]</f>
        <v>0</v>
      </c>
    </row>
    <row r="38" spans="1:9">
      <c r="A38" s="11" t="str">
        <f>Table333456789101217[[#This Row],[Carrier]]</f>
        <v>Smudge</v>
      </c>
      <c r="B38" s="5" t="str">
        <f>Table333456789101217[[#This Row],[IP]]</f>
        <v>88.99.233.56/54.71.99.234</v>
      </c>
      <c r="C38" s="6" t="str">
        <f>Table333456789101217[[#This Row],[Carrier Code]]</f>
        <v>SM</v>
      </c>
      <c r="D38" s="53">
        <v>4544.1499999999996</v>
      </c>
      <c r="E38" s="53">
        <v>4544.1499999999996</v>
      </c>
      <c r="F38" s="18">
        <f>Table33345678910121613[[#This Row],[Company Panel]]+Table333456789101216[[#This Row],[MTD Company]]</f>
        <v>9899.8499999999985</v>
      </c>
      <c r="G38" s="18">
        <f>Table33345678910121613[[#This Row],[Our panel]]+Table333456789101216[[#This Row],[MTD Panel]]</f>
        <v>9899.8499999999985</v>
      </c>
      <c r="H38" s="72">
        <f>Table33345678910121613[[#This Row],[Company Panel]]-Table33345678910121613[[#This Row],[Our panel]]</f>
        <v>0</v>
      </c>
      <c r="I38" s="72">
        <f>Table33345678910121613[[#This Row],[MTD Company]]-Table33345678910121613[[#This Row],[MTD Panel]]</f>
        <v>0</v>
      </c>
    </row>
    <row r="39" spans="1:9">
      <c r="A39" s="11" t="str">
        <f>Table333456789101217[[#This Row],[Carrier]]</f>
        <v>Quirk</v>
      </c>
      <c r="B39" s="5" t="str">
        <f>Table333456789101217[[#This Row],[IP]]</f>
        <v>62.45.100.31/62.45.100.15/62.45.100.65/211.95.102.6</v>
      </c>
      <c r="C39" s="6" t="str">
        <f>Table333456789101217[[#This Row],[Carrier Code]]</f>
        <v>QU</v>
      </c>
      <c r="D39" s="53">
        <v>3283.8</v>
      </c>
      <c r="E39" s="53">
        <v>3283.8</v>
      </c>
      <c r="F39" s="18">
        <f>Table33345678910121613[[#This Row],[Company Panel]]+Table333456789101216[[#This Row],[MTD Company]]</f>
        <v>46007.26666666667</v>
      </c>
      <c r="G39" s="18">
        <f>Table33345678910121613[[#This Row],[Our panel]]+Table333456789101216[[#This Row],[MTD Panel]]</f>
        <v>46007.26666666667</v>
      </c>
      <c r="H39" s="13">
        <f>Table33345678910121613[[#This Row],[Company Panel]]-Table33345678910121613[[#This Row],[Our panel]]</f>
        <v>0</v>
      </c>
      <c r="I39" s="13">
        <f>Table33345678910121613[[#This Row],[MTD Company]]-Table33345678910121613[[#This Row],[MTD Panel]]</f>
        <v>0</v>
      </c>
    </row>
    <row r="40" spans="1:9">
      <c r="A40" s="11" t="str">
        <f>Table333456789101217[[#This Row],[Carrier]]</f>
        <v>Vortex</v>
      </c>
      <c r="B40" s="5" t="str">
        <f>Table333456789101217[[#This Row],[IP]]</f>
        <v>179.250.91.8/29.540.67.457/94.25.34.78/183.144.27.18</v>
      </c>
      <c r="C40" s="6" t="str">
        <f>Table333456789101217[[#This Row],[Carrier Code]]</f>
        <v>VT</v>
      </c>
      <c r="D40" s="53">
        <v>7.1</v>
      </c>
      <c r="E40" s="53">
        <v>7.1</v>
      </c>
      <c r="F40" s="18">
        <f>Table33345678910121613[[#This Row],[Company Panel]]+Table333456789101216[[#This Row],[MTD Company]]</f>
        <v>8.0499999999999989</v>
      </c>
      <c r="G40" s="18">
        <f>Table33345678910121613[[#This Row],[Our panel]]+Table333456789101216[[#This Row],[MTD Panel]]</f>
        <v>8.0499999999999989</v>
      </c>
      <c r="H40" s="13">
        <f>Table33345678910121613[[#This Row],[Company Panel]]-Table33345678910121613[[#This Row],[Our panel]]</f>
        <v>0</v>
      </c>
      <c r="I40" s="13">
        <f>Table33345678910121613[[#This Row],[MTD Company]]-Table33345678910121613[[#This Row],[MTD Panel]]</f>
        <v>0</v>
      </c>
    </row>
    <row r="41" spans="1:9">
      <c r="A41" s="11" t="str">
        <f>Table333456789101217[[#This Row],[Carrier]]</f>
        <v>Void</v>
      </c>
      <c r="B41" s="5" t="str">
        <f>Table333456789101217[[#This Row],[IP]]</f>
        <v>156.34.123.11/156.34.123.25/156.34.123.62/92.44.233.110</v>
      </c>
      <c r="C41" s="6" t="str">
        <f>Table333456789101217[[#This Row],[Carrier Code]]</f>
        <v>VO</v>
      </c>
      <c r="D41" s="53">
        <v>186.46666666666667</v>
      </c>
      <c r="E41" s="53">
        <v>186.46666666666667</v>
      </c>
      <c r="F41" s="18">
        <f>Table33345678910121613[[#This Row],[Company Panel]]+Table333456789101216[[#This Row],[MTD Company]]</f>
        <v>1163.8</v>
      </c>
      <c r="G41" s="18">
        <f>Table33345678910121613[[#This Row],[Our panel]]+Table333456789101216[[#This Row],[MTD Panel]]</f>
        <v>1163.8</v>
      </c>
      <c r="H41" s="72">
        <f>Table33345678910121613[[#This Row],[Company Panel]]-Table33345678910121613[[#This Row],[Our panel]]</f>
        <v>0</v>
      </c>
      <c r="I41" s="72">
        <f>Table33345678910121613[[#This Row],[MTD Company]]-Table33345678910121613[[#This Row],[MTD Panel]]</f>
        <v>0</v>
      </c>
    </row>
    <row r="42" spans="1:9">
      <c r="A42" s="11" t="str">
        <f>Table333456789101217[[#This Row],[Carrier]]</f>
        <v>Midnight</v>
      </c>
      <c r="B42" s="5" t="str">
        <f>Table333456789101217[[#This Row],[IP]]</f>
        <v>134.77.22.4/23.97.150.8</v>
      </c>
      <c r="C42" s="6" t="str">
        <f>Table333456789101217[[#This Row],[Carrier Code]]</f>
        <v>MI</v>
      </c>
      <c r="D42" s="53">
        <v>1317.9666666666667</v>
      </c>
      <c r="E42" s="53">
        <v>1317.9666666666667</v>
      </c>
      <c r="F42" s="18">
        <f>Table33345678910121613[[#This Row],[Company Panel]]+Table333456789101216[[#This Row],[MTD Company]]</f>
        <v>9365.9833333333336</v>
      </c>
      <c r="G42" s="18">
        <f>Table33345678910121613[[#This Row],[Our panel]]+Table333456789101216[[#This Row],[MTD Panel]]</f>
        <v>9365.9833333333336</v>
      </c>
      <c r="H42" s="72">
        <f>Table33345678910121613[[#This Row],[Company Panel]]-Table33345678910121613[[#This Row],[Our panel]]</f>
        <v>0</v>
      </c>
      <c r="I42" s="72">
        <f>Table33345678910121613[[#This Row],[MTD Company]]-Table33345678910121613[[#This Row],[MTD Panel]]</f>
        <v>0</v>
      </c>
    </row>
    <row r="43" spans="1:9">
      <c r="A43" s="11" t="str">
        <f>Table333456789101217[[#This Row],[Carrier]]</f>
        <v>Autumn</v>
      </c>
      <c r="B43" s="5" t="str">
        <f>Table333456789101217[[#This Row],[IP]]</f>
        <v>202.54.210.88/12.331.94.73/64.19.28.175</v>
      </c>
      <c r="C43" s="6" t="str">
        <f>Table333456789101217[[#This Row],[Carrier Code]]</f>
        <v>AU</v>
      </c>
      <c r="D43" s="53">
        <v>4.0333333333333332</v>
      </c>
      <c r="E43" s="53">
        <v>4.0333333333333332</v>
      </c>
      <c r="F43" s="18">
        <f>Table33345678910121613[[#This Row],[Company Panel]]+Table333456789101216[[#This Row],[MTD Company]]</f>
        <v>276.11666666666667</v>
      </c>
      <c r="G43" s="18">
        <f>Table33345678910121613[[#This Row],[Our panel]]+Table333456789101216[[#This Row],[MTD Panel]]</f>
        <v>276.11666666666667</v>
      </c>
      <c r="H43" s="72">
        <f>Table33345678910121613[[#This Row],[Company Panel]]-Table33345678910121613[[#This Row],[Our panel]]</f>
        <v>0</v>
      </c>
      <c r="I43" s="72">
        <f>Table33345678910121613[[#This Row],[MTD Company]]-Table33345678910121613[[#This Row],[MTD Panel]]</f>
        <v>0</v>
      </c>
    </row>
    <row r="44" spans="1:9">
      <c r="A44" s="11" t="str">
        <f>Table333456789101217[[#This Row],[Carrier]]</f>
        <v>Mystic</v>
      </c>
      <c r="B44" s="5" t="str">
        <f>Table333456789101217[[#This Row],[IP]]</f>
        <v>51.233.21.76/82.115.35.60/82.115.35.85</v>
      </c>
      <c r="C44" s="6" t="str">
        <f>Table333456789101217[[#This Row],[Carrier Code]]</f>
        <v>MY</v>
      </c>
      <c r="D44" s="53">
        <v>0</v>
      </c>
      <c r="E44" s="53">
        <v>0</v>
      </c>
      <c r="F44" s="18">
        <f>Table33345678910121613[[#This Row],[Company Panel]]+Table333456789101216[[#This Row],[MTD Company]]</f>
        <v>0</v>
      </c>
      <c r="G44" s="18">
        <f>Table33345678910121613[[#This Row],[Our panel]]+Table333456789101216[[#This Row],[MTD Panel]]</f>
        <v>0</v>
      </c>
      <c r="H44" s="78">
        <f>Table33345678910121613[[#This Row],[Company Panel]]-Table33345678910121613[[#This Row],[Our panel]]</f>
        <v>0</v>
      </c>
      <c r="I44" s="78">
        <f>Table33345678910121613[[#This Row],[MTD Company]]-Table33345678910121613[[#This Row],[MTD Panel]]</f>
        <v>0</v>
      </c>
    </row>
    <row r="45" spans="1:9">
      <c r="A45" s="11" t="str">
        <f>Table333456789101217[[#This Row],[Carrier]]</f>
        <v>Clover</v>
      </c>
      <c r="B45" s="5" t="str">
        <f>Table333456789101217[[#This Row],[IP]]</f>
        <v>210.150.12.45/84.50.212.66/135.113.88.9</v>
      </c>
      <c r="C45" s="6" t="str">
        <f>Table333456789101217[[#This Row],[Carrier Code]]</f>
        <v>CO</v>
      </c>
      <c r="D45" s="53">
        <v>521.6</v>
      </c>
      <c r="E45" s="53">
        <v>521.6</v>
      </c>
      <c r="F45" s="18">
        <f>Table33345678910121613[[#This Row],[Company Panel]]+Table333456789101216[[#This Row],[MTD Company]]</f>
        <v>35906.350000000006</v>
      </c>
      <c r="G45" s="18">
        <f>Table33345678910121613[[#This Row],[Our panel]]+Table333456789101216[[#This Row],[MTD Panel]]</f>
        <v>35906.350000000006</v>
      </c>
      <c r="H45" s="72">
        <f>Table33345678910121613[[#This Row],[Company Panel]]-Table33345678910121613[[#This Row],[Our panel]]</f>
        <v>0</v>
      </c>
      <c r="I45" s="72">
        <f>Table33345678910121613[[#This Row],[MTD Company]]-Table33345678910121613[[#This Row],[MTD Panel]]</f>
        <v>0</v>
      </c>
    </row>
    <row r="46" spans="1:9">
      <c r="A46" s="11" t="str">
        <f>Table333456789101217[[#This Row],[Carrier]]</f>
        <v>Hunter</v>
      </c>
      <c r="B46" s="5" t="str">
        <f>Table333456789101217[[#This Row],[IP]]</f>
        <v>170.199.20.87/13.693.39.280/78.30.123.47</v>
      </c>
      <c r="C46" s="6" t="str">
        <f>Table333456789101217[[#This Row],[Carrier Code]]</f>
        <v>HU</v>
      </c>
      <c r="D46" s="53">
        <v>26416.55</v>
      </c>
      <c r="E46" s="53">
        <v>26416.55</v>
      </c>
      <c r="F46" s="18">
        <f>Table33345678910121613[[#This Row],[Company Panel]]+Table333456789101216[[#This Row],[MTD Company]]</f>
        <v>57969.666666666672</v>
      </c>
      <c r="G46" s="18">
        <f>Table33345678910121613[[#This Row],[Our panel]]+Table333456789101216[[#This Row],[MTD Panel]]</f>
        <v>57969.666666666672</v>
      </c>
      <c r="H46" s="13">
        <f>Table33345678910121613[[#This Row],[Company Panel]]-Table33345678910121613[[#This Row],[Our panel]]</f>
        <v>0</v>
      </c>
      <c r="I46" s="13">
        <f>Table33345678910121613[[#This Row],[MTD Company]]-Table33345678910121613[[#This Row],[MTD Panel]]</f>
        <v>0</v>
      </c>
    </row>
    <row r="47" spans="1:9">
      <c r="A47" s="11" t="str">
        <f>Table333456789101217[[#This Row],[Carrier]]</f>
        <v>Invaded</v>
      </c>
      <c r="B47" s="5" t="str">
        <f>Table333456789101217[[#This Row],[IP]]</f>
        <v>182.67.99.120/80.518.230.410/26.847.95.107/188.12.67.92</v>
      </c>
      <c r="C47" s="6" t="str">
        <f>Table333456789101217[[#This Row],[Carrier Code]]</f>
        <v>ID</v>
      </c>
      <c r="D47" s="7">
        <v>0</v>
      </c>
      <c r="E47" s="7">
        <v>0</v>
      </c>
      <c r="F47" s="18">
        <f>Table33345678910121613[[#This Row],[Company Panel]]+Table333456789101216[[#This Row],[MTD Company]]</f>
        <v>0</v>
      </c>
      <c r="G47" s="18">
        <f>Table33345678910121613[[#This Row],[Our panel]]+Table333456789101216[[#This Row],[MTD Panel]]</f>
        <v>0</v>
      </c>
      <c r="H47" s="13">
        <f>Table33345678910121613[[#This Row],[Company Panel]]-Table33345678910121613[[#This Row],[Our panel]]</f>
        <v>0</v>
      </c>
      <c r="I47" s="13">
        <f>Table33345678910121613[[#This Row],[MTD Company]]-Table33345678910121613[[#This Row],[MTD Panel]]</f>
        <v>0</v>
      </c>
    </row>
    <row r="48" spans="1:9">
      <c r="A48" s="11" t="str">
        <f>Table333456789101217[[#This Row],[Carrier]]</f>
        <v>Delusion</v>
      </c>
      <c r="B48" s="5" t="str">
        <f>Table333456789101217[[#This Row],[IP]]</f>
        <v>198.51.100.72/69.887.74.738/39.153.110.645</v>
      </c>
      <c r="C48" s="6" t="str">
        <f>Table333456789101217[[#This Row],[Carrier Code]]</f>
        <v>DU</v>
      </c>
      <c r="D48" s="7">
        <v>0</v>
      </c>
      <c r="E48" s="7">
        <v>0</v>
      </c>
      <c r="F48" s="18">
        <f>Table33345678910121613[[#This Row],[Company Panel]]+Table333456789101216[[#This Row],[MTD Company]]</f>
        <v>0</v>
      </c>
      <c r="G48" s="18">
        <f>Table33345678910121613[[#This Row],[Our panel]]+Table333456789101216[[#This Row],[MTD Panel]]</f>
        <v>0</v>
      </c>
      <c r="H48" s="13">
        <f>Table33345678910121613[[#This Row],[Company Panel]]-Table33345678910121613[[#This Row],[Our panel]]</f>
        <v>0</v>
      </c>
      <c r="I48" s="13">
        <f>Table33345678910121613[[#This Row],[MTD Company]]-Table33345678910121613[[#This Row],[MTD Panel]]</f>
        <v>0</v>
      </c>
    </row>
    <row r="49" spans="1:9" ht="15.5">
      <c r="A49" s="14" t="s">
        <v>10</v>
      </c>
      <c r="B49" s="14"/>
      <c r="C49" s="15"/>
      <c r="D49" s="16">
        <f t="shared" ref="D49:I49" si="0">SUM(D3:D48)</f>
        <v>55911.016666666663</v>
      </c>
      <c r="E49" s="16">
        <f t="shared" si="0"/>
        <v>55911.016666666663</v>
      </c>
      <c r="F49" s="16">
        <f t="shared" si="0"/>
        <v>315936.25</v>
      </c>
      <c r="G49" s="16">
        <f t="shared" si="0"/>
        <v>315936.25</v>
      </c>
      <c r="H49" s="16">
        <f t="shared" si="0"/>
        <v>0</v>
      </c>
      <c r="I49" s="16">
        <f t="shared" si="0"/>
        <v>0</v>
      </c>
    </row>
    <row r="52" spans="1:9">
      <c r="E52" s="9"/>
    </row>
  </sheetData>
  <conditionalFormatting sqref="H2:I49">
    <cfRule type="cellIs" dxfId="588" priority="12" operator="lessThan">
      <formula>0</formula>
    </cfRule>
  </conditionalFormatting>
  <conditionalFormatting sqref="I49">
    <cfRule type="cellIs" dxfId="587" priority="6" operator="lessThan">
      <formula>0</formula>
    </cfRule>
  </conditionalFormatting>
  <conditionalFormatting sqref="I3:I49">
    <cfRule type="cellIs" dxfId="586" priority="1" operator="lessThan">
      <formula>0</formula>
    </cfRule>
    <cfRule type="cellIs" dxfId="585" priority="2" operator="lessThan">
      <formula>0</formula>
    </cfRule>
  </conditionalFormatting>
  <hyperlinks>
    <hyperlink ref="E1" location="H!A1" display="Home"/>
    <hyperlink ref="D1" location="'W4 (16May-22 May)'!D1" display="←"/>
    <hyperlink ref="F1" location="'1'!F1" display="→"/>
  </hyperlinks>
  <pageMargins left="0.7" right="0.7" top="0.75" bottom="0.75" header="0.3" footer="0.3"/>
  <pageSetup orientation="portrait" verticalDpi="0" r:id="rId1"/>
  <drawing r:id="rId2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D3" sqref="D3"/>
    </sheetView>
  </sheetViews>
  <sheetFormatPr defaultRowHeight="14.5"/>
  <cols>
    <col min="1" max="1" width="26.7265625" bestFit="1" customWidth="1"/>
    <col min="2" max="2" width="61.453125" bestFit="1" customWidth="1"/>
    <col min="3" max="3" width="10.453125" customWidth="1"/>
    <col min="4" max="9" width="12.7265625" customWidth="1"/>
  </cols>
  <sheetData>
    <row r="1" spans="1:12" ht="18.5">
      <c r="A1" s="23" t="str">
        <f>H!A2</f>
        <v>1st April 2025</v>
      </c>
      <c r="D1" s="51" t="s">
        <v>16</v>
      </c>
      <c r="E1" s="22" t="s">
        <v>9</v>
      </c>
      <c r="F1" s="22" t="s">
        <v>17</v>
      </c>
    </row>
    <row r="2" spans="1:12" ht="31">
      <c r="A2" s="1" t="s">
        <v>0</v>
      </c>
      <c r="B2" s="2" t="s">
        <v>1</v>
      </c>
      <c r="C2" s="2" t="s">
        <v>2</v>
      </c>
      <c r="D2" s="2" t="s">
        <v>3</v>
      </c>
      <c r="E2" s="3" t="s">
        <v>5</v>
      </c>
      <c r="F2" s="3" t="s">
        <v>4</v>
      </c>
      <c r="G2" s="4" t="s">
        <v>6</v>
      </c>
      <c r="H2" s="4" t="s">
        <v>7</v>
      </c>
      <c r="I2" s="3" t="s">
        <v>8</v>
      </c>
    </row>
    <row r="3" spans="1:12">
      <c r="A3" s="11" t="str">
        <f>Table333456789101217[[#This Row],[Carrier]]</f>
        <v>Blaze</v>
      </c>
      <c r="B3" s="5" t="str">
        <f>Table333456789101217[[#This Row],[IP]]</f>
        <v>8.12.34.56/48.163.17.845/60.502.86.203/191.45.28.14</v>
      </c>
      <c r="C3" s="6" t="str">
        <f>Table333456789101217[[#This Row],[Carrier Code]]</f>
        <v>BZ</v>
      </c>
      <c r="D3" s="53">
        <v>0</v>
      </c>
      <c r="E3" s="53">
        <v>0</v>
      </c>
      <c r="F3" s="18">
        <f>Table33[[#This Row],[Company Panel]]</f>
        <v>0</v>
      </c>
      <c r="G3" s="18">
        <f>Table33[[#This Row],[Our Panel]]</f>
        <v>0</v>
      </c>
      <c r="H3" s="13">
        <f>Table33[[#This Row],[Company Panel]]-Table33[[#This Row],[Our Panel]]</f>
        <v>0</v>
      </c>
      <c r="I3" s="13">
        <f>Table33[[#This Row],[MTD Company]]-Table33[[#This Row],[MTD Panel]]</f>
        <v>0</v>
      </c>
    </row>
    <row r="4" spans="1:12">
      <c r="A4" s="11" t="str">
        <f>Table333456789101217[[#This Row],[Carrier]]</f>
        <v>Titan</v>
      </c>
      <c r="B4" s="5" t="str">
        <f>Table333456789101217[[#This Row],[IP]]</f>
        <v>123.45.67.89/123.45.67.93/203.24.101.65</v>
      </c>
      <c r="C4" s="6" t="str">
        <f>Table333456789101217[[#This Row],[Carrier Code]]</f>
        <v>TI</v>
      </c>
      <c r="D4" s="53">
        <v>0.7</v>
      </c>
      <c r="E4" s="53">
        <v>0.7</v>
      </c>
      <c r="F4" s="18">
        <f>Table33[[#This Row],[Company Panel]]</f>
        <v>0.7</v>
      </c>
      <c r="G4" s="18">
        <f>Table33[[#This Row],[Our Panel]]</f>
        <v>0.7</v>
      </c>
      <c r="H4" s="13">
        <f>Table33[[#This Row],[Company Panel]]-Table33[[#This Row],[Our Panel]]</f>
        <v>0</v>
      </c>
      <c r="I4" s="13">
        <f>Table33[[#This Row],[MTD Company]]-Table33[[#This Row],[MTD Panel]]</f>
        <v>0</v>
      </c>
      <c r="L4" s="9"/>
    </row>
    <row r="5" spans="1:12">
      <c r="A5" s="11" t="str">
        <f>Table333456789101217[[#This Row],[Carrier]]</f>
        <v>Hollow</v>
      </c>
      <c r="B5" s="5" t="str">
        <f>Table333456789101217[[#This Row],[IP]]</f>
        <v>204.56.78.100/204.56.57.169/52.94.101.12</v>
      </c>
      <c r="C5" s="6" t="str">
        <f>Table333456789101217[[#This Row],[Carrier Code]]</f>
        <v>HO</v>
      </c>
      <c r="D5" s="53">
        <v>0</v>
      </c>
      <c r="E5" s="53">
        <v>0</v>
      </c>
      <c r="F5" s="18">
        <f>Table33[[#This Row],[Company Panel]]</f>
        <v>0</v>
      </c>
      <c r="G5" s="18">
        <f>Table33[[#This Row],[Our Panel]]</f>
        <v>0</v>
      </c>
      <c r="H5" s="13">
        <f>Table33[[#This Row],[Company Panel]]-Table33[[#This Row],[Our Panel]]</f>
        <v>0</v>
      </c>
      <c r="I5" s="13">
        <f>Table33[[#This Row],[MTD Company]]-Table33[[#This Row],[MTD Panel]]</f>
        <v>0</v>
      </c>
    </row>
    <row r="6" spans="1:12">
      <c r="A6" s="11" t="str">
        <f>Table333456789101217[[#This Row],[Carrier]]</f>
        <v>Prism</v>
      </c>
      <c r="B6" s="5" t="str">
        <f>Table333456789101217[[#This Row],[IP]]</f>
        <v>35.118.22.45/137.63.112.25</v>
      </c>
      <c r="C6" s="6" t="str">
        <f>Table333456789101217[[#This Row],[Carrier Code]]</f>
        <v>PS</v>
      </c>
      <c r="D6" s="53">
        <v>646.70000000000005</v>
      </c>
      <c r="E6" s="53">
        <v>646.70000000000005</v>
      </c>
      <c r="F6" s="18">
        <f>Table33[[#This Row],[Company Panel]]</f>
        <v>646.70000000000005</v>
      </c>
      <c r="G6" s="18">
        <f>Table33[[#This Row],[Our Panel]]</f>
        <v>646.70000000000005</v>
      </c>
      <c r="H6" s="13">
        <f>Table33[[#This Row],[Company Panel]]-Table33[[#This Row],[Our Panel]]</f>
        <v>0</v>
      </c>
      <c r="I6" s="13">
        <f>Table33[[#This Row],[MTD Company]]-Table33[[#This Row],[MTD Panel]]</f>
        <v>0</v>
      </c>
    </row>
    <row r="7" spans="1:12">
      <c r="A7" s="11" t="str">
        <f>Table333456789101217[[#This Row],[Carrier]]</f>
        <v>Echo</v>
      </c>
      <c r="B7" s="5" t="str">
        <f>Table333456789101217[[#This Row],[IP]]</f>
        <v>66.89.101.10/66.89.101.19/66.89.101.23/66.89.101.45/66.89.101.81/85.21.34.99</v>
      </c>
      <c r="C7" s="6" t="str">
        <f>Table333456789101217[[#This Row],[Carrier Code]]</f>
        <v>EC</v>
      </c>
      <c r="D7" s="53">
        <v>0.53333333333333333</v>
      </c>
      <c r="E7" s="53">
        <v>0.53333333333333333</v>
      </c>
      <c r="F7" s="18">
        <f>Table33[[#This Row],[Company Panel]]</f>
        <v>0.53333333333333333</v>
      </c>
      <c r="G7" s="18">
        <f>Table33[[#This Row],[Our Panel]]</f>
        <v>0.53333333333333333</v>
      </c>
      <c r="H7" s="13">
        <f>Table33[[#This Row],[Company Panel]]-Table33[[#This Row],[Our Panel]]</f>
        <v>0</v>
      </c>
      <c r="I7" s="13">
        <f>Table33[[#This Row],[MTD Company]]-Table33[[#This Row],[MTD Panel]]</f>
        <v>0</v>
      </c>
    </row>
    <row r="8" spans="1:12">
      <c r="A8" s="11" t="str">
        <f>Table333456789101217[[#This Row],[Carrier]]</f>
        <v>Strike</v>
      </c>
      <c r="B8" s="5" t="str">
        <f>Table333456789101217[[#This Row],[IP]]</f>
        <v>100.200.150.3/100.200.165.38/41.102.90.78</v>
      </c>
      <c r="C8" s="6" t="str">
        <f>Table333456789101217[[#This Row],[Carrier Code]]</f>
        <v>ST</v>
      </c>
      <c r="D8" s="53">
        <v>96.566666666666663</v>
      </c>
      <c r="E8" s="53">
        <v>96.566666666666663</v>
      </c>
      <c r="F8" s="18">
        <f>Table33[[#This Row],[Company Panel]]</f>
        <v>96.566666666666663</v>
      </c>
      <c r="G8" s="18">
        <f>Table33[[#This Row],[Our Panel]]</f>
        <v>96.566666666666663</v>
      </c>
      <c r="H8" s="13">
        <f>Table33[[#This Row],[Company Panel]]-Table33[[#This Row],[Our Panel]]</f>
        <v>0</v>
      </c>
      <c r="I8" s="13">
        <f>Table33[[#This Row],[MTD Company]]-Table33[[#This Row],[MTD Panel]]</f>
        <v>0</v>
      </c>
      <c r="L8" s="9"/>
    </row>
    <row r="9" spans="1:12">
      <c r="A9" s="11" t="str">
        <f>Table333456789101217[[#This Row],[Carrier]]</f>
        <v>Blunt</v>
      </c>
      <c r="B9" s="5" t="str">
        <f>Table333456789101217[[#This Row],[IP]]</f>
        <v>52.28.191.25/52.28.191.38/52.28.191.24/61.110.23.45</v>
      </c>
      <c r="C9" s="6" t="str">
        <f>Table333456789101217[[#This Row],[Carrier Code]]</f>
        <v>BL</v>
      </c>
      <c r="D9" s="53">
        <v>57.283333333333331</v>
      </c>
      <c r="E9" s="53">
        <v>57.283333333333331</v>
      </c>
      <c r="F9" s="18">
        <f>Table33[[#This Row],[Company Panel]]</f>
        <v>57.283333333333331</v>
      </c>
      <c r="G9" s="18">
        <f>Table33[[#This Row],[Our Panel]]</f>
        <v>57.283333333333331</v>
      </c>
      <c r="H9" s="13">
        <f>Table33[[#This Row],[Company Panel]]-Table33[[#This Row],[Our Panel]]</f>
        <v>0</v>
      </c>
      <c r="I9" s="13">
        <f>Table33[[#This Row],[MTD Company]]-Table33[[#This Row],[MTD Panel]]</f>
        <v>0</v>
      </c>
    </row>
    <row r="10" spans="1:12">
      <c r="A10" s="11" t="str">
        <f>Table333456789101217[[#This Row],[Carrier]]</f>
        <v>Law</v>
      </c>
      <c r="B10" s="5" t="str">
        <f>Table333456789101217[[#This Row],[IP]]</f>
        <v>77.88.99.21/77.88.99.88/77.88.99.94/110.56.211.7</v>
      </c>
      <c r="C10" s="6" t="str">
        <f>Table333456789101217[[#This Row],[Carrier Code]]</f>
        <v>LA</v>
      </c>
      <c r="D10" s="53">
        <v>0</v>
      </c>
      <c r="E10" s="53">
        <v>0</v>
      </c>
      <c r="F10" s="18">
        <f>Table33[[#This Row],[Company Panel]]</f>
        <v>0</v>
      </c>
      <c r="G10" s="18">
        <f>Table33[[#This Row],[Our Panel]]</f>
        <v>0</v>
      </c>
      <c r="H10" s="13">
        <f>Table33[[#This Row],[Company Panel]]-Table33[[#This Row],[Our Panel]]</f>
        <v>0</v>
      </c>
      <c r="I10" s="13">
        <f>Table33[[#This Row],[MTD Company]]-Table33[[#This Row],[MTD Panel]]</f>
        <v>0</v>
      </c>
    </row>
    <row r="11" spans="1:12">
      <c r="A11" s="11" t="str">
        <f>Table333456789101217[[#This Row],[Carrier]]</f>
        <v>Pulse</v>
      </c>
      <c r="B11" s="5" t="str">
        <f>Table333456789101217[[#This Row],[IP]]</f>
        <v>198.51.100.130/31.725.16.608/66.59.61.503/167.34.122.90</v>
      </c>
      <c r="C11" s="6" t="str">
        <f>Table333456789101217[[#This Row],[Carrier Code]]</f>
        <v>PU</v>
      </c>
      <c r="D11" s="53">
        <v>0</v>
      </c>
      <c r="E11" s="53">
        <v>0</v>
      </c>
      <c r="F11" s="18">
        <f>Table33[[#This Row],[Company Panel]]</f>
        <v>0</v>
      </c>
      <c r="G11" s="18">
        <f>Table33[[#This Row],[Our Panel]]</f>
        <v>0</v>
      </c>
      <c r="H11" s="13">
        <f>Table33[[#This Row],[Company Panel]]-Table33[[#This Row],[Our Panel]]</f>
        <v>0</v>
      </c>
      <c r="I11" s="13">
        <f>Table33[[#This Row],[MTD Company]]-Table33[[#This Row],[MTD Panel]]</f>
        <v>0</v>
      </c>
    </row>
    <row r="12" spans="1:12">
      <c r="A12" s="11" t="str">
        <f>Table333456789101217[[#This Row],[Carrier]]</f>
        <v>Phantom</v>
      </c>
      <c r="B12" s="5" t="str">
        <f>Table333456789101217[[#This Row],[IP]]</f>
        <v>141.15.210.67/141.15.42.82/179.62.211.4</v>
      </c>
      <c r="C12" s="6" t="str">
        <f>Table333456789101217[[#This Row],[Carrier Code]]</f>
        <v>PH</v>
      </c>
      <c r="D12" s="53">
        <v>6.5166666666666666</v>
      </c>
      <c r="E12" s="53">
        <v>6.5166666666666666</v>
      </c>
      <c r="F12" s="18">
        <f>Table33[[#This Row],[Company Panel]]</f>
        <v>6.5166666666666666</v>
      </c>
      <c r="G12" s="18">
        <f>Table33[[#This Row],[Our Panel]]</f>
        <v>6.5166666666666666</v>
      </c>
      <c r="H12" s="13">
        <f>Table33[[#This Row],[Company Panel]]-Table33[[#This Row],[Our Panel]]</f>
        <v>0</v>
      </c>
      <c r="I12" s="13">
        <f>Table33[[#This Row],[MTD Company]]-Table33[[#This Row],[MTD Panel]]</f>
        <v>0</v>
      </c>
    </row>
    <row r="13" spans="1:12">
      <c r="A13" s="11" t="str">
        <f>Table333456789101217[[#This Row],[Carrier]]</f>
        <v>Dragon</v>
      </c>
      <c r="B13" s="5" t="str">
        <f>Table333456789101217[[#This Row],[IP]]</f>
        <v>12.34.56.78/12.34.56.128/200.180.245.18</v>
      </c>
      <c r="C13" s="6" t="str">
        <f>Table333456789101217[[#This Row],[Carrier Code]]</f>
        <v>DG</v>
      </c>
      <c r="D13" s="53">
        <v>0</v>
      </c>
      <c r="E13" s="53">
        <v>0</v>
      </c>
      <c r="F13" s="18">
        <f>Table33[[#This Row],[Company Panel]]</f>
        <v>0</v>
      </c>
      <c r="G13" s="18">
        <f>Table33[[#This Row],[Our Panel]]</f>
        <v>0</v>
      </c>
      <c r="H13" s="13">
        <f>Table33[[#This Row],[Company Panel]]-Table33[[#This Row],[Our Panel]]</f>
        <v>0</v>
      </c>
      <c r="I13" s="13">
        <f>Table33[[#This Row],[MTD Company]]-Table33[[#This Row],[MTD Panel]]</f>
        <v>0</v>
      </c>
    </row>
    <row r="14" spans="1:12">
      <c r="A14" s="11" t="str">
        <f>Table333456789101217[[#This Row],[Carrier]]</f>
        <v>Tempest</v>
      </c>
      <c r="B14" s="5" t="str">
        <f>Table333456789101217[[#This Row],[IP]]</f>
        <v>59.144.223.88/55.39.99.60</v>
      </c>
      <c r="C14" s="6" t="str">
        <f>Table333456789101217[[#This Row],[Carrier Code]]</f>
        <v>TE</v>
      </c>
      <c r="D14" s="53">
        <v>0</v>
      </c>
      <c r="E14" s="53">
        <v>0</v>
      </c>
      <c r="F14" s="18">
        <f>Table33[[#This Row],[Company Panel]]</f>
        <v>0</v>
      </c>
      <c r="G14" s="18">
        <f>Table33[[#This Row],[Our Panel]]</f>
        <v>0</v>
      </c>
      <c r="H14" s="13">
        <f>Table33[[#This Row],[Company Panel]]-Table33[[#This Row],[Our Panel]]</f>
        <v>0</v>
      </c>
      <c r="I14" s="13">
        <f>Table33[[#This Row],[MTD Company]]-Table33[[#This Row],[MTD Panel]]</f>
        <v>0</v>
      </c>
    </row>
    <row r="15" spans="1:12">
      <c r="A15" s="11" t="str">
        <f>Table333456789101217[[#This Row],[Carrier]]</f>
        <v>Shadow</v>
      </c>
      <c r="B15" s="5" t="str">
        <f>Table333456789101217[[#This Row],[IP]]</f>
        <v>175.45.112.100/25.851.31.153/39.80.220.100</v>
      </c>
      <c r="C15" s="6" t="str">
        <f>Table333456789101217[[#This Row],[Carrier Code]]</f>
        <v>SH</v>
      </c>
      <c r="D15" s="53">
        <v>0</v>
      </c>
      <c r="E15" s="53">
        <v>0</v>
      </c>
      <c r="F15" s="18">
        <f>Table33[[#This Row],[Company Panel]]</f>
        <v>0</v>
      </c>
      <c r="G15" s="18">
        <f>Table33[[#This Row],[Our Panel]]</f>
        <v>0</v>
      </c>
      <c r="H15" s="13">
        <f>Table33[[#This Row],[Company Panel]]-Table33[[#This Row],[Our Panel]]</f>
        <v>0</v>
      </c>
      <c r="I15" s="13">
        <f>Table33[[#This Row],[MTD Company]]-Table33[[#This Row],[MTD Panel]]</f>
        <v>0</v>
      </c>
    </row>
    <row r="16" spans="1:12">
      <c r="A16" s="11" t="str">
        <f>Table333456789101217[[#This Row],[Carrier]]</f>
        <v>Cyclone</v>
      </c>
      <c r="B16" s="5" t="str">
        <f>Table333456789101217[[#This Row],[IP]]</f>
        <v>150.13.75.190/16.160.89.512/72.11.97.34</v>
      </c>
      <c r="C16" s="6" t="str">
        <f>Table333456789101217[[#This Row],[Carrier Code]]</f>
        <v>CY</v>
      </c>
      <c r="D16" s="53">
        <v>0</v>
      </c>
      <c r="E16" s="53">
        <v>0</v>
      </c>
      <c r="F16" s="18">
        <f>Table33[[#This Row],[Company Panel]]</f>
        <v>0</v>
      </c>
      <c r="G16" s="18">
        <f>Table33[[#This Row],[Our Panel]]</f>
        <v>0</v>
      </c>
      <c r="H16" s="13">
        <f>Table33[[#This Row],[Company Panel]]-Table33[[#This Row],[Our Panel]]</f>
        <v>0</v>
      </c>
      <c r="I16" s="13">
        <f>Table33[[#This Row],[MTD Company]]-Table33[[#This Row],[MTD Panel]]</f>
        <v>0</v>
      </c>
    </row>
    <row r="17" spans="1:9">
      <c r="A17" s="11" t="str">
        <f>Table333456789101217[[#This Row],[Carrier]]</f>
        <v>Reaver</v>
      </c>
      <c r="B17" s="5" t="str">
        <f>Table333456789101217[[#This Row],[IP]]</f>
        <v>203.0.113.44/188.17.56.210</v>
      </c>
      <c r="C17" s="6" t="str">
        <f>Table333456789101217[[#This Row],[Carrier Code]]</f>
        <v>RE</v>
      </c>
      <c r="D17" s="53">
        <v>0</v>
      </c>
      <c r="E17" s="53">
        <v>0</v>
      </c>
      <c r="F17" s="18">
        <f>Table33[[#This Row],[Company Panel]]</f>
        <v>0</v>
      </c>
      <c r="G17" s="18">
        <f>Table33[[#This Row],[Our Panel]]</f>
        <v>0</v>
      </c>
      <c r="H17" s="13">
        <f>Table33[[#This Row],[Company Panel]]-Table33[[#This Row],[Our Panel]]</f>
        <v>0</v>
      </c>
      <c r="I17" s="13">
        <f>Table33[[#This Row],[MTD Company]]-Table33[[#This Row],[MTD Panel]]</f>
        <v>0</v>
      </c>
    </row>
    <row r="18" spans="1:9">
      <c r="A18" s="11" t="str">
        <f>Table333456789101217[[#This Row],[Carrier]]</f>
        <v>Forge</v>
      </c>
      <c r="B18" s="5" t="str">
        <f>Table333456789101217[[#This Row],[IP]]</f>
        <v>112.54.89.168/112.54.89.138</v>
      </c>
      <c r="C18" s="6" t="str">
        <f>Table333456789101217[[#This Row],[Carrier Code]]</f>
        <v>FO</v>
      </c>
      <c r="D18" s="53">
        <v>17.8</v>
      </c>
      <c r="E18" s="53">
        <v>17.8</v>
      </c>
      <c r="F18" s="18">
        <f>Table33[[#This Row],[Company Panel]]</f>
        <v>17.8</v>
      </c>
      <c r="G18" s="18">
        <f>Table33[[#This Row],[Our Panel]]</f>
        <v>17.8</v>
      </c>
      <c r="H18" s="13">
        <f>Table33[[#This Row],[Company Panel]]-Table33[[#This Row],[Our Panel]]</f>
        <v>0</v>
      </c>
      <c r="I18" s="13">
        <f>Table33[[#This Row],[MTD Company]]-Table33[[#This Row],[MTD Panel]]</f>
        <v>0</v>
      </c>
    </row>
    <row r="19" spans="1:9">
      <c r="A19" s="11" t="str">
        <f>Table333456789101217[[#This Row],[Carrier]]</f>
        <v>Ember</v>
      </c>
      <c r="B19" s="5" t="str">
        <f>Table333456789101217[[#This Row],[IP]]</f>
        <v>78.34.90.24/328.56.122.44/142.150.75.22</v>
      </c>
      <c r="C19" s="6" t="str">
        <f>Table333456789101217[[#This Row],[Carrier Code]]</f>
        <v>EM</v>
      </c>
      <c r="D19" s="53">
        <v>0</v>
      </c>
      <c r="E19" s="53">
        <v>0</v>
      </c>
      <c r="F19" s="18">
        <f>Table33[[#This Row],[Company Panel]]</f>
        <v>0</v>
      </c>
      <c r="G19" s="18">
        <f>Table33[[#This Row],[Our Panel]]</f>
        <v>0</v>
      </c>
      <c r="H19" s="13">
        <f>Table33[[#This Row],[Company Panel]]-Table33[[#This Row],[Our Panel]]</f>
        <v>0</v>
      </c>
      <c r="I19" s="13">
        <f>Table33[[#This Row],[MTD Company]]-Table33[[#This Row],[MTD Panel]]</f>
        <v>0</v>
      </c>
    </row>
    <row r="20" spans="1:9">
      <c r="A20" s="11" t="str">
        <f>Table333456789101217[[#This Row],[Carrier]]</f>
        <v>Specter</v>
      </c>
      <c r="B20" s="5" t="str">
        <f>Table333456789101217[[#This Row],[IP]]</f>
        <v>205.60.34.150</v>
      </c>
      <c r="C20" s="6" t="str">
        <f>Table333456789101217[[#This Row],[Carrier Code]]</f>
        <v>SP</v>
      </c>
      <c r="D20" s="53">
        <v>0.6</v>
      </c>
      <c r="E20" s="53">
        <v>0.6</v>
      </c>
      <c r="F20" s="18">
        <f>Table33[[#This Row],[Company Panel]]</f>
        <v>0.6</v>
      </c>
      <c r="G20" s="18">
        <f>Table33[[#This Row],[Our Panel]]</f>
        <v>0.6</v>
      </c>
      <c r="H20" s="13">
        <f>Table33[[#This Row],[Company Panel]]-Table33[[#This Row],[Our Panel]]</f>
        <v>0</v>
      </c>
      <c r="I20" s="13">
        <f>Table33[[#This Row],[MTD Company]]-Table33[[#This Row],[MTD Panel]]</f>
        <v>0</v>
      </c>
    </row>
    <row r="21" spans="1:9">
      <c r="A21" s="11" t="str">
        <f>Table333456789101217[[#This Row],[Carrier]]</f>
        <v>Throne</v>
      </c>
      <c r="B21" s="5" t="str">
        <f>Table333456789101217[[#This Row],[IP]]</f>
        <v>54.32.11.90/27.758.27.201/125.150.58.20</v>
      </c>
      <c r="C21" s="6" t="str">
        <f>Table333456789101217[[#This Row],[Carrier Code]]</f>
        <v>TH</v>
      </c>
      <c r="D21" s="53">
        <v>0</v>
      </c>
      <c r="E21" s="53">
        <v>0</v>
      </c>
      <c r="F21" s="18">
        <f>Table33[[#This Row],[Company Panel]]</f>
        <v>0</v>
      </c>
      <c r="G21" s="18">
        <f>Table33[[#This Row],[Our Panel]]</f>
        <v>0</v>
      </c>
      <c r="H21" s="13">
        <f>Table33[[#This Row],[Company Panel]]-Table33[[#This Row],[Our Panel]]</f>
        <v>0</v>
      </c>
      <c r="I21" s="13">
        <f>Table33[[#This Row],[MTD Company]]-Table33[[#This Row],[MTD Panel]]</f>
        <v>0</v>
      </c>
    </row>
    <row r="22" spans="1:9">
      <c r="A22" s="11" t="str">
        <f>Table333456789101217[[#This Row],[Carrier]]</f>
        <v>Arcane</v>
      </c>
      <c r="B22" s="5" t="str">
        <f>Table333456789101217[[#This Row],[IP]]</f>
        <v>212.100.25.78/212.100.25.87</v>
      </c>
      <c r="C22" s="6" t="str">
        <f>Table333456789101217[[#This Row],[Carrier Code]]</f>
        <v>AR</v>
      </c>
      <c r="D22" s="53">
        <v>0</v>
      </c>
      <c r="E22" s="53">
        <v>0</v>
      </c>
      <c r="F22" s="18">
        <f>Table33[[#This Row],[Company Panel]]</f>
        <v>0</v>
      </c>
      <c r="G22" s="18">
        <f>Table33[[#This Row],[Our Panel]]</f>
        <v>0</v>
      </c>
      <c r="H22" s="13">
        <f>Table33[[#This Row],[Company Panel]]-Table33[[#This Row],[Our Panel]]</f>
        <v>0</v>
      </c>
      <c r="I22" s="13">
        <f>Table33[[#This Row],[MTD Company]]-Table33[[#This Row],[MTD Panel]]</f>
        <v>0</v>
      </c>
    </row>
    <row r="23" spans="1:9">
      <c r="A23" s="11" t="str">
        <f>Table333456789101217[[#This Row],[Carrier]]</f>
        <v>Glitch</v>
      </c>
      <c r="B23" s="5" t="str">
        <f>Table333456789101217[[#This Row],[IP]]</f>
        <v>198.204.100.12/198.204.100.34/198.204.100.51</v>
      </c>
      <c r="C23" s="6" t="str">
        <f>Table333456789101217[[#This Row],[Carrier Code]]</f>
        <v>GL</v>
      </c>
      <c r="D23" s="53">
        <v>0</v>
      </c>
      <c r="E23" s="53">
        <v>0</v>
      </c>
      <c r="F23" s="18">
        <f>Table33[[#This Row],[Company Panel]]</f>
        <v>0</v>
      </c>
      <c r="G23" s="18">
        <f>Table33[[#This Row],[Our Panel]]</f>
        <v>0</v>
      </c>
      <c r="H23" s="13">
        <f>Table33[[#This Row],[Company Panel]]-Table33[[#This Row],[Our Panel]]</f>
        <v>0</v>
      </c>
      <c r="I23" s="13">
        <f>Table33[[#This Row],[MTD Company]]-Table33[[#This Row],[MTD Panel]]</f>
        <v>0</v>
      </c>
    </row>
    <row r="24" spans="1:9">
      <c r="A24" s="11" t="str">
        <f>Table333456789101217[[#This Row],[Carrier]]</f>
        <v>Nitro</v>
      </c>
      <c r="B24" s="5" t="str">
        <f>Table333456789101217[[#This Row],[IP]]</f>
        <v>15.150.200.33/119.82.200.100</v>
      </c>
      <c r="C24" s="6" t="str">
        <f>Table333456789101217[[#This Row],[Carrier Code]]</f>
        <v>NI</v>
      </c>
      <c r="D24" s="53">
        <v>0</v>
      </c>
      <c r="E24" s="53">
        <v>0</v>
      </c>
      <c r="F24" s="18">
        <f>Table33[[#This Row],[Company Panel]]</f>
        <v>0</v>
      </c>
      <c r="G24" s="18">
        <f>Table33[[#This Row],[Our Panel]]</f>
        <v>0</v>
      </c>
      <c r="H24" s="13">
        <f>Table33[[#This Row],[Company Panel]]-Table33[[#This Row],[Our Panel]]</f>
        <v>0</v>
      </c>
      <c r="I24" s="13">
        <f>Table33[[#This Row],[MTD Company]]-Table33[[#This Row],[MTD Panel]]</f>
        <v>0</v>
      </c>
    </row>
    <row r="25" spans="1:9">
      <c r="A25" s="11" t="str">
        <f>Table333456789101217[[#This Row],[Carrier]]</f>
        <v>Drip</v>
      </c>
      <c r="B25" s="5" t="str">
        <f>Table333456789101217[[#This Row],[IP]]</f>
        <v>84.13.76.190/90.945.80.11/198.160.234.5</v>
      </c>
      <c r="C25" s="6" t="str">
        <f>Table333456789101217[[#This Row],[Carrier Code]]</f>
        <v>DR</v>
      </c>
      <c r="D25" s="53">
        <v>0</v>
      </c>
      <c r="E25" s="53">
        <v>0</v>
      </c>
      <c r="F25" s="18">
        <f>Table33[[#This Row],[Company Panel]]</f>
        <v>0</v>
      </c>
      <c r="G25" s="18">
        <f>Table33[[#This Row],[Our Panel]]</f>
        <v>0</v>
      </c>
      <c r="H25" s="13">
        <f>Table33[[#This Row],[Company Panel]]-Table33[[#This Row],[Our Panel]]</f>
        <v>0</v>
      </c>
      <c r="I25" s="13">
        <f>Table33[[#This Row],[MTD Company]]-Table33[[#This Row],[MTD Panel]]</f>
        <v>0</v>
      </c>
    </row>
    <row r="26" spans="1:9">
      <c r="A26" s="11" t="str">
        <f>Table333456789101217[[#This Row],[Carrier]]</f>
        <v>Glide</v>
      </c>
      <c r="B26" s="5" t="str">
        <f>Table333456789101217[[#This Row],[IP]]</f>
        <v>120.45.12.25/85.739.221.80/85.739.221.93</v>
      </c>
      <c r="C26" s="6" t="str">
        <f>Table333456789101217[[#This Row],[Carrier Code]]</f>
        <v>GI</v>
      </c>
      <c r="D26" s="53">
        <v>0</v>
      </c>
      <c r="E26" s="53">
        <v>0</v>
      </c>
      <c r="F26" s="18">
        <f>Table33[[#This Row],[Company Panel]]</f>
        <v>0</v>
      </c>
      <c r="G26" s="18">
        <f>Table33[[#This Row],[Our Panel]]</f>
        <v>0</v>
      </c>
      <c r="H26" s="13">
        <f>Table33[[#This Row],[Company Panel]]-Table33[[#This Row],[Our Panel]]</f>
        <v>0</v>
      </c>
      <c r="I26" s="13">
        <f>Table33[[#This Row],[MTD Company]]-Table33[[#This Row],[MTD Panel]]</f>
        <v>0</v>
      </c>
    </row>
    <row r="27" spans="1:9">
      <c r="A27" s="11" t="str">
        <f>Table333456789101217[[#This Row],[Carrier]]</f>
        <v>Orbit</v>
      </c>
      <c r="B27" s="5" t="str">
        <f>Table333456789101217[[#This Row],[IP]]</f>
        <v>176.98.54.112/60.110.154.91/60.110.155.162</v>
      </c>
      <c r="C27" s="6" t="str">
        <f>Table333456789101217[[#This Row],[Carrier Code]]</f>
        <v>OR</v>
      </c>
      <c r="D27" s="53">
        <v>0</v>
      </c>
      <c r="E27" s="53">
        <v>0</v>
      </c>
      <c r="F27" s="18">
        <f>Table33[[#This Row],[Company Panel]]</f>
        <v>0</v>
      </c>
      <c r="G27" s="18">
        <f>Table33[[#This Row],[Our Panel]]</f>
        <v>0</v>
      </c>
      <c r="H27" s="13">
        <f>Table33[[#This Row],[Company Panel]]-Table33[[#This Row],[Our Panel]]</f>
        <v>0</v>
      </c>
      <c r="I27" s="13">
        <f>Table33[[#This Row],[MTD Company]]-Table33[[#This Row],[MTD Panel]]</f>
        <v>0</v>
      </c>
    </row>
    <row r="28" spans="1:9">
      <c r="A28" s="11" t="str">
        <f>Table333456789101217[[#This Row],[Carrier]]</f>
        <v>Thunder</v>
      </c>
      <c r="B28" s="5" t="str">
        <f>Table333456789101217[[#This Row],[IP]]</f>
        <v>67.102.200.9/81.905.48.847/143.235.100.34</v>
      </c>
      <c r="C28" s="6" t="str">
        <f>Table333456789101217[[#This Row],[Carrier Code]]</f>
        <v>TU</v>
      </c>
      <c r="D28" s="53">
        <v>15.083333333333334</v>
      </c>
      <c r="E28" s="53">
        <v>15.083333333333334</v>
      </c>
      <c r="F28" s="18">
        <f>Table33[[#This Row],[Company Panel]]</f>
        <v>15.083333333333334</v>
      </c>
      <c r="G28" s="18">
        <f>Table33[[#This Row],[Our Panel]]</f>
        <v>15.083333333333334</v>
      </c>
      <c r="H28" s="13">
        <f>Table33[[#This Row],[Company Panel]]-Table33[[#This Row],[Our Panel]]</f>
        <v>0</v>
      </c>
      <c r="I28" s="13">
        <f>Table33[[#This Row],[MTD Company]]-Table33[[#This Row],[MTD Panel]]</f>
        <v>0</v>
      </c>
    </row>
    <row r="29" spans="1:9">
      <c r="A29" s="11" t="str">
        <f>Table333456789101217[[#This Row],[Carrier]]</f>
        <v>Glimmer</v>
      </c>
      <c r="B29" s="5" t="str">
        <f>Table333456789101217[[#This Row],[IP]]</f>
        <v>99.22.211.100/71.54.85.344/71.54.85.218</v>
      </c>
      <c r="C29" s="6" t="str">
        <f>Table333456789101217[[#This Row],[Carrier Code]]</f>
        <v>GM</v>
      </c>
      <c r="D29" s="53">
        <v>0</v>
      </c>
      <c r="E29" s="53">
        <v>0</v>
      </c>
      <c r="F29" s="18">
        <f>Table33[[#This Row],[Company Panel]]</f>
        <v>0</v>
      </c>
      <c r="G29" s="18">
        <f>Table33[[#This Row],[Our Panel]]</f>
        <v>0</v>
      </c>
      <c r="H29" s="13">
        <f>Table33[[#This Row],[Company Panel]]-Table33[[#This Row],[Our Panel]]</f>
        <v>0</v>
      </c>
      <c r="I29" s="13">
        <f>Table33[[#This Row],[MTD Company]]-Table33[[#This Row],[MTD Panel]]</f>
        <v>0</v>
      </c>
    </row>
    <row r="30" spans="1:9">
      <c r="A30" s="11" t="str">
        <f>Table333456789101217[[#This Row],[Carrier]]</f>
        <v>Fragment</v>
      </c>
      <c r="B30" s="5" t="str">
        <f>Table333456789101217[[#This Row],[IP]]</f>
        <v>203.0.113.56/195.56.101.10</v>
      </c>
      <c r="C30" s="6" t="str">
        <f>Table333456789101217[[#This Row],[Carrier Code]]</f>
        <v>FR</v>
      </c>
      <c r="D30" s="53">
        <v>0</v>
      </c>
      <c r="E30" s="53">
        <v>0</v>
      </c>
      <c r="F30" s="18">
        <f>Table33[[#This Row],[Company Panel]]</f>
        <v>0</v>
      </c>
      <c r="G30" s="18">
        <f>Table33[[#This Row],[Our Panel]]</f>
        <v>0</v>
      </c>
      <c r="H30" s="13">
        <f>Table33[[#This Row],[Company Panel]]-Table33[[#This Row],[Our Panel]]</f>
        <v>0</v>
      </c>
      <c r="I30" s="13">
        <f>Table33[[#This Row],[MTD Company]]-Table33[[#This Row],[MTD Panel]]</f>
        <v>0</v>
      </c>
    </row>
    <row r="31" spans="1:9">
      <c r="A31" s="11" t="str">
        <f>Table333456789101217[[#This Row],[Carrier]]</f>
        <v>Dusk</v>
      </c>
      <c r="B31" s="5" t="str">
        <f>Table333456789101217[[#This Row],[IP]]</f>
        <v>33.44.55.66/33.44.55.84/33.44.55.122/214.68.90.122</v>
      </c>
      <c r="C31" s="6" t="str">
        <f>Table333456789101217[[#This Row],[Carrier Code]]</f>
        <v>DK</v>
      </c>
      <c r="D31" s="53">
        <v>0</v>
      </c>
      <c r="E31" s="53">
        <v>0</v>
      </c>
      <c r="F31" s="55">
        <f>Table33[[#This Row],[Company Panel]]</f>
        <v>0</v>
      </c>
      <c r="G31" s="18">
        <f>Table33[[#This Row],[Our Panel]]</f>
        <v>0</v>
      </c>
      <c r="H31" s="56">
        <f>Table33[[#This Row],[Company Panel]]-Table33[[#This Row],[Our Panel]]</f>
        <v>0</v>
      </c>
      <c r="I31" s="13">
        <f>Table33[[#This Row],[MTD Company]]-Table33[[#This Row],[MTD Panel]]</f>
        <v>0</v>
      </c>
    </row>
    <row r="32" spans="1:9">
      <c r="A32" s="11" t="str">
        <f>Table333456789101217[[#This Row],[Carrier]]</f>
        <v>Breeze</v>
      </c>
      <c r="B32" s="5" t="str">
        <f>Table333456789101217[[#This Row],[IP]]</f>
        <v>199.123.87.45/199.123.34.52/77.189.22.56</v>
      </c>
      <c r="C32" s="6" t="str">
        <f>Table333456789101217[[#This Row],[Carrier Code]]</f>
        <v>BR</v>
      </c>
      <c r="D32" s="53">
        <v>0</v>
      </c>
      <c r="E32" s="53">
        <v>0</v>
      </c>
      <c r="F32" s="55">
        <f>Table33[[#This Row],[Company Panel]]</f>
        <v>0</v>
      </c>
      <c r="G32" s="18">
        <f>Table33[[#This Row],[Our Panel]]</f>
        <v>0</v>
      </c>
      <c r="H32" s="56">
        <f>Table33[[#This Row],[Company Panel]]-Table33[[#This Row],[Our Panel]]</f>
        <v>0</v>
      </c>
      <c r="I32" s="13">
        <f>Table33[[#This Row],[MTD Company]]-Table33[[#This Row],[MTD Panel]]</f>
        <v>0</v>
      </c>
    </row>
    <row r="33" spans="1:9">
      <c r="A33" s="11" t="str">
        <f>Table333456789101217[[#This Row],[Carrier]]</f>
        <v>Clutch</v>
      </c>
      <c r="B33" s="5" t="str">
        <f>Table333456789101217[[#This Row],[IP]]</f>
        <v>55.66.77.88/84.126.79.28/152.233.45.11</v>
      </c>
      <c r="C33" s="6" t="str">
        <f>Table333456789101217[[#This Row],[Carrier Code]]</f>
        <v>CL</v>
      </c>
      <c r="D33" s="53">
        <v>0</v>
      </c>
      <c r="E33" s="53">
        <v>0</v>
      </c>
      <c r="F33" s="55">
        <f>Table33[[#This Row],[Company Panel]]</f>
        <v>0</v>
      </c>
      <c r="G33" s="18">
        <f>Table33[[#This Row],[Our Panel]]</f>
        <v>0</v>
      </c>
      <c r="H33" s="58">
        <f>Table33[[#This Row],[Company Panel]]-Table33[[#This Row],[Our Panel]]</f>
        <v>0</v>
      </c>
      <c r="I33" s="59">
        <f>Table33[[#This Row],[MTD Company]]-Table33[[#This Row],[MTD Panel]]</f>
        <v>0</v>
      </c>
    </row>
    <row r="34" spans="1:9">
      <c r="A34" s="11" t="str">
        <f>Table333456789101217[[#This Row],[Carrier]]</f>
        <v>Haze</v>
      </c>
      <c r="B34" s="5" t="str">
        <f>Table333456789101217[[#This Row],[IP]]</f>
        <v>230.111.44.56</v>
      </c>
      <c r="C34" s="6" t="str">
        <f>Table333456789101217[[#This Row],[Carrier Code]]</f>
        <v>HZ</v>
      </c>
      <c r="D34" s="53">
        <v>0</v>
      </c>
      <c r="E34" s="53">
        <v>0</v>
      </c>
      <c r="F34" s="55">
        <f>Table33[[#This Row],[Company Panel]]</f>
        <v>0</v>
      </c>
      <c r="G34" s="18">
        <f>Table33[[#This Row],[Our Panel]]</f>
        <v>0</v>
      </c>
      <c r="H34" s="64">
        <f>Table33[[#This Row],[Company Panel]]-Table33[[#This Row],[Our Panel]]</f>
        <v>0</v>
      </c>
      <c r="I34" s="63">
        <f>Table33[[#This Row],[MTD Company]]-Table33[[#This Row],[MTD Panel]]</f>
        <v>0</v>
      </c>
    </row>
    <row r="35" spans="1:9">
      <c r="A35" s="11" t="str">
        <f>Table333456789101217[[#This Row],[Carrier]]</f>
        <v>Vault</v>
      </c>
      <c r="B35" s="5" t="str">
        <f>Table333456789101217[[#This Row],[IP]]</f>
        <v>213.189.94.5/213.189.94.7/111.180.64.222</v>
      </c>
      <c r="C35" s="6" t="str">
        <f>Table333456789101217[[#This Row],[Carrier Code]]</f>
        <v>VA</v>
      </c>
      <c r="D35" s="53">
        <v>0</v>
      </c>
      <c r="E35" s="53">
        <v>0</v>
      </c>
      <c r="F35" s="55">
        <f>Table33[[#This Row],[Company Panel]]</f>
        <v>0</v>
      </c>
      <c r="G35" s="18">
        <f>Table33[[#This Row],[Our Panel]]</f>
        <v>0</v>
      </c>
      <c r="H35" s="64">
        <f>Table33[[#This Row],[Company Panel]]-Table33[[#This Row],[Our Panel]]</f>
        <v>0</v>
      </c>
      <c r="I35" s="63">
        <f>Table33[[#This Row],[MTD Company]]-Table33[[#This Row],[MTD Panel]]</f>
        <v>0</v>
      </c>
    </row>
    <row r="36" spans="1:9">
      <c r="A36" s="11" t="str">
        <f>Table333456789101217[[#This Row],[Carrier]]</f>
        <v>Scatter</v>
      </c>
      <c r="B36" s="5" t="str">
        <f>Table333456789101217[[#This Row],[IP]]</f>
        <v>14.123.45.67/168.251.90.15</v>
      </c>
      <c r="C36" s="6" t="str">
        <f>Table333456789101217[[#This Row],[Carrier Code]]</f>
        <v>SC</v>
      </c>
      <c r="D36" s="53">
        <v>7.2166666666666668</v>
      </c>
      <c r="E36" s="53">
        <v>7.2166666666666668</v>
      </c>
      <c r="F36" s="55">
        <f>Table33[[#This Row],[Company Panel]]</f>
        <v>7.2166666666666668</v>
      </c>
      <c r="G36" s="18">
        <f>Table33[[#This Row],[Our Panel]]</f>
        <v>7.2166666666666668</v>
      </c>
      <c r="H36" s="56">
        <f>Table33[[#This Row],[Company Panel]]-Table33[[#This Row],[Our Panel]]</f>
        <v>0</v>
      </c>
      <c r="I36" s="13">
        <f>Table33[[#This Row],[MTD Company]]-Table33[[#This Row],[MTD Panel]]</f>
        <v>0</v>
      </c>
    </row>
    <row r="37" spans="1:9">
      <c r="A37" s="11" t="str">
        <f>Table333456789101217[[#This Row],[Carrier]]</f>
        <v>Hammer</v>
      </c>
      <c r="B37" s="5" t="str">
        <f>Table333456789101217[[#This Row],[IP]]</f>
        <v>200.111.78.9/200.111.236.62/200.111.823.89/137.79.48.56</v>
      </c>
      <c r="C37" s="6" t="str">
        <f>Table333456789101217[[#This Row],[Carrier Code]]</f>
        <v>HA</v>
      </c>
      <c r="D37" s="53">
        <v>0</v>
      </c>
      <c r="E37" s="53">
        <v>0</v>
      </c>
      <c r="F37" s="55">
        <f>Table33[[#This Row],[Company Panel]]</f>
        <v>0</v>
      </c>
      <c r="G37" s="18">
        <f>Table33[[#This Row],[Our Panel]]</f>
        <v>0</v>
      </c>
      <c r="H37" s="75">
        <f>Table33[[#This Row],[Company Panel]]-Table33[[#This Row],[Our Panel]]</f>
        <v>0</v>
      </c>
      <c r="I37" s="72">
        <f>Table33[[#This Row],[MTD Company]]-Table33[[#This Row],[MTD Panel]]</f>
        <v>0</v>
      </c>
    </row>
    <row r="38" spans="1:9">
      <c r="A38" s="11" t="str">
        <f>Table333456789101217[[#This Row],[Carrier]]</f>
        <v>Smudge</v>
      </c>
      <c r="B38" s="5" t="str">
        <f>Table333456789101217[[#This Row],[IP]]</f>
        <v>88.99.233.56/54.71.99.234</v>
      </c>
      <c r="C38" s="6" t="str">
        <f>Table333456789101217[[#This Row],[Carrier Code]]</f>
        <v>SM</v>
      </c>
      <c r="D38" s="53">
        <v>6.4666666666666668</v>
      </c>
      <c r="E38" s="53">
        <v>6.4666666666666668</v>
      </c>
      <c r="F38" s="55">
        <f>Table33[[#This Row],[Company Panel]]</f>
        <v>6.4666666666666668</v>
      </c>
      <c r="G38" s="18">
        <f>Table33[[#This Row],[Our Panel]]</f>
        <v>6.4666666666666668</v>
      </c>
      <c r="H38" s="75">
        <f>Table33[[#This Row],[Company Panel]]-Table33[[#This Row],[Our Panel]]</f>
        <v>0</v>
      </c>
      <c r="I38" s="72">
        <f>Table33[[#This Row],[MTD Company]]-Table33[[#This Row],[MTD Panel]]</f>
        <v>0</v>
      </c>
    </row>
    <row r="39" spans="1:9">
      <c r="A39" s="11" t="str">
        <f>Table333456789101217[[#This Row],[Carrier]]</f>
        <v>Quirk</v>
      </c>
      <c r="B39" s="5" t="str">
        <f>Table333456789101217[[#This Row],[IP]]</f>
        <v>62.45.100.31/62.45.100.15/62.45.100.65/211.95.102.6</v>
      </c>
      <c r="C39" s="6" t="str">
        <f>Table333456789101217[[#This Row],[Carrier Code]]</f>
        <v>QU</v>
      </c>
      <c r="D39" s="53">
        <v>1768.5833333333333</v>
      </c>
      <c r="E39" s="53">
        <v>1768.5833333333333</v>
      </c>
      <c r="F39" s="55">
        <f>Table33[[#This Row],[Company Panel]]</f>
        <v>1768.5833333333333</v>
      </c>
      <c r="G39" s="18">
        <f>Table33[[#This Row],[Our Panel]]</f>
        <v>1768.5833333333333</v>
      </c>
      <c r="H39" s="56">
        <f>Table33[[#This Row],[Company Panel]]-Table33[[#This Row],[Our Panel]]</f>
        <v>0</v>
      </c>
      <c r="I39" s="13">
        <f>Table33[[#This Row],[MTD Company]]-Table33[[#This Row],[MTD Panel]]</f>
        <v>0</v>
      </c>
    </row>
    <row r="40" spans="1:9">
      <c r="A40" s="11" t="str">
        <f>Table333456789101217[[#This Row],[Carrier]]</f>
        <v>Vortex</v>
      </c>
      <c r="B40" s="5" t="str">
        <f>Table333456789101217[[#This Row],[IP]]</f>
        <v>179.250.91.8/29.540.67.457/94.25.34.78/183.144.27.18</v>
      </c>
      <c r="C40" s="6" t="str">
        <f>Table333456789101217[[#This Row],[Carrier Code]]</f>
        <v>VT</v>
      </c>
      <c r="D40" s="53">
        <v>0</v>
      </c>
      <c r="E40" s="53">
        <v>0</v>
      </c>
      <c r="F40" s="55">
        <f>Table33[[#This Row],[Company Panel]]</f>
        <v>0</v>
      </c>
      <c r="G40" s="18">
        <f>Table33[[#This Row],[Our Panel]]</f>
        <v>0</v>
      </c>
      <c r="H40" s="56">
        <f>Table33[[#This Row],[Company Panel]]-Table33[[#This Row],[Our Panel]]</f>
        <v>0</v>
      </c>
      <c r="I40" s="13">
        <f>Table33[[#This Row],[MTD Company]]-Table33[[#This Row],[MTD Panel]]</f>
        <v>0</v>
      </c>
    </row>
    <row r="41" spans="1:9">
      <c r="A41" s="11" t="str">
        <f>Table333456789101217[[#This Row],[Carrier]]</f>
        <v>Void</v>
      </c>
      <c r="B41" s="5" t="str">
        <f>Table333456789101217[[#This Row],[IP]]</f>
        <v>156.34.123.11/156.34.123.25/156.34.123.62/92.44.233.110</v>
      </c>
      <c r="C41" s="6" t="str">
        <f>Table333456789101217[[#This Row],[Carrier Code]]</f>
        <v>VO</v>
      </c>
      <c r="D41" s="53">
        <v>59.4</v>
      </c>
      <c r="E41" s="53">
        <v>59.4</v>
      </c>
      <c r="F41" s="55">
        <f>Table33[[#This Row],[Company Panel]]</f>
        <v>59.4</v>
      </c>
      <c r="G41" s="18">
        <f>Table33[[#This Row],[Our Panel]]</f>
        <v>59.4</v>
      </c>
      <c r="H41" s="75">
        <f>Table33[[#This Row],[Company Panel]]-Table33[[#This Row],[Our Panel]]</f>
        <v>0</v>
      </c>
      <c r="I41" s="72">
        <f>Table33[[#This Row],[MTD Company]]-Table33[[#This Row],[MTD Panel]]</f>
        <v>0</v>
      </c>
    </row>
    <row r="42" spans="1:9">
      <c r="A42" s="11" t="str">
        <f>Table333456789101217[[#This Row],[Carrier]]</f>
        <v>Midnight</v>
      </c>
      <c r="B42" s="5" t="str">
        <f>Table333456789101217[[#This Row],[IP]]</f>
        <v>134.77.22.4/23.97.150.8</v>
      </c>
      <c r="C42" s="6" t="str">
        <f>Table333456789101217[[#This Row],[Carrier Code]]</f>
        <v>MI</v>
      </c>
      <c r="D42" s="53">
        <v>75.166666666666671</v>
      </c>
      <c r="E42" s="53">
        <v>75.166666666666671</v>
      </c>
      <c r="F42" s="55">
        <f>Table33[[#This Row],[Company Panel]]</f>
        <v>75.166666666666671</v>
      </c>
      <c r="G42" s="18">
        <f>Table33[[#This Row],[Our Panel]]</f>
        <v>75.166666666666671</v>
      </c>
      <c r="H42" s="75">
        <f>Table33[[#This Row],[Company Panel]]-Table33[[#This Row],[Our Panel]]</f>
        <v>0</v>
      </c>
      <c r="I42" s="72">
        <f>Table33[[#This Row],[MTD Company]]-Table33[[#This Row],[MTD Panel]]</f>
        <v>0</v>
      </c>
    </row>
    <row r="43" spans="1:9">
      <c r="A43" s="11" t="str">
        <f>Table333456789101217[[#This Row],[Carrier]]</f>
        <v>Autumn</v>
      </c>
      <c r="B43" s="5" t="str">
        <f>Table333456789101217[[#This Row],[IP]]</f>
        <v>202.54.210.88/12.331.94.73/64.19.28.175</v>
      </c>
      <c r="C43" s="6" t="str">
        <f>Table333456789101217[[#This Row],[Carrier Code]]</f>
        <v>AU</v>
      </c>
      <c r="D43" s="53">
        <v>4.4000000000000004</v>
      </c>
      <c r="E43" s="53">
        <v>4.4000000000000004</v>
      </c>
      <c r="F43" s="55">
        <f>Table33[[#This Row],[Company Panel]]</f>
        <v>4.4000000000000004</v>
      </c>
      <c r="G43" s="18">
        <f>Table33[[#This Row],[Our Panel]]</f>
        <v>4.4000000000000004</v>
      </c>
      <c r="H43" s="75">
        <f>Table33[[#This Row],[Company Panel]]-Table33[[#This Row],[Our Panel]]</f>
        <v>0</v>
      </c>
      <c r="I43" s="72">
        <f>Table33[[#This Row],[MTD Company]]-Table33[[#This Row],[MTD Panel]]</f>
        <v>0</v>
      </c>
    </row>
    <row r="44" spans="1:9">
      <c r="A44" s="11" t="str">
        <f>Table333456789101217[[#This Row],[Carrier]]</f>
        <v>Mystic</v>
      </c>
      <c r="B44" s="5" t="str">
        <f>Table333456789101217[[#This Row],[IP]]</f>
        <v>51.233.21.76/82.115.35.60/82.115.35.85</v>
      </c>
      <c r="C44" s="6" t="str">
        <f>Table333456789101217[[#This Row],[Carrier Code]]</f>
        <v>MY</v>
      </c>
      <c r="D44" s="53">
        <v>0</v>
      </c>
      <c r="E44" s="53">
        <v>0</v>
      </c>
      <c r="F44" s="55">
        <f>Table33[[#This Row],[Company Panel]]</f>
        <v>0</v>
      </c>
      <c r="G44" s="18">
        <f>Table33[[#This Row],[Our Panel]]</f>
        <v>0</v>
      </c>
      <c r="H44" s="79">
        <f>Table33[[#This Row],[Company Panel]]-Table33[[#This Row],[Our Panel]]</f>
        <v>0</v>
      </c>
      <c r="I44" s="78">
        <f>Table33[[#This Row],[MTD Company]]-Table33[[#This Row],[MTD Panel]]</f>
        <v>0</v>
      </c>
    </row>
    <row r="45" spans="1:9">
      <c r="A45" s="11" t="str">
        <f>Table333456789101217[[#This Row],[Carrier]]</f>
        <v>Clover</v>
      </c>
      <c r="B45" s="5" t="str">
        <f>Table333456789101217[[#This Row],[IP]]</f>
        <v>210.150.12.45/84.50.212.66/135.113.88.9</v>
      </c>
      <c r="C45" s="6" t="str">
        <f>Table333456789101217[[#This Row],[Carrier Code]]</f>
        <v>CO</v>
      </c>
      <c r="D45" s="53">
        <v>140.73333333333332</v>
      </c>
      <c r="E45" s="53">
        <v>140.73333333333332</v>
      </c>
      <c r="F45" s="55">
        <f>Table33[[#This Row],[Company Panel]]</f>
        <v>140.73333333333332</v>
      </c>
      <c r="G45" s="18">
        <f>Table33[[#This Row],[Our Panel]]</f>
        <v>140.73333333333332</v>
      </c>
      <c r="H45" s="75">
        <f>Table33[[#This Row],[Company Panel]]-Table33[[#This Row],[Our Panel]]</f>
        <v>0</v>
      </c>
      <c r="I45" s="72">
        <f>Table33[[#This Row],[MTD Company]]-Table33[[#This Row],[MTD Panel]]</f>
        <v>0</v>
      </c>
    </row>
    <row r="46" spans="1:9">
      <c r="A46" s="11" t="str">
        <f>Table333456789101217[[#This Row],[Carrier]]</f>
        <v>Hunter</v>
      </c>
      <c r="B46" s="5" t="str">
        <f>Table333456789101217[[#This Row],[IP]]</f>
        <v>170.199.20.87/13.693.39.280/78.30.123.47</v>
      </c>
      <c r="C46" s="6" t="str">
        <f>Table333456789101217[[#This Row],[Carrier Code]]</f>
        <v>HU</v>
      </c>
      <c r="D46" s="53">
        <v>442.7</v>
      </c>
      <c r="E46" s="53">
        <v>442.7</v>
      </c>
      <c r="F46" s="55">
        <f>Table33[[#This Row],[Company Panel]]</f>
        <v>442.7</v>
      </c>
      <c r="G46" s="18">
        <f>Table33[[#This Row],[Our Panel]]</f>
        <v>442.7</v>
      </c>
      <c r="H46" s="56">
        <f>Table33[[#This Row],[Company Panel]]-Table33[[#This Row],[Our Panel]]</f>
        <v>0</v>
      </c>
      <c r="I46" s="13">
        <f>Table33[[#This Row],[MTD Company]]-Table33[[#This Row],[MTD Panel]]</f>
        <v>0</v>
      </c>
    </row>
    <row r="47" spans="1:9">
      <c r="A47" s="11" t="str">
        <f>Table333456789101217[[#This Row],[Carrier]]</f>
        <v>Invaded</v>
      </c>
      <c r="B47" s="5" t="str">
        <f>Table333456789101217[[#This Row],[IP]]</f>
        <v>182.67.99.120/80.518.230.410/26.847.95.107/188.12.67.92</v>
      </c>
      <c r="C47" s="6" t="str">
        <f>Table333456789101217[[#This Row],[Carrier Code]]</f>
        <v>ID</v>
      </c>
      <c r="D47" s="53">
        <v>0</v>
      </c>
      <c r="E47" s="53">
        <v>0</v>
      </c>
      <c r="F47" s="55">
        <f>Table33[[#This Row],[Company Panel]]</f>
        <v>0</v>
      </c>
      <c r="G47" s="18">
        <f>Table33[[#This Row],[Our Panel]]</f>
        <v>0</v>
      </c>
      <c r="H47" s="92">
        <f>Table33[[#This Row],[Company Panel]]-Table33[[#This Row],[Our Panel]]</f>
        <v>0</v>
      </c>
      <c r="I47" s="90">
        <f>Table33[[#This Row],[MTD Company]]-Table33[[#This Row],[MTD Panel]]</f>
        <v>0</v>
      </c>
    </row>
    <row r="48" spans="1:9">
      <c r="A48" s="11" t="str">
        <f>Table333456789101217[[#This Row],[Carrier]]</f>
        <v>Delusion</v>
      </c>
      <c r="B48" s="5" t="str">
        <f>Table333456789101217[[#This Row],[IP]]</f>
        <v>198.51.100.72/69.887.74.738/39.153.110.645</v>
      </c>
      <c r="C48" s="6" t="str">
        <f>Table333456789101217[[#This Row],[Carrier Code]]</f>
        <v>DU</v>
      </c>
      <c r="D48" s="53">
        <v>0</v>
      </c>
      <c r="E48" s="53">
        <v>0</v>
      </c>
      <c r="F48" s="55">
        <f>Table33[[#This Row],[Company Panel]]</f>
        <v>0</v>
      </c>
      <c r="G48" s="18">
        <f>Table33[[#This Row],[Our Panel]]</f>
        <v>0</v>
      </c>
      <c r="H48" s="92">
        <f>Table33[[#This Row],[Company Panel]]-Table33[[#This Row],[Our Panel]]</f>
        <v>0</v>
      </c>
      <c r="I48" s="90">
        <f>Table33[[#This Row],[MTD Company]]-Table33[[#This Row],[MTD Panel]]</f>
        <v>0</v>
      </c>
    </row>
    <row r="49" spans="1:9" ht="15.5">
      <c r="A49" s="11" t="str">
        <f>Table333456789101217[[#This Row],[Carrier]]</f>
        <v>Total</v>
      </c>
      <c r="B49" s="5" t="str">
        <f>Table333456789101217[[#This Row],[IP]]</f>
        <v>Total (Mins)</v>
      </c>
      <c r="C49" s="6"/>
      <c r="D49" s="65">
        <f>SUM(D3:D48)</f>
        <v>3346.45</v>
      </c>
      <c r="E49" s="65">
        <f t="shared" ref="E49:I49" si="0">SUM(E3:E48)</f>
        <v>3346.45</v>
      </c>
      <c r="F49" s="65">
        <f t="shared" si="0"/>
        <v>3346.45</v>
      </c>
      <c r="G49" s="65">
        <f t="shared" si="0"/>
        <v>3346.45</v>
      </c>
      <c r="H49" s="65">
        <f t="shared" si="0"/>
        <v>0</v>
      </c>
      <c r="I49" s="65">
        <f t="shared" si="0"/>
        <v>0</v>
      </c>
    </row>
  </sheetData>
  <conditionalFormatting sqref="H2:I48">
    <cfRule type="cellIs" dxfId="571" priority="43" operator="lessThan">
      <formula>0</formula>
    </cfRule>
  </conditionalFormatting>
  <conditionalFormatting sqref="I30:I48">
    <cfRule type="cellIs" dxfId="570" priority="42" operator="lessThan">
      <formula>0</formula>
    </cfRule>
  </conditionalFormatting>
  <conditionalFormatting sqref="H3:I48">
    <cfRule type="cellIs" dxfId="569" priority="40" operator="lessThan">
      <formula>0</formula>
    </cfRule>
  </conditionalFormatting>
  <conditionalFormatting sqref="I30:I48">
    <cfRule type="cellIs" dxfId="568" priority="36" operator="lessThan">
      <formula>0</formula>
    </cfRule>
  </conditionalFormatting>
  <conditionalFormatting sqref="I3:I48">
    <cfRule type="cellIs" dxfId="567" priority="26" operator="lessThan">
      <formula>0</formula>
    </cfRule>
    <cfRule type="cellIs" dxfId="566" priority="27" operator="lessThan">
      <formula>0</formula>
    </cfRule>
    <cfRule type="cellIs" dxfId="565" priority="28" operator="lessThan">
      <formula>0</formula>
    </cfRule>
  </conditionalFormatting>
  <hyperlinks>
    <hyperlink ref="E1" location="H!A1" display="Home"/>
    <hyperlink ref="D1" location="'W4 (16May-22 May)'!A1" display="←"/>
    <hyperlink ref="F1" location="'2'!F1" display="→"/>
  </hyperlinks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38</vt:i4>
      </vt:variant>
    </vt:vector>
  </HeadingPairs>
  <TitlesOfParts>
    <vt:vector size="38" baseType="lpstr">
      <vt:lpstr>Template Working</vt:lpstr>
      <vt:lpstr>H</vt:lpstr>
      <vt:lpstr>M</vt:lpstr>
      <vt:lpstr>W1</vt:lpstr>
      <vt:lpstr>W2</vt:lpstr>
      <vt:lpstr>W3</vt:lpstr>
      <vt:lpstr>W4</vt:lpstr>
      <vt:lpstr>W5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manikandan531@outlook.com</dc:creator>
  <cp:lastModifiedBy>Admin</cp:lastModifiedBy>
  <cp:lastPrinted>2020-12-21T10:14:43Z</cp:lastPrinted>
  <dcterms:created xsi:type="dcterms:W3CDTF">2015-09-08T10:46:30Z</dcterms:created>
  <dcterms:modified xsi:type="dcterms:W3CDTF">2025-05-17T08:13:24Z</dcterms:modified>
</cp:coreProperties>
</file>