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arth\Downloads\"/>
    </mc:Choice>
  </mc:AlternateContent>
  <xr:revisionPtr revIDLastSave="0" documentId="13_ncr:1_{1000B72F-2E6E-4E84-BB2C-62A8F0FB4E62}" xr6:coauthVersionLast="47" xr6:coauthVersionMax="47" xr10:uidLastSave="{00000000-0000-0000-0000-000000000000}"/>
  <bookViews>
    <workbookView xWindow="-120" yWindow="-120" windowWidth="29040" windowHeight="15840" xr2:uid="{40BF71C6-CE44-49F2-AF50-094617D1E913}"/>
  </bookViews>
  <sheets>
    <sheet name="Sheet1 (2)" sheetId="2" r:id="rId1"/>
  </sheets>
  <definedNames>
    <definedName name="_xlnm._FilterDatabase" localSheetId="0" hidden="1">'Sheet1 (2)'!$E$17:$P$36</definedName>
    <definedName name="intercept" localSheetId="0">'Sheet1 (2)'!$L$8</definedName>
    <definedName name="intercept">#REF!</definedName>
    <definedName name="q1index" localSheetId="0">'Sheet1 (2)'!$P$8</definedName>
    <definedName name="q1index">#REF!</definedName>
    <definedName name="q2index" localSheetId="0">'Sheet1 (2)'!$P$9</definedName>
    <definedName name="q2index">#REF!</definedName>
    <definedName name="q3index" localSheetId="0">'Sheet1 (2)'!$P$10</definedName>
    <definedName name="q3index">#REF!</definedName>
    <definedName name="q4index" localSheetId="0">'Sheet1 (2)'!$P$11</definedName>
    <definedName name="q4index">#REF!</definedName>
    <definedName name="slope" localSheetId="0">'Sheet1 (2)'!$K$8</definedName>
    <definedName name="slop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6" i="2" l="1"/>
  <c r="J22" i="2"/>
  <c r="J23" i="2"/>
  <c r="J24" i="2"/>
  <c r="J25" i="2"/>
  <c r="J26" i="2"/>
  <c r="J27" i="2"/>
  <c r="J28" i="2"/>
  <c r="J29" i="2"/>
  <c r="J30" i="2"/>
  <c r="J31" i="2"/>
  <c r="J32" i="2"/>
  <c r="J33" i="2"/>
  <c r="J34" i="2"/>
  <c r="J35" i="2"/>
  <c r="J36" i="2"/>
  <c r="J21" i="2"/>
  <c r="E31" i="2" l="1"/>
  <c r="E30" i="2"/>
  <c r="E29" i="2"/>
  <c r="F29" i="2" s="1"/>
  <c r="G29" i="2" s="1"/>
  <c r="E28" i="2"/>
  <c r="E27" i="2"/>
  <c r="E26" i="2"/>
  <c r="E25" i="2"/>
  <c r="E24" i="2"/>
  <c r="E23" i="2"/>
  <c r="E22" i="2"/>
  <c r="E21" i="2"/>
  <c r="E20" i="2"/>
  <c r="E19" i="2"/>
  <c r="F30" i="2" l="1"/>
  <c r="G30" i="2" s="1"/>
  <c r="F26" i="2"/>
  <c r="G26" i="2" s="1"/>
  <c r="F21" i="2"/>
  <c r="G21" i="2" s="1"/>
  <c r="F23" i="2"/>
  <c r="G23" i="2" s="1"/>
  <c r="F19" i="2"/>
  <c r="G19" i="2" s="1"/>
  <c r="F28" i="2"/>
  <c r="G28" i="2" s="1"/>
  <c r="F24" i="2"/>
  <c r="G24" i="2" s="1"/>
  <c r="F27" i="2"/>
  <c r="G27" i="2" s="1"/>
  <c r="F25" i="2"/>
  <c r="G25" i="2" s="1"/>
  <c r="F22" i="2"/>
  <c r="G22" i="2" s="1"/>
  <c r="F20" i="2"/>
  <c r="G20" i="2" s="1"/>
  <c r="P9" i="2" l="1"/>
  <c r="H22" i="2" s="1"/>
  <c r="P10" i="2"/>
  <c r="H23" i="2" s="1"/>
  <c r="P8" i="2"/>
  <c r="P11" i="2"/>
  <c r="H32" i="2" s="1"/>
  <c r="H29" i="2"/>
  <c r="H25" i="2"/>
  <c r="H21" i="2"/>
  <c r="H17" i="2"/>
  <c r="K17" i="2" s="1"/>
  <c r="H24" i="2"/>
  <c r="H28" i="2"/>
  <c r="H31" i="2"/>
  <c r="H26" i="2" l="1"/>
  <c r="I27" i="2" s="1"/>
  <c r="E52" i="2" s="1"/>
  <c r="L52" i="2" s="1"/>
  <c r="H27" i="2"/>
  <c r="I28" i="2" s="1"/>
  <c r="E53" i="2" s="1"/>
  <c r="L53" i="2" s="1"/>
  <c r="H19" i="2"/>
  <c r="I20" i="2" s="1"/>
  <c r="E45" i="2" s="1"/>
  <c r="L17" i="2"/>
  <c r="H42" i="2" s="1"/>
  <c r="H30" i="2"/>
  <c r="I31" i="2" s="1"/>
  <c r="E56" i="2" s="1"/>
  <c r="L56" i="2" s="1"/>
  <c r="H18" i="2"/>
  <c r="H20" i="2"/>
  <c r="K8" i="2" s="1" a="1"/>
  <c r="L9" i="2" s="1"/>
  <c r="F50" i="2"/>
  <c r="M50" i="2" s="1"/>
  <c r="I25" i="2"/>
  <c r="E50" i="2" s="1"/>
  <c r="L50" i="2" s="1"/>
  <c r="L18" i="2"/>
  <c r="I32" i="2"/>
  <c r="E57" i="2" s="1"/>
  <c r="L57" i="2" s="1"/>
  <c r="F56" i="2"/>
  <c r="M56" i="2" s="1"/>
  <c r="K18" i="2"/>
  <c r="G42" i="2"/>
  <c r="I33" i="2"/>
  <c r="I24" i="2"/>
  <c r="E49" i="2" s="1"/>
  <c r="L49" i="2" s="1"/>
  <c r="I26" i="2"/>
  <c r="E51" i="2" s="1"/>
  <c r="L51" i="2" s="1"/>
  <c r="F49" i="2"/>
  <c r="M49" i="2" s="1"/>
  <c r="F53" i="2" l="1"/>
  <c r="M53" i="2" s="1"/>
  <c r="I30" i="2"/>
  <c r="E55" i="2" s="1"/>
  <c r="L55" i="2" s="1"/>
  <c r="F54" i="2"/>
  <c r="M54" i="2" s="1"/>
  <c r="F55" i="2"/>
  <c r="M55" i="2" s="1"/>
  <c r="F51" i="2"/>
  <c r="M51" i="2" s="1"/>
  <c r="I29" i="2"/>
  <c r="E54" i="2" s="1"/>
  <c r="L54" i="2" s="1"/>
  <c r="F47" i="2"/>
  <c r="M47" i="2" s="1"/>
  <c r="F52" i="2"/>
  <c r="M52" i="2" s="1"/>
  <c r="I23" i="2"/>
  <c r="E48" i="2" s="1"/>
  <c r="L48" i="2" s="1"/>
  <c r="F48" i="2"/>
  <c r="M48" i="2" s="1"/>
  <c r="I22" i="2"/>
  <c r="E47" i="2" s="1"/>
  <c r="L47" i="2" s="1"/>
  <c r="F46" i="2"/>
  <c r="M46" i="2" s="1"/>
  <c r="I21" i="2"/>
  <c r="E46" i="2" s="1"/>
  <c r="K8" i="2"/>
  <c r="K10" i="2"/>
  <c r="K12" i="2"/>
  <c r="L8" i="2"/>
  <c r="M21" i="2" s="1"/>
  <c r="I46" i="2" s="1"/>
  <c r="P46" i="2" s="1"/>
  <c r="L10" i="2"/>
  <c r="L12" i="2"/>
  <c r="L11" i="2"/>
  <c r="K11" i="2"/>
  <c r="N20" i="2"/>
  <c r="K9" i="2"/>
  <c r="P20" i="2"/>
  <c r="L58" i="2"/>
  <c r="I34" i="2"/>
  <c r="E58" i="2"/>
  <c r="G43" i="2"/>
  <c r="K19" i="2"/>
  <c r="L19" i="2"/>
  <c r="H43" i="2"/>
  <c r="F57" i="2"/>
  <c r="M57" i="2" s="1"/>
  <c r="M33" i="2"/>
  <c r="I58" i="2" s="1"/>
  <c r="M58" i="2" l="1"/>
  <c r="M34" i="2"/>
  <c r="I59" i="2" s="1"/>
  <c r="M25" i="2"/>
  <c r="I50" i="2" s="1"/>
  <c r="P50" i="2" s="1"/>
  <c r="M32" i="2"/>
  <c r="I57" i="2" s="1"/>
  <c r="P57" i="2" s="1"/>
  <c r="M20" i="2"/>
  <c r="I45" i="2" s="1"/>
  <c r="M23" i="2"/>
  <c r="I48" i="2" s="1"/>
  <c r="P48" i="2" s="1"/>
  <c r="M26" i="2"/>
  <c r="I51" i="2" s="1"/>
  <c r="P51" i="2" s="1"/>
  <c r="M28" i="2"/>
  <c r="I53" i="2" s="1"/>
  <c r="P53" i="2" s="1"/>
  <c r="M30" i="2"/>
  <c r="I55" i="2" s="1"/>
  <c r="P55" i="2" s="1"/>
  <c r="M36" i="2"/>
  <c r="I61" i="2" s="1"/>
  <c r="M18" i="2"/>
  <c r="I43" i="2" s="1"/>
  <c r="M27" i="2"/>
  <c r="I52" i="2" s="1"/>
  <c r="P52" i="2" s="1"/>
  <c r="M31" i="2"/>
  <c r="I56" i="2" s="1"/>
  <c r="P56" i="2" s="1"/>
  <c r="M22" i="2"/>
  <c r="I47" i="2" s="1"/>
  <c r="P47" i="2" s="1"/>
  <c r="M17" i="2"/>
  <c r="I42" i="2" s="1"/>
  <c r="M24" i="2"/>
  <c r="I49" i="2" s="1"/>
  <c r="P49" i="2" s="1"/>
  <c r="M29" i="2"/>
  <c r="I54" i="2" s="1"/>
  <c r="P54" i="2" s="1"/>
  <c r="M19" i="2"/>
  <c r="I44" i="2" s="1"/>
  <c r="M35" i="2"/>
  <c r="I60" i="2" s="1"/>
  <c r="O20" i="2"/>
  <c r="N21" i="2" s="1"/>
  <c r="J45" i="2"/>
  <c r="G44" i="2"/>
  <c r="K20" i="2"/>
  <c r="F58" i="2"/>
  <c r="I35" i="2"/>
  <c r="E59" i="2"/>
  <c r="H44" i="2"/>
  <c r="L20" i="2"/>
  <c r="P58" i="2" l="1"/>
  <c r="P21" i="2"/>
  <c r="O21" i="2"/>
  <c r="N22" i="2" s="1"/>
  <c r="J46" i="2"/>
  <c r="Q46" i="2" s="1"/>
  <c r="L21" i="2"/>
  <c r="H45" i="2"/>
  <c r="F59" i="2"/>
  <c r="G45" i="2"/>
  <c r="K21" i="2"/>
  <c r="I36" i="2"/>
  <c r="E61" i="2" s="1"/>
  <c r="E60" i="2"/>
  <c r="P22" i="2" l="1"/>
  <c r="J47" i="2"/>
  <c r="Q47" i="2" s="1"/>
  <c r="O22" i="2"/>
  <c r="N23" i="2" s="1"/>
  <c r="F60" i="2"/>
  <c r="F61" i="2"/>
  <c r="G46" i="2"/>
  <c r="N46" i="2" s="1"/>
  <c r="K22" i="2"/>
  <c r="L22" i="2"/>
  <c r="H46" i="2"/>
  <c r="O46" i="2" s="1"/>
  <c r="O23" i="2" l="1"/>
  <c r="J48" i="2"/>
  <c r="Q48" i="2" s="1"/>
  <c r="P23" i="2"/>
  <c r="H47" i="2"/>
  <c r="O47" i="2" s="1"/>
  <c r="L23" i="2"/>
  <c r="K23" i="2"/>
  <c r="G47" i="2"/>
  <c r="N47" i="2" s="1"/>
  <c r="N24" i="2" l="1"/>
  <c r="P24" i="2" s="1"/>
  <c r="G48" i="2"/>
  <c r="N48" i="2" s="1"/>
  <c r="K24" i="2"/>
  <c r="L24" i="2"/>
  <c r="H48" i="2"/>
  <c r="O48" i="2" s="1"/>
  <c r="O24" i="2" l="1"/>
  <c r="N25" i="2" s="1"/>
  <c r="J49" i="2"/>
  <c r="Q49" i="2" s="1"/>
  <c r="K25" i="2"/>
  <c r="G49" i="2"/>
  <c r="N49" i="2" s="1"/>
  <c r="H49" i="2"/>
  <c r="O49" i="2" s="1"/>
  <c r="L25" i="2"/>
  <c r="P25" i="2" l="1"/>
  <c r="J50" i="2"/>
  <c r="Q50" i="2" s="1"/>
  <c r="O25" i="2"/>
  <c r="N26" i="2" s="1"/>
  <c r="P26" i="2" s="1"/>
  <c r="L26" i="2"/>
  <c r="H50" i="2"/>
  <c r="O50" i="2" s="1"/>
  <c r="G50" i="2"/>
  <c r="N50" i="2" s="1"/>
  <c r="K26" i="2"/>
  <c r="O26" i="2" l="1"/>
  <c r="N27" i="2" s="1"/>
  <c r="P27" i="2" s="1"/>
  <c r="J51" i="2"/>
  <c r="Q51" i="2" s="1"/>
  <c r="O27" i="2"/>
  <c r="J52" i="2"/>
  <c r="Q52" i="2" s="1"/>
  <c r="K27" i="2"/>
  <c r="G51" i="2"/>
  <c r="N51" i="2" s="1"/>
  <c r="H51" i="2"/>
  <c r="O51" i="2" s="1"/>
  <c r="L27" i="2"/>
  <c r="L28" i="2" l="1"/>
  <c r="H52" i="2"/>
  <c r="O52" i="2" s="1"/>
  <c r="G52" i="2"/>
  <c r="N52" i="2" s="1"/>
  <c r="K28" i="2"/>
  <c r="N28" i="2"/>
  <c r="O28" i="2" l="1"/>
  <c r="J53" i="2"/>
  <c r="Q53" i="2" s="1"/>
  <c r="K29" i="2"/>
  <c r="G53" i="2"/>
  <c r="N53" i="2" s="1"/>
  <c r="P28" i="2"/>
  <c r="H53" i="2"/>
  <c r="O53" i="2" s="1"/>
  <c r="L29" i="2"/>
  <c r="L30" i="2" l="1"/>
  <c r="H54" i="2"/>
  <c r="O54" i="2" s="1"/>
  <c r="G54" i="2"/>
  <c r="N54" i="2" s="1"/>
  <c r="K30" i="2"/>
  <c r="N29" i="2"/>
  <c r="O29" i="2" l="1"/>
  <c r="J54" i="2"/>
  <c r="Q54" i="2" s="1"/>
  <c r="K31" i="2"/>
  <c r="G55" i="2"/>
  <c r="N55" i="2" s="1"/>
  <c r="P29" i="2"/>
  <c r="H55" i="2"/>
  <c r="O55" i="2" s="1"/>
  <c r="L31" i="2"/>
  <c r="N30" i="2" l="1"/>
  <c r="O30" i="2" s="1"/>
  <c r="L32" i="2"/>
  <c r="H56" i="2"/>
  <c r="O56" i="2" s="1"/>
  <c r="G56" i="2"/>
  <c r="N56" i="2" s="1"/>
  <c r="K32" i="2"/>
  <c r="J55" i="2" l="1"/>
  <c r="Q55" i="2" s="1"/>
  <c r="P30" i="2"/>
  <c r="N31" i="2" s="1"/>
  <c r="G57" i="2"/>
  <c r="N57" i="2" s="1"/>
  <c r="N58" i="2" s="1"/>
  <c r="K33" i="2"/>
  <c r="L33" i="2"/>
  <c r="H57" i="2"/>
  <c r="O57" i="2" s="1"/>
  <c r="O58" i="2" s="1"/>
  <c r="L34" i="2" l="1"/>
  <c r="H58" i="2"/>
  <c r="O31" i="2"/>
  <c r="J56" i="2"/>
  <c r="Q56" i="2" s="1"/>
  <c r="P31" i="2"/>
  <c r="G58" i="2"/>
  <c r="K34" i="2"/>
  <c r="G59" i="2" l="1"/>
  <c r="K35" i="2"/>
  <c r="N32" i="2"/>
  <c r="P32" i="2" s="1"/>
  <c r="L35" i="2"/>
  <c r="H59" i="2"/>
  <c r="L36" i="2" l="1"/>
  <c r="H61" i="2" s="1"/>
  <c r="H60" i="2"/>
  <c r="G60" i="2"/>
  <c r="K36" i="2"/>
  <c r="G61" i="2" s="1"/>
  <c r="J57" i="2"/>
  <c r="Q57" i="2" s="1"/>
  <c r="O32" i="2"/>
  <c r="N33" i="2" s="1"/>
  <c r="Q58" i="2" l="1"/>
  <c r="S58" i="2" s="1"/>
  <c r="O33" i="2"/>
  <c r="J58" i="2"/>
  <c r="P33" i="2"/>
  <c r="N34" i="2" l="1"/>
  <c r="P34" i="2" s="1"/>
  <c r="J59" i="2" l="1"/>
  <c r="O34" i="2"/>
  <c r="N35" i="2" s="1"/>
  <c r="P35" i="2" s="1"/>
  <c r="J60" i="2" l="1"/>
  <c r="O35" i="2"/>
  <c r="N36" i="2" s="1"/>
  <c r="J61" i="2" l="1"/>
  <c r="O36" i="2"/>
  <c r="P36" i="2"/>
</calcChain>
</file>

<file path=xl/sharedStrings.xml><?xml version="1.0" encoding="utf-8"?>
<sst xmlns="http://schemas.openxmlformats.org/spreadsheetml/2006/main" count="108" uniqueCount="51">
  <si>
    <t>Company:</t>
  </si>
  <si>
    <t>Tesla</t>
  </si>
  <si>
    <t>Group #:</t>
  </si>
  <si>
    <t>Least Squares Calculations (LINEST)</t>
  </si>
  <si>
    <t>slope</t>
  </si>
  <si>
    <t>intercept</t>
  </si>
  <si>
    <t>Moving Average</t>
  </si>
  <si>
    <t>se (slope)</t>
  </si>
  <si>
    <t>se(intercept)</t>
  </si>
  <si>
    <t>r sqre</t>
  </si>
  <si>
    <t>se(y)</t>
  </si>
  <si>
    <t>F</t>
  </si>
  <si>
    <t>df</t>
  </si>
  <si>
    <t>ss Reg.</t>
  </si>
  <si>
    <t>ss Resid</t>
  </si>
  <si>
    <t>Centered Average Calculation</t>
  </si>
  <si>
    <t>Year</t>
  </si>
  <si>
    <t>Quarter</t>
  </si>
  <si>
    <t>Time Series</t>
  </si>
  <si>
    <t>MA4</t>
  </si>
  <si>
    <t>MA2</t>
  </si>
  <si>
    <t>MV</t>
  </si>
  <si>
    <t>L.T.</t>
  </si>
  <si>
    <t>S</t>
  </si>
  <si>
    <t>T</t>
  </si>
  <si>
    <t>Q1</t>
  </si>
  <si>
    <t>Q2</t>
  </si>
  <si>
    <t>Q3</t>
  </si>
  <si>
    <t>Q4</t>
  </si>
  <si>
    <t xml:space="preserve"> </t>
  </si>
  <si>
    <t>Seasonally Adjusted Forecasts</t>
  </si>
  <si>
    <t>MAD Calculation</t>
  </si>
  <si>
    <t>TAF(.5, .25)</t>
  </si>
  <si>
    <t>Sales in Millions</t>
  </si>
  <si>
    <t>Wt. MV (7,5,3,1)</t>
  </si>
  <si>
    <t>Ex. SM (.3)</t>
  </si>
  <si>
    <t>Ex. SM (.8)</t>
  </si>
  <si>
    <t>Rishi Krishnamurthy</t>
  </si>
  <si>
    <t>Baseline Forecasts</t>
  </si>
  <si>
    <t>Name</t>
  </si>
  <si>
    <t>Index
(Sales/MA2)</t>
  </si>
  <si>
    <t>Index Average</t>
  </si>
  <si>
    <t>Deseasonality
(Sales/Index Avg)</t>
  </si>
  <si>
    <t>Average</t>
  </si>
  <si>
    <t>Weighted Mean Variance</t>
  </si>
  <si>
    <t>Miminum MAD Avg.</t>
  </si>
  <si>
    <t>Exponential Smoothing</t>
  </si>
  <si>
    <t>Trend-Adjusted Exponential Smoothing</t>
  </si>
  <si>
    <t>Forecast Calculations for Tesla (2019-2023)</t>
  </si>
  <si>
    <t>NOTE: Tesla's revenues are extracted from Security Exchange Commission (SEC). (TESLA 10K 2019, 10k 2020, 10Q 2020, 10k 2021, 10Q 2021, 10k 2022, 10k 2023)</t>
  </si>
  <si>
    <t>The best forecast method is TAF (.5, .25) as it has the lowest average MAD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</si>
</sst>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00"/>
    <numFmt numFmtId="165" formatCode="0.0000000000"/>
    <numFmt numFmtId="166" formatCode="0.000000"/>
    <numFmt numFmtId="167" formatCode="_(&quot;$&quot;* #,##0_);_(&quot;$&quot;* \(#,##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i/>
      <sz val="11"/>
      <color theme="1"/>
      <name val="Calibri"/>
      <family val="2"/>
      <scheme val="minor"/>
    </font>
    <font>
      <b/>
      <sz val="22"/>
      <color theme="1"/>
      <name val="Calibri"/>
      <family val="2"/>
      <scheme val="minor"/>
    </font>
    <font>
      <b/>
      <sz val="18"/>
      <color theme="0"/>
      <name val="Calibri"/>
      <family val="2"/>
      <scheme val="minor"/>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7030A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0" borderId="1" xfId="0" applyBorder="1"/>
    <xf numFmtId="0" fontId="0" fillId="0" borderId="0" xfId="0" applyAlignment="1">
      <alignment horizontal="right"/>
    </xf>
    <xf numFmtId="2" fontId="0" fillId="0" borderId="0" xfId="0" applyNumberFormat="1"/>
    <xf numFmtId="0" fontId="0" fillId="0" borderId="0" xfId="0" applyAlignment="1">
      <alignment horizontal="center" vertical="center" wrapText="1"/>
    </xf>
    <xf numFmtId="0" fontId="0" fillId="0" borderId="1" xfId="0" applyBorder="1" applyAlignment="1">
      <alignment horizontal="center" vertical="center"/>
    </xf>
    <xf numFmtId="165" fontId="0" fillId="0" borderId="1" xfId="0" applyNumberFormat="1" applyBorder="1"/>
    <xf numFmtId="166" fontId="0" fillId="5" borderId="1" xfId="0" applyNumberFormat="1" applyFill="1" applyBorder="1" applyAlignment="1">
      <alignment horizontal="center" vertical="center"/>
    </xf>
    <xf numFmtId="0" fontId="0" fillId="0" borderId="0" xfId="0" applyAlignment="1">
      <alignment horizontal="center" vertical="center"/>
    </xf>
    <xf numFmtId="164" fontId="0" fillId="5" borderId="1" xfId="0" applyNumberFormat="1" applyFill="1" applyBorder="1"/>
    <xf numFmtId="2" fontId="0" fillId="5" borderId="1" xfId="0" applyNumberFormat="1" applyFill="1" applyBorder="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vertical="center" wrapText="1"/>
    </xf>
    <xf numFmtId="44" fontId="0" fillId="0" borderId="1" xfId="1" applyFont="1" applyBorder="1"/>
    <xf numFmtId="167" fontId="0" fillId="0" borderId="1" xfId="1" applyNumberFormat="1" applyFont="1" applyBorder="1"/>
    <xf numFmtId="44" fontId="0" fillId="3" borderId="1" xfId="1" applyFont="1" applyFill="1" applyBorder="1"/>
    <xf numFmtId="44" fontId="0" fillId="3" borderId="0" xfId="1" applyFont="1" applyFill="1"/>
    <xf numFmtId="44" fontId="0" fillId="2" borderId="1" xfId="1" applyFont="1" applyFill="1" applyBorder="1"/>
    <xf numFmtId="44" fontId="0" fillId="4" borderId="1" xfId="1" applyFont="1" applyFill="1" applyBorder="1" applyAlignment="1">
      <alignment horizontal="center" vertical="center"/>
    </xf>
    <xf numFmtId="0" fontId="2" fillId="0" borderId="1" xfId="0" applyFont="1" applyBorder="1"/>
    <xf numFmtId="44" fontId="2" fillId="6" borderId="1" xfId="1" applyFont="1" applyFill="1" applyBorder="1"/>
    <xf numFmtId="0" fontId="2" fillId="0" borderId="0" xfId="0" applyFont="1" applyAlignment="1">
      <alignment horizont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4" fillId="0" borderId="0" xfId="0" applyFont="1" applyAlignment="1">
      <alignment horizontal="right"/>
    </xf>
    <xf numFmtId="0" fontId="7" fillId="0" borderId="0" xfId="0" applyFont="1"/>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xf>
    <xf numFmtId="0" fontId="2" fillId="0" borderId="0" xfId="0" applyFont="1" applyAlignment="1">
      <alignment horizontal="center" vertical="center"/>
    </xf>
    <xf numFmtId="0" fontId="6" fillId="8" borderId="6" xfId="0" applyFont="1" applyFill="1" applyBorder="1" applyAlignment="1">
      <alignment horizontal="center" vertical="center"/>
    </xf>
    <xf numFmtId="0" fontId="6" fillId="8" borderId="7" xfId="0" applyFont="1" applyFill="1" applyBorder="1" applyAlignment="1">
      <alignment horizontal="center" vertical="center"/>
    </xf>
    <xf numFmtId="0" fontId="6" fillId="8" borderId="8" xfId="0" applyFont="1" applyFill="1" applyBorder="1" applyAlignment="1">
      <alignment horizontal="center" vertical="center"/>
    </xf>
    <xf numFmtId="0" fontId="6" fillId="8" borderId="9" xfId="0" applyFont="1" applyFill="1" applyBorder="1" applyAlignment="1">
      <alignment horizontal="center" vertical="center"/>
    </xf>
    <xf numFmtId="0" fontId="6" fillId="8" borderId="10" xfId="0" applyFont="1" applyFill="1" applyBorder="1" applyAlignment="1">
      <alignment horizontal="center" vertical="center"/>
    </xf>
    <xf numFmtId="0" fontId="6" fillId="8" borderId="11" xfId="0" applyFont="1" applyFill="1" applyBorder="1" applyAlignment="1">
      <alignment horizontal="center" vertical="center"/>
    </xf>
    <xf numFmtId="0" fontId="3" fillId="0" borderId="5" xfId="0" applyFont="1" applyBorder="1" applyAlignment="1">
      <alignment horizontal="center"/>
    </xf>
    <xf numFmtId="0" fontId="5" fillId="0" borderId="5" xfId="0" applyFont="1" applyBorder="1" applyAlignment="1">
      <alignment horizontal="center"/>
    </xf>
  </cellXfs>
  <cellStyles count="2">
    <cellStyle name="Currency" xfId="1" builtinId="4"/>
    <cellStyle name="Normal"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Actual Sales vs Seasonality</a:t>
            </a:r>
          </a:p>
          <a:p>
            <a:pPr>
              <a:defRPr/>
            </a:pPr>
            <a:endParaRPr lang="en-US"/>
          </a:p>
        </c:rich>
      </c:tx>
      <c:layout>
        <c:manualLayout>
          <c:xMode val="edge"/>
          <c:yMode val="edge"/>
          <c:x val="0.37947929866878477"/>
          <c:y val="3.5139492713103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 (2)'!$D$16</c:f>
              <c:strCache>
                <c:ptCount val="1"/>
                <c:pt idx="0">
                  <c:v>Sales in Millions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 (2)'!$A$17:$B$36</c:f>
              <c:multiLvlStrCache>
                <c:ptCount val="20"/>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lvl>
                <c:lvl>
                  <c:pt idx="0">
                    <c:v>2019</c:v>
                  </c:pt>
                  <c:pt idx="4">
                    <c:v>2020</c:v>
                  </c:pt>
                  <c:pt idx="8">
                    <c:v>2021</c:v>
                  </c:pt>
                  <c:pt idx="12">
                    <c:v>2022</c:v>
                  </c:pt>
                  <c:pt idx="16">
                    <c:v>2023</c:v>
                  </c:pt>
                </c:lvl>
              </c:multiLvlStrCache>
            </c:multiLvlStrRef>
          </c:cat>
          <c:val>
            <c:numRef>
              <c:f>'Sheet1 (2)'!$D$17:$D$32</c:f>
              <c:numCache>
                <c:formatCode>_("$"* #,##0_);_("$"* \(#,##0\);_("$"* "-"??_);_(@_)</c:formatCode>
                <c:ptCount val="16"/>
                <c:pt idx="0">
                  <c:v>4541</c:v>
                </c:pt>
                <c:pt idx="1">
                  <c:v>6350</c:v>
                </c:pt>
                <c:pt idx="2">
                  <c:v>6303</c:v>
                </c:pt>
                <c:pt idx="3">
                  <c:v>7384</c:v>
                </c:pt>
                <c:pt idx="4">
                  <c:v>5985</c:v>
                </c:pt>
                <c:pt idx="5">
                  <c:v>6036</c:v>
                </c:pt>
                <c:pt idx="6">
                  <c:v>8771</c:v>
                </c:pt>
                <c:pt idx="7">
                  <c:v>10744</c:v>
                </c:pt>
                <c:pt idx="8">
                  <c:v>10389</c:v>
                </c:pt>
                <c:pt idx="9">
                  <c:v>11958</c:v>
                </c:pt>
                <c:pt idx="10">
                  <c:v>13757</c:v>
                </c:pt>
                <c:pt idx="11">
                  <c:v>17719</c:v>
                </c:pt>
                <c:pt idx="12">
                  <c:v>18756</c:v>
                </c:pt>
                <c:pt idx="13">
                  <c:v>16934</c:v>
                </c:pt>
                <c:pt idx="14">
                  <c:v>21454</c:v>
                </c:pt>
                <c:pt idx="15">
                  <c:v>24318</c:v>
                </c:pt>
              </c:numCache>
            </c:numRef>
          </c:val>
          <c:smooth val="0"/>
          <c:extLst>
            <c:ext xmlns:c16="http://schemas.microsoft.com/office/drawing/2014/chart" uri="{C3380CC4-5D6E-409C-BE32-E72D297353CC}">
              <c16:uniqueId val="{00000000-B80D-4771-B87D-7CF28EC35284}"/>
            </c:ext>
          </c:extLst>
        </c:ser>
        <c:ser>
          <c:idx val="1"/>
          <c:order val="1"/>
          <c:tx>
            <c:strRef>
              <c:f>'Sheet1 (2)'!$H$16</c:f>
              <c:strCache>
                <c:ptCount val="1"/>
                <c:pt idx="0">
                  <c:v>Deseasonality
(Sales/Index Avg)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1.3990222728086806E-2"/>
                  <c:y val="-0.2045262540358124"/>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aseline="0"/>
                      <a:t>y = 1205.5x + 1815.3</a:t>
                    </a:r>
                    <a:endParaRPr lang="en-US" sz="12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multiLvlStrRef>
              <c:f>'Sheet1 (2)'!$A$17:$B$36</c:f>
              <c:multiLvlStrCache>
                <c:ptCount val="20"/>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lvl>
                <c:lvl>
                  <c:pt idx="0">
                    <c:v>2019</c:v>
                  </c:pt>
                  <c:pt idx="4">
                    <c:v>2020</c:v>
                  </c:pt>
                  <c:pt idx="8">
                    <c:v>2021</c:v>
                  </c:pt>
                  <c:pt idx="12">
                    <c:v>2022</c:v>
                  </c:pt>
                  <c:pt idx="16">
                    <c:v>2023</c:v>
                  </c:pt>
                </c:lvl>
              </c:multiLvlStrCache>
            </c:multiLvlStrRef>
          </c:cat>
          <c:val>
            <c:numRef>
              <c:f>'Sheet1 (2)'!$H$17:$H$32</c:f>
              <c:numCache>
                <c:formatCode>_("$"* #,##0.00_);_("$"* \(#,##0.00\);_("$"* "-"??_);_(@_)</c:formatCode>
                <c:ptCount val="16"/>
                <c:pt idx="0">
                  <c:v>4727.0384913699745</c:v>
                </c:pt>
                <c:pt idx="1">
                  <c:v>7255.6219901122431</c:v>
                </c:pt>
                <c:pt idx="2">
                  <c:v>6334.5254297863894</c:v>
                </c:pt>
                <c:pt idx="3">
                  <c:v>6627.3530969489448</c:v>
                </c:pt>
                <c:pt idx="4">
                  <c:v>6230.1971748181668</c:v>
                </c:pt>
                <c:pt idx="5">
                  <c:v>6896.8400523334649</c:v>
                </c:pt>
                <c:pt idx="6">
                  <c:v>8814.8695136691131</c:v>
                </c:pt>
                <c:pt idx="7">
                  <c:v>9643.0500641413146</c:v>
                </c:pt>
                <c:pt idx="8">
                  <c:v>10814.622965611685</c:v>
                </c:pt>
                <c:pt idx="9">
                  <c:v>13663.421694135781</c:v>
                </c:pt>
                <c:pt idx="10">
                  <c:v>13825.807764171244</c:v>
                </c:pt>
                <c:pt idx="11">
                  <c:v>15903.31385764333</c:v>
                </c:pt>
                <c:pt idx="12">
                  <c:v>19524.407386948962</c:v>
                </c:pt>
                <c:pt idx="13">
                  <c:v>19349.08705205681</c:v>
                </c:pt>
                <c:pt idx="14">
                  <c:v>21561.305500656385</c:v>
                </c:pt>
                <c:pt idx="15">
                  <c:v>21826.106800054771</c:v>
                </c:pt>
              </c:numCache>
            </c:numRef>
          </c:val>
          <c:smooth val="0"/>
          <c:extLst>
            <c:ext xmlns:c16="http://schemas.microsoft.com/office/drawing/2014/chart" uri="{C3380CC4-5D6E-409C-BE32-E72D297353CC}">
              <c16:uniqueId val="{00000003-B80D-4771-B87D-7CF28EC35284}"/>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411255280"/>
        <c:axId val="411256528"/>
      </c:lineChart>
      <c:catAx>
        <c:axId val="41125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256528"/>
        <c:crosses val="autoZero"/>
        <c:auto val="1"/>
        <c:lblAlgn val="ctr"/>
        <c:lblOffset val="100"/>
        <c:noMultiLvlLbl val="0"/>
      </c:catAx>
      <c:valAx>
        <c:axId val="41125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Reveune in millions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255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Actual Sales vs TAF Forecasts</a:t>
            </a:r>
          </a:p>
          <a:p>
            <a:pPr>
              <a:defRPr/>
            </a:pPr>
            <a:endParaRPr lang="en-US"/>
          </a:p>
        </c:rich>
      </c:tx>
      <c:layout>
        <c:manualLayout>
          <c:xMode val="edge"/>
          <c:yMode val="edge"/>
          <c:x val="0.38032270783635158"/>
          <c:y val="2.64027262834839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 (2)'!$D$41</c:f>
              <c:strCache>
                <c:ptCount val="1"/>
                <c:pt idx="0">
                  <c:v>Sales in Millions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 (2)'!$A$42:$B$61</c:f>
              <c:multiLvlStrCache>
                <c:ptCount val="20"/>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lvl>
                <c:lvl>
                  <c:pt idx="0">
                    <c:v>2019</c:v>
                  </c:pt>
                  <c:pt idx="4">
                    <c:v>2020</c:v>
                  </c:pt>
                  <c:pt idx="8">
                    <c:v>2021</c:v>
                  </c:pt>
                  <c:pt idx="12">
                    <c:v>2022</c:v>
                  </c:pt>
                  <c:pt idx="16">
                    <c:v>2023</c:v>
                  </c:pt>
                </c:lvl>
              </c:multiLvlStrCache>
            </c:multiLvlStrRef>
          </c:cat>
          <c:val>
            <c:numRef>
              <c:f>'Sheet1 (2)'!$D$42:$D$57</c:f>
              <c:numCache>
                <c:formatCode>_("$"* #,##0_);_("$"* \(#,##0\);_("$"* "-"??_);_(@_)</c:formatCode>
                <c:ptCount val="16"/>
                <c:pt idx="0">
                  <c:v>4541</c:v>
                </c:pt>
                <c:pt idx="1">
                  <c:v>6350</c:v>
                </c:pt>
                <c:pt idx="2">
                  <c:v>6303</c:v>
                </c:pt>
                <c:pt idx="3">
                  <c:v>7384</c:v>
                </c:pt>
                <c:pt idx="4">
                  <c:v>5985</c:v>
                </c:pt>
                <c:pt idx="5">
                  <c:v>6036</c:v>
                </c:pt>
                <c:pt idx="6">
                  <c:v>8771</c:v>
                </c:pt>
                <c:pt idx="7">
                  <c:v>10744</c:v>
                </c:pt>
                <c:pt idx="8">
                  <c:v>10389</c:v>
                </c:pt>
                <c:pt idx="9">
                  <c:v>11958</c:v>
                </c:pt>
                <c:pt idx="10">
                  <c:v>13757</c:v>
                </c:pt>
                <c:pt idx="11">
                  <c:v>17719</c:v>
                </c:pt>
                <c:pt idx="12">
                  <c:v>18756</c:v>
                </c:pt>
                <c:pt idx="13">
                  <c:v>16934</c:v>
                </c:pt>
                <c:pt idx="14">
                  <c:v>21454</c:v>
                </c:pt>
                <c:pt idx="15">
                  <c:v>24318</c:v>
                </c:pt>
              </c:numCache>
            </c:numRef>
          </c:val>
          <c:smooth val="0"/>
          <c:extLst>
            <c:ext xmlns:c16="http://schemas.microsoft.com/office/drawing/2014/chart" uri="{C3380CC4-5D6E-409C-BE32-E72D297353CC}">
              <c16:uniqueId val="{00000000-3B40-423D-AE93-B1EB72633230}"/>
            </c:ext>
          </c:extLst>
        </c:ser>
        <c:ser>
          <c:idx val="1"/>
          <c:order val="1"/>
          <c:tx>
            <c:strRef>
              <c:f>'Sheet1 (2)'!$J$41</c:f>
              <c:strCache>
                <c:ptCount val="1"/>
                <c:pt idx="0">
                  <c:v>TAF(.5, .25)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'Sheet1 (2)'!$J$42:$J$61</c:f>
              <c:numCache>
                <c:formatCode>_("$"* #,##0.00_);_("$"* \(#,##0.00\);_("$"* "-"??_);_(@_)</c:formatCode>
                <c:ptCount val="20"/>
                <c:pt idx="3">
                  <c:v>7384</c:v>
                </c:pt>
                <c:pt idx="4">
                  <c:v>6975.0338077603101</c:v>
                </c:pt>
                <c:pt idx="5">
                  <c:v>6457.9192589454278</c:v>
                </c:pt>
                <c:pt idx="6">
                  <c:v>7604.4652721386037</c:v>
                </c:pt>
                <c:pt idx="7">
                  <c:v>9663.2405143599244</c:v>
                </c:pt>
                <c:pt idx="8">
                  <c:v>9365.2604334834905</c:v>
                </c:pt>
                <c:pt idx="9">
                  <c:v>9621.7075550747631</c:v>
                </c:pt>
                <c:pt idx="10">
                  <c:v>13108.473413761012</c:v>
                </c:pt>
                <c:pt idx="11">
                  <c:v>16354.87130945951</c:v>
                </c:pt>
                <c:pt idx="12">
                  <c:v>15900.247910159465</c:v>
                </c:pt>
                <c:pt idx="13">
                  <c:v>17023.712381893209</c:v>
                </c:pt>
                <c:pt idx="14">
                  <c:v>21080.059651908938</c:v>
                </c:pt>
                <c:pt idx="15">
                  <c:v>25788.2973492823</c:v>
                </c:pt>
                <c:pt idx="16">
                  <c:v>23348.678160299951</c:v>
                </c:pt>
                <c:pt idx="17">
                  <c:v>22719.414947073674</c:v>
                </c:pt>
                <c:pt idx="18">
                  <c:v>27476.539024208989</c:v>
                </c:pt>
                <c:pt idx="19">
                  <c:v>32609.904255554564</c:v>
                </c:pt>
              </c:numCache>
            </c:numRef>
          </c:val>
          <c:smooth val="0"/>
          <c:extLst>
            <c:ext xmlns:c16="http://schemas.microsoft.com/office/drawing/2014/chart" uri="{C3380CC4-5D6E-409C-BE32-E72D297353CC}">
              <c16:uniqueId val="{00000001-5FED-4E01-B330-27F2BCCE9C32}"/>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974701583"/>
        <c:axId val="1974694095"/>
      </c:lineChart>
      <c:catAx>
        <c:axId val="197470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694095"/>
        <c:crosses val="autoZero"/>
        <c:auto val="1"/>
        <c:lblAlgn val="ctr"/>
        <c:lblOffset val="100"/>
        <c:noMultiLvlLbl val="0"/>
      </c:catAx>
      <c:valAx>
        <c:axId val="1974694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Reveune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70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60613</xdr:colOff>
      <xdr:row>62</xdr:row>
      <xdr:rowOff>125139</xdr:rowOff>
    </xdr:from>
    <xdr:to>
      <xdr:col>7</xdr:col>
      <xdr:colOff>1075765</xdr:colOff>
      <xdr:row>82</xdr:row>
      <xdr:rowOff>25978</xdr:rowOff>
    </xdr:to>
    <xdr:graphicFrame macro="">
      <xdr:nvGraphicFramePr>
        <xdr:cNvPr id="2" name="Chart 1">
          <a:extLst>
            <a:ext uri="{FF2B5EF4-FFF2-40B4-BE49-F238E27FC236}">
              <a16:creationId xmlns:a16="http://schemas.microsoft.com/office/drawing/2014/main" id="{5A7CD934-085C-4AE5-A07B-AA424B848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437029</xdr:colOff>
      <xdr:row>84</xdr:row>
      <xdr:rowOff>68762</xdr:rowOff>
    </xdr:from>
    <xdr:to>
      <xdr:col>14</xdr:col>
      <xdr:colOff>728383</xdr:colOff>
      <xdr:row>139</xdr:row>
      <xdr:rowOff>22412</xdr:rowOff>
    </xdr:to>
    <xdr:sp macro="" textlink="">
      <xdr:nvSpPr>
        <xdr:cNvPr id="5" name="TextBox 4">
          <a:extLst>
            <a:ext uri="{FF2B5EF4-FFF2-40B4-BE49-F238E27FC236}">
              <a16:creationId xmlns:a16="http://schemas.microsoft.com/office/drawing/2014/main" id="{9366CE72-2226-4013-87D1-CC89ED362966}"/>
            </a:ext>
          </a:extLst>
        </xdr:cNvPr>
        <xdr:cNvSpPr txBox="1"/>
      </xdr:nvSpPr>
      <xdr:spPr>
        <a:xfrm>
          <a:off x="2005853" y="16911203"/>
          <a:ext cx="11172265" cy="10688885"/>
        </a:xfrm>
        <a:prstGeom prst="rect">
          <a:avLst/>
        </a:prstGeom>
        <a:solidFill>
          <a:schemeClr val="lt1"/>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p>
        <a:p>
          <a:pPr algn="ctr"/>
          <a:r>
            <a:rPr lang="en-US" sz="2400" b="1"/>
            <a:t>Summary</a:t>
          </a:r>
        </a:p>
        <a:p>
          <a:pPr algn="ctr"/>
          <a:endParaRPr lang="en-US" sz="1100" b="1"/>
        </a:p>
        <a:p>
          <a:pPr algn="ctr"/>
          <a:endParaRPr lang="en-US" sz="1100" b="1"/>
        </a:p>
        <a:p>
          <a:pPr lvl="0" indent="-457200" algn="l"/>
          <a:r>
            <a:rPr lang="en-US" sz="1600" b="1"/>
            <a:t>	The Tesla sales shows an upward trend</a:t>
          </a:r>
          <a:r>
            <a:rPr lang="en-US" sz="1600" b="1" baseline="0"/>
            <a:t> between 2019 and 2022. The maximum sales was observed in 2022 (2022). The best forecast method is TAF (0.5, 0.25) because it shows the lowest mean absolute deviation from the actual sales. Over the observed 4 years, the actual Tesla sales was slightly better than the forecast. </a:t>
          </a:r>
        </a:p>
        <a:p>
          <a:pPr lvl="0" algn="l"/>
          <a:endParaRPr lang="en-US" sz="1600" b="1" baseline="0"/>
        </a:p>
        <a:p>
          <a:pPr lvl="0" algn="l"/>
          <a:r>
            <a:rPr lang="en-US" sz="1600" b="1" baseline="0"/>
            <a:t>	Looking into the future, the seasonally adjusted </a:t>
          </a:r>
          <a:r>
            <a:rPr lang="en-US" sz="1600" b="1" baseline="0">
              <a:solidFill>
                <a:schemeClr val="dk1"/>
              </a:solidFill>
              <a:effectLst/>
              <a:latin typeface="+mn-lt"/>
              <a:ea typeface="+mn-ea"/>
              <a:cs typeface="+mn-cs"/>
            </a:rPr>
            <a:t>TAF </a:t>
          </a:r>
          <a:r>
            <a:rPr lang="en-US" sz="1600" b="1" baseline="0"/>
            <a:t>forecast for 2023 shows a total sales of $106 Billion. Over 2023, the forecast shows a downward trend in the sales over the first two quarters of the year followed by a sharp upward trend over the next two quarters. The quarterly forecasts for 2023 are $23.3 Billion in Q1, $22.7 Billion in Q2, $27.5 Billion in Q3, and $32.6 Billion in Q4.</a:t>
          </a:r>
        </a:p>
        <a:p>
          <a:pPr algn="l"/>
          <a:endParaRPr lang="en-US" sz="1600" b="1" baseline="0"/>
        </a:p>
        <a:p>
          <a:pPr algn="ctr"/>
          <a:endParaRPr lang="en-US" sz="1100" b="1"/>
        </a:p>
        <a:p>
          <a:pPr algn="ctr"/>
          <a:r>
            <a:rPr lang="en-US" sz="2400" b="1"/>
            <a:t>References</a:t>
          </a:r>
        </a:p>
        <a:p>
          <a:pPr algn="ctr"/>
          <a:endParaRPr lang="en-US" sz="2400" b="1"/>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(2019, December 31). </a:t>
          </a:r>
          <a:r>
            <a:rPr lang="en-US" sz="1600" i="1">
              <a:solidFill>
                <a:schemeClr val="dk1"/>
              </a:solidFill>
              <a:effectLst/>
              <a:latin typeface="+mn-lt"/>
              <a:ea typeface="+mn-ea"/>
              <a:cs typeface="+mn-cs"/>
            </a:rPr>
            <a:t>2019 10K Report </a:t>
          </a:r>
          <a:r>
            <a:rPr lang="en-US" sz="1600">
              <a:solidFill>
                <a:schemeClr val="dk1"/>
              </a:solidFill>
              <a:effectLst/>
              <a:latin typeface="+mn-lt"/>
              <a:ea typeface="+mn-ea"/>
              <a:cs typeface="+mn-cs"/>
            </a:rPr>
            <a:t>https://www.sec.gov/ix?doc=/Archives/edgar/data/0001318605/000156459020004475/tsla-10k_20191231.htm</a:t>
          </a: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solidFill>
              <a:schemeClr val="dk1"/>
            </a:solidFill>
            <a:effectLst/>
            <a:latin typeface="+mn-lt"/>
            <a:ea typeface="+mn-ea"/>
            <a:cs typeface="+mn-cs"/>
          </a:endParaRPr>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(2020, March 31). 2020</a:t>
          </a:r>
          <a:r>
            <a:rPr lang="en-US" sz="1600" i="1">
              <a:solidFill>
                <a:schemeClr val="dk1"/>
              </a:solidFill>
              <a:effectLst/>
              <a:latin typeface="+mn-lt"/>
              <a:ea typeface="+mn-ea"/>
              <a:cs typeface="+mn-cs"/>
            </a:rPr>
            <a:t> 10Q Report </a:t>
          </a:r>
          <a:r>
            <a:rPr lang="en-US" sz="1600">
              <a:solidFill>
                <a:schemeClr val="dk1"/>
              </a:solidFill>
              <a:effectLst/>
              <a:latin typeface="+mn-lt"/>
              <a:ea typeface="+mn-ea"/>
              <a:cs typeface="+mn-cs"/>
            </a:rPr>
            <a:t>https://www.sec.gov/ix?doc=/Archives/edgar/data/0001318605/000156459020019931/tsla-10q_20200331.htm</a:t>
          </a: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(2021, March 31). </a:t>
          </a:r>
          <a:r>
            <a:rPr lang="en-US" sz="1600" i="1">
              <a:solidFill>
                <a:schemeClr val="dk1"/>
              </a:solidFill>
              <a:effectLst/>
              <a:latin typeface="+mn-lt"/>
              <a:ea typeface="+mn-ea"/>
              <a:cs typeface="+mn-cs"/>
            </a:rPr>
            <a:t>2021 10Q Report </a:t>
          </a:r>
          <a:r>
            <a:rPr lang="en-US" sz="1600">
              <a:solidFill>
                <a:schemeClr val="dk1"/>
              </a:solidFill>
              <a:effectLst/>
              <a:latin typeface="+mn-lt"/>
              <a:ea typeface="+mn-ea"/>
              <a:cs typeface="+mn-cs"/>
            </a:rPr>
            <a:t>https://www.sec.gov/ix?doc=/Archives/edgar/data/0001318605/000095017021000046/tsla-20210331.htm</a:t>
          </a: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(2021,</a:t>
          </a:r>
          <a:r>
            <a:rPr lang="en-US" sz="1600" baseline="0">
              <a:solidFill>
                <a:schemeClr val="dk1"/>
              </a:solidFill>
              <a:effectLst/>
              <a:latin typeface="+mn-lt"/>
              <a:ea typeface="+mn-ea"/>
              <a:cs typeface="+mn-cs"/>
            </a:rPr>
            <a:t> June 30.</a:t>
          </a:r>
          <a:r>
            <a:rPr lang="en-US" sz="1600">
              <a:solidFill>
                <a:schemeClr val="dk1"/>
              </a:solidFill>
              <a:effectLst/>
              <a:latin typeface="+mn-lt"/>
              <a:ea typeface="+mn-ea"/>
              <a:cs typeface="+mn-cs"/>
            </a:rPr>
            <a:t>). </a:t>
          </a:r>
          <a:r>
            <a:rPr lang="en-US" sz="1600" i="1">
              <a:solidFill>
                <a:schemeClr val="dk1"/>
              </a:solidFill>
              <a:effectLst/>
              <a:latin typeface="+mn-lt"/>
              <a:ea typeface="+mn-ea"/>
              <a:cs typeface="+mn-cs"/>
            </a:rPr>
            <a:t>2021 10Q Report </a:t>
          </a:r>
          <a:r>
            <a:rPr lang="en-US" sz="1600">
              <a:solidFill>
                <a:schemeClr val="dk1"/>
              </a:solidFill>
              <a:effectLst/>
              <a:latin typeface="+mn-lt"/>
              <a:ea typeface="+mn-ea"/>
              <a:cs typeface="+mn-cs"/>
            </a:rPr>
            <a:t>https://www.sec.gov/ix?doc=/Archives/edgar/data/0001318605/000095017021000524/tsla-20210630.htm</a:t>
          </a:r>
          <a:endParaRPr lang="en-US" sz="1600">
            <a:effectLst/>
          </a:endParaRP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(2021, September 30). </a:t>
          </a:r>
          <a:r>
            <a:rPr lang="en-US" sz="1600" i="1">
              <a:solidFill>
                <a:schemeClr val="dk1"/>
              </a:solidFill>
              <a:effectLst/>
              <a:latin typeface="+mn-lt"/>
              <a:ea typeface="+mn-ea"/>
              <a:cs typeface="+mn-cs"/>
            </a:rPr>
            <a:t>2019 10Q Report </a:t>
          </a:r>
          <a:r>
            <a:rPr lang="en-US" sz="1600">
              <a:solidFill>
                <a:schemeClr val="dk1"/>
              </a:solidFill>
              <a:effectLst/>
              <a:latin typeface="+mn-lt"/>
              <a:ea typeface="+mn-ea"/>
              <a:cs typeface="+mn-cs"/>
            </a:rPr>
            <a:t>https://www.sec.gov/ix?doc=/Archives/edgar/data/0001318605/000095017021002253/tsla-20210930.htm</a:t>
          </a:r>
          <a:endParaRPr lang="en-US" sz="1600">
            <a:effectLst/>
          </a:endParaRP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a:t>
          </a:r>
          <a:r>
            <a:rPr lang="en-US" sz="1600" i="1">
              <a:solidFill>
                <a:schemeClr val="dk1"/>
              </a:solidFill>
              <a:effectLst/>
              <a:latin typeface="+mn-lt"/>
              <a:ea typeface="+mn-ea"/>
              <a:cs typeface="+mn-cs"/>
            </a:rPr>
            <a:t>2021</a:t>
          </a:r>
          <a:r>
            <a:rPr lang="en-US" sz="1600">
              <a:solidFill>
                <a:schemeClr val="dk1"/>
              </a:solidFill>
              <a:effectLst/>
              <a:latin typeface="+mn-lt"/>
              <a:ea typeface="+mn-ea"/>
              <a:cs typeface="+mn-cs"/>
            </a:rPr>
            <a:t>, December 31). </a:t>
          </a:r>
          <a:r>
            <a:rPr lang="en-US" sz="1600" i="1">
              <a:solidFill>
                <a:schemeClr val="dk1"/>
              </a:solidFill>
              <a:effectLst/>
              <a:latin typeface="+mn-lt"/>
              <a:ea typeface="+mn-ea"/>
              <a:cs typeface="+mn-cs"/>
            </a:rPr>
            <a:t>2021 10K Report </a:t>
          </a:r>
          <a:r>
            <a:rPr lang="en-US" sz="1600">
              <a:solidFill>
                <a:schemeClr val="dk1"/>
              </a:solidFill>
              <a:effectLst/>
              <a:latin typeface="+mn-lt"/>
              <a:ea typeface="+mn-ea"/>
              <a:cs typeface="+mn-cs"/>
            </a:rPr>
            <a:t>https://www.sec.gov/ix?doc=/Archives/edgar/data/0001318605/000095017022000796/tsla-20211231.htm</a:t>
          </a: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1">
            <a:solidFill>
              <a:schemeClr val="dk1"/>
            </a:solidFill>
            <a:effectLst/>
            <a:latin typeface="+mn-lt"/>
            <a:ea typeface="+mn-ea"/>
            <a:cs typeface="+mn-cs"/>
          </a:endParaRPr>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a:t>
          </a:r>
          <a:r>
            <a:rPr lang="en-US" sz="1600" i="1">
              <a:solidFill>
                <a:schemeClr val="dk1"/>
              </a:solidFill>
              <a:effectLst/>
              <a:latin typeface="+mn-lt"/>
              <a:ea typeface="+mn-ea"/>
              <a:cs typeface="+mn-cs"/>
            </a:rPr>
            <a:t>2021</a:t>
          </a:r>
          <a:r>
            <a:rPr lang="en-US" sz="1600">
              <a:solidFill>
                <a:schemeClr val="dk1"/>
              </a:solidFill>
              <a:effectLst/>
              <a:latin typeface="+mn-lt"/>
              <a:ea typeface="+mn-ea"/>
              <a:cs typeface="+mn-cs"/>
            </a:rPr>
            <a:t>, December 31). </a:t>
          </a:r>
          <a:r>
            <a:rPr lang="en-US" sz="1600" i="1">
              <a:solidFill>
                <a:schemeClr val="dk1"/>
              </a:solidFill>
              <a:effectLst/>
              <a:latin typeface="+mn-lt"/>
              <a:ea typeface="+mn-ea"/>
              <a:cs typeface="+mn-cs"/>
            </a:rPr>
            <a:t>2021 10K Report </a:t>
          </a:r>
          <a:r>
            <a:rPr lang="en-US" sz="1600" b="0"/>
            <a:t>https://www.sec.gov/ix?doc=/Archives/edgar/data/0001318605/000156459022016871/tsla-10ka_20211231.htm</a:t>
          </a:r>
        </a:p>
        <a:p>
          <a:pPr marL="457200" marR="0" lvl="0" indent="-457200" algn="l" defTabSz="914400" eaLnBrk="1" fontAlgn="auto" latinLnBrk="0" hangingPunct="1">
            <a:lnSpc>
              <a:spcPct val="100000"/>
            </a:lnSpc>
            <a:spcBef>
              <a:spcPts val="0"/>
            </a:spcBef>
            <a:spcAft>
              <a:spcPts val="0"/>
            </a:spcAft>
            <a:buClrTx/>
            <a:buSzTx/>
            <a:buFontTx/>
            <a:buNone/>
            <a:tabLst/>
            <a:defRPr/>
          </a:pPr>
          <a:endParaRPr lang="en-US" sz="1600" b="0"/>
        </a:p>
        <a:p>
          <a:pPr marL="457200" marR="0" lvl="0" indent="-457200" algn="l"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TESLA. (</a:t>
          </a:r>
          <a:r>
            <a:rPr lang="en-US" sz="1600" i="1">
              <a:solidFill>
                <a:schemeClr val="dk1"/>
              </a:solidFill>
              <a:effectLst/>
              <a:latin typeface="+mn-lt"/>
              <a:ea typeface="+mn-ea"/>
              <a:cs typeface="+mn-cs"/>
            </a:rPr>
            <a:t>2022</a:t>
          </a:r>
          <a:r>
            <a:rPr lang="en-US" sz="1600">
              <a:solidFill>
                <a:schemeClr val="dk1"/>
              </a:solidFill>
              <a:effectLst/>
              <a:latin typeface="+mn-lt"/>
              <a:ea typeface="+mn-ea"/>
              <a:cs typeface="+mn-cs"/>
            </a:rPr>
            <a:t>, December 31). </a:t>
          </a:r>
          <a:r>
            <a:rPr lang="en-US" sz="1600" i="1">
              <a:solidFill>
                <a:schemeClr val="dk1"/>
              </a:solidFill>
              <a:effectLst/>
              <a:latin typeface="+mn-lt"/>
              <a:ea typeface="+mn-ea"/>
              <a:cs typeface="+mn-cs"/>
            </a:rPr>
            <a:t>2022 10K Report </a:t>
          </a:r>
          <a:r>
            <a:rPr lang="en-US" sz="1600" b="0"/>
            <a:t>https://www.sec.gov/ix?doc=/Archives/edgar/data/0001318605/000095017023001409/tsla-20221231.htm</a:t>
          </a:r>
        </a:p>
      </xdr:txBody>
    </xdr:sp>
    <xdr:clientData/>
  </xdr:twoCellAnchor>
  <xdr:twoCellAnchor>
    <xdr:from>
      <xdr:col>8</xdr:col>
      <xdr:colOff>425825</xdr:colOff>
      <xdr:row>62</xdr:row>
      <xdr:rowOff>156287</xdr:rowOff>
    </xdr:from>
    <xdr:to>
      <xdr:col>17</xdr:col>
      <xdr:colOff>4585</xdr:colOff>
      <xdr:row>82</xdr:row>
      <xdr:rowOff>29543</xdr:rowOff>
    </xdr:to>
    <xdr:graphicFrame macro="">
      <xdr:nvGraphicFramePr>
        <xdr:cNvPr id="6" name="Chart 5">
          <a:extLst>
            <a:ext uri="{FF2B5EF4-FFF2-40B4-BE49-F238E27FC236}">
              <a16:creationId xmlns:a16="http://schemas.microsoft.com/office/drawing/2014/main" id="{3D2E0695-50C0-22E7-CB06-FDB73C84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22412</xdr:colOff>
      <xdr:row>5</xdr:row>
      <xdr:rowOff>11206</xdr:rowOff>
    </xdr:from>
    <xdr:to>
      <xdr:col>13</xdr:col>
      <xdr:colOff>123265</xdr:colOff>
      <xdr:row>12</xdr:row>
      <xdr:rowOff>100853</xdr:rowOff>
    </xdr:to>
    <xdr:sp macro="" textlink="">
      <xdr:nvSpPr>
        <xdr:cNvPr id="7" name="Rectangle 6">
          <a:extLst>
            <a:ext uri="{FF2B5EF4-FFF2-40B4-BE49-F238E27FC236}">
              <a16:creationId xmlns:a16="http://schemas.microsoft.com/office/drawing/2014/main" id="{250C059B-18BD-B3E1-FDBD-0E3690434FA7}"/>
            </a:ext>
          </a:extLst>
        </xdr:cNvPr>
        <xdr:cNvSpPr/>
      </xdr:nvSpPr>
      <xdr:spPr>
        <a:xfrm>
          <a:off x="10746441" y="201706"/>
          <a:ext cx="3563471" cy="14231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656666</xdr:colOff>
      <xdr:row>5</xdr:row>
      <xdr:rowOff>17930</xdr:rowOff>
    </xdr:from>
    <xdr:to>
      <xdr:col>16</xdr:col>
      <xdr:colOff>280147</xdr:colOff>
      <xdr:row>12</xdr:row>
      <xdr:rowOff>107577</xdr:rowOff>
    </xdr:to>
    <xdr:sp macro="" textlink="">
      <xdr:nvSpPr>
        <xdr:cNvPr id="8" name="Rectangle 7">
          <a:extLst>
            <a:ext uri="{FF2B5EF4-FFF2-40B4-BE49-F238E27FC236}">
              <a16:creationId xmlns:a16="http://schemas.microsoft.com/office/drawing/2014/main" id="{DF3E9D85-3D0D-497B-B02D-A5093798B8FB}"/>
            </a:ext>
          </a:extLst>
        </xdr:cNvPr>
        <xdr:cNvSpPr/>
      </xdr:nvSpPr>
      <xdr:spPr>
        <a:xfrm>
          <a:off x="12243548" y="208430"/>
          <a:ext cx="2223246" cy="14231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0.58197</cdr:x>
      <cdr:y>0.21596</cdr:y>
    </cdr:from>
    <cdr:to>
      <cdr:x>0.7976</cdr:x>
      <cdr:y>0.49831</cdr:y>
    </cdr:to>
    <cdr:cxnSp macro="">
      <cdr:nvCxnSpPr>
        <cdr:cNvPr id="5" name="Straight Arrow Connector 4">
          <a:extLst xmlns:a="http://schemas.openxmlformats.org/drawingml/2006/main">
            <a:ext uri="{FF2B5EF4-FFF2-40B4-BE49-F238E27FC236}">
              <a16:creationId xmlns:a16="http://schemas.microsoft.com/office/drawing/2014/main" id="{760D8A0C-4017-1048-2F81-3A64E9FB80F9}"/>
            </a:ext>
          </a:extLst>
        </cdr:cNvPr>
        <cdr:cNvCxnSpPr/>
      </cdr:nvCxnSpPr>
      <cdr:spPr>
        <a:xfrm xmlns:a="http://schemas.openxmlformats.org/drawingml/2006/main" flipV="1">
          <a:off x="3361234" y="801384"/>
          <a:ext cx="1245403" cy="1047764"/>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AEA56-D2E5-404C-8F48-6B0884194C1A}">
  <dimension ref="A1:S103"/>
  <sheetViews>
    <sheetView tabSelected="1" zoomScale="85" zoomScaleNormal="85" workbookViewId="0">
      <selection activeCell="S9" sqref="S9"/>
    </sheetView>
  </sheetViews>
  <sheetFormatPr defaultRowHeight="15" x14ac:dyDescent="0.25"/>
  <cols>
    <col min="2" max="2" width="14.42578125" customWidth="1"/>
    <col min="3" max="3" width="10.140625" customWidth="1"/>
    <col min="4" max="4" width="13.140625" customWidth="1"/>
    <col min="5" max="5" width="13" customWidth="1"/>
    <col min="6" max="6" width="17.85546875" customWidth="1"/>
    <col min="7" max="7" width="16.140625" customWidth="1"/>
    <col min="8" max="8" width="17" customWidth="1"/>
    <col min="9" max="9" width="11.85546875" customWidth="1"/>
    <col min="10" max="10" width="13" customWidth="1"/>
    <col min="11" max="11" width="13.7109375" customWidth="1"/>
    <col min="12" max="12" width="11.5703125" customWidth="1"/>
    <col min="13" max="14" width="12.85546875" customWidth="1"/>
    <col min="15" max="15" width="14.28515625" customWidth="1"/>
    <col min="16" max="16" width="11.7109375" customWidth="1"/>
    <col min="17" max="17" width="11.85546875" bestFit="1" customWidth="1"/>
    <col min="18" max="18" width="8.7109375" bestFit="1" customWidth="1"/>
    <col min="19" max="19" width="16.140625" bestFit="1" customWidth="1"/>
  </cols>
  <sheetData>
    <row r="1" spans="1:17" ht="15.75" thickBot="1" x14ac:dyDescent="0.3"/>
    <row r="2" spans="1:17" x14ac:dyDescent="0.25">
      <c r="A2" s="32" t="s">
        <v>48</v>
      </c>
      <c r="B2" s="33"/>
      <c r="C2" s="33"/>
      <c r="D2" s="33"/>
      <c r="E2" s="33"/>
      <c r="F2" s="33"/>
      <c r="G2" s="33"/>
      <c r="H2" s="33"/>
      <c r="I2" s="33"/>
      <c r="J2" s="33"/>
      <c r="K2" s="33"/>
      <c r="L2" s="33"/>
      <c r="M2" s="33"/>
      <c r="N2" s="33"/>
      <c r="O2" s="33"/>
      <c r="P2" s="33"/>
      <c r="Q2" s="34"/>
    </row>
    <row r="3" spans="1:17" ht="15.75" thickBot="1" x14ac:dyDescent="0.3">
      <c r="A3" s="35"/>
      <c r="B3" s="36"/>
      <c r="C3" s="36"/>
      <c r="D3" s="36"/>
      <c r="E3" s="36"/>
      <c r="F3" s="36"/>
      <c r="G3" s="36"/>
      <c r="H3" s="36"/>
      <c r="I3" s="36"/>
      <c r="J3" s="36"/>
      <c r="K3" s="36"/>
      <c r="L3" s="36"/>
      <c r="M3" s="36"/>
      <c r="N3" s="36"/>
      <c r="O3" s="36"/>
      <c r="P3" s="36"/>
      <c r="Q3" s="37"/>
    </row>
    <row r="5" spans="1:17" x14ac:dyDescent="0.25">
      <c r="A5" s="20" t="s">
        <v>0</v>
      </c>
      <c r="B5" s="5" t="s">
        <v>1</v>
      </c>
    </row>
    <row r="6" spans="1:17" x14ac:dyDescent="0.25">
      <c r="A6" s="20" t="s">
        <v>2</v>
      </c>
      <c r="B6" s="5">
        <v>8</v>
      </c>
    </row>
    <row r="7" spans="1:17" x14ac:dyDescent="0.25">
      <c r="A7" s="20" t="s">
        <v>39</v>
      </c>
      <c r="B7" s="1" t="s">
        <v>37</v>
      </c>
      <c r="C7" s="1"/>
      <c r="J7" s="31" t="s">
        <v>3</v>
      </c>
      <c r="K7" s="31"/>
      <c r="L7" s="31"/>
      <c r="M7" s="31"/>
      <c r="P7" s="22" t="s">
        <v>41</v>
      </c>
    </row>
    <row r="8" spans="1:17" x14ac:dyDescent="0.25">
      <c r="J8" s="8" t="s">
        <v>4</v>
      </c>
      <c r="K8" s="9">
        <f t="array" ref="K8:L12">LINEST(H17:H32,C17:C32,TRUE,TRUE)</f>
        <v>1205.5403845649353</v>
      </c>
      <c r="L8" s="9">
        <v>1815.2547833517128</v>
      </c>
      <c r="M8" s="8" t="s">
        <v>5</v>
      </c>
      <c r="O8" s="23" t="s">
        <v>25</v>
      </c>
      <c r="P8" s="7">
        <f>(G21+G25+G29)/3</f>
        <v>0.96064375365048971</v>
      </c>
    </row>
    <row r="9" spans="1:17" x14ac:dyDescent="0.25">
      <c r="A9" s="30" t="s">
        <v>6</v>
      </c>
      <c r="B9" s="30"/>
      <c r="C9" s="30"/>
      <c r="D9" s="1">
        <v>3</v>
      </c>
      <c r="J9" s="8" t="s">
        <v>7</v>
      </c>
      <c r="K9" s="9">
        <v>89.9881240407733</v>
      </c>
      <c r="L9" s="9">
        <v>870.14374720117701</v>
      </c>
      <c r="M9" s="8" t="s">
        <v>8</v>
      </c>
      <c r="O9" s="23" t="s">
        <v>26</v>
      </c>
      <c r="P9" s="7">
        <f>(G30+G26+G22)/3</f>
        <v>0.87518341069223293</v>
      </c>
    </row>
    <row r="10" spans="1:17" x14ac:dyDescent="0.25">
      <c r="A10" s="30" t="s">
        <v>44</v>
      </c>
      <c r="B10" s="30"/>
      <c r="C10" s="30"/>
      <c r="D10" s="1">
        <v>7</v>
      </c>
      <c r="E10" s="1">
        <v>5</v>
      </c>
      <c r="F10" s="1">
        <v>3</v>
      </c>
      <c r="G10" s="1">
        <v>1</v>
      </c>
      <c r="J10" s="8" t="s">
        <v>9</v>
      </c>
      <c r="K10" s="9">
        <v>0.92763755570922113</v>
      </c>
      <c r="L10" s="9">
        <v>1659.2990204445928</v>
      </c>
      <c r="M10" s="8" t="s">
        <v>10</v>
      </c>
      <c r="O10" s="23" t="s">
        <v>27</v>
      </c>
      <c r="P10" s="7">
        <f>(G23+G19+G27)/3</f>
        <v>0.99502323731496134</v>
      </c>
    </row>
    <row r="11" spans="1:17" x14ac:dyDescent="0.25">
      <c r="A11" s="30" t="s">
        <v>46</v>
      </c>
      <c r="B11" s="30"/>
      <c r="C11" s="30"/>
      <c r="D11" s="1">
        <v>0.3</v>
      </c>
      <c r="E11" s="1">
        <v>0.8</v>
      </c>
      <c r="J11" s="8" t="s">
        <v>11</v>
      </c>
      <c r="K11" s="9">
        <v>179.47052379467547</v>
      </c>
      <c r="L11" s="9">
        <v>14</v>
      </c>
      <c r="M11" s="8" t="s">
        <v>12</v>
      </c>
      <c r="O11" s="23" t="s">
        <v>28</v>
      </c>
      <c r="P11" s="7">
        <f>(G20+G24+G28)/3</f>
        <v>1.1141703017754396</v>
      </c>
    </row>
    <row r="12" spans="1:17" x14ac:dyDescent="0.25">
      <c r="A12" s="30" t="s">
        <v>47</v>
      </c>
      <c r="B12" s="30"/>
      <c r="C12" s="30"/>
      <c r="D12" s="1">
        <v>0.5</v>
      </c>
      <c r="E12" s="1">
        <v>0.25</v>
      </c>
      <c r="J12" s="8" t="s">
        <v>13</v>
      </c>
      <c r="K12" s="10">
        <v>494131390.39777046</v>
      </c>
      <c r="L12" s="10">
        <v>38545825.349477388</v>
      </c>
      <c r="M12" s="8" t="s">
        <v>14</v>
      </c>
    </row>
    <row r="13" spans="1:17" x14ac:dyDescent="0.25">
      <c r="J13" s="2"/>
      <c r="K13" s="3"/>
      <c r="L13" s="3"/>
    </row>
    <row r="14" spans="1:17" x14ac:dyDescent="0.25">
      <c r="J14" s="2"/>
      <c r="K14" s="3"/>
      <c r="L14" s="3"/>
    </row>
    <row r="15" spans="1:17" ht="28.5" x14ac:dyDescent="0.45">
      <c r="A15" s="39" t="s">
        <v>15</v>
      </c>
      <c r="B15" s="39"/>
      <c r="C15" s="39"/>
      <c r="D15" s="39"/>
      <c r="E15" s="39"/>
      <c r="F15" s="39"/>
      <c r="G15" s="39"/>
      <c r="I15" s="38" t="s">
        <v>38</v>
      </c>
      <c r="J15" s="38"/>
      <c r="K15" s="38"/>
      <c r="L15" s="38"/>
      <c r="M15" s="38"/>
      <c r="N15" s="38"/>
    </row>
    <row r="16" spans="1:17" s="4" customFormat="1" ht="40.5" customHeight="1" x14ac:dyDescent="0.25">
      <c r="A16" s="11" t="s">
        <v>16</v>
      </c>
      <c r="B16" s="11" t="s">
        <v>17</v>
      </c>
      <c r="C16" s="11" t="s">
        <v>18</v>
      </c>
      <c r="D16" s="11" t="s">
        <v>33</v>
      </c>
      <c r="E16" s="11" t="s">
        <v>19</v>
      </c>
      <c r="F16" s="11" t="s">
        <v>20</v>
      </c>
      <c r="G16" s="11" t="s">
        <v>40</v>
      </c>
      <c r="H16" s="12" t="s">
        <v>42</v>
      </c>
      <c r="I16" s="24" t="s">
        <v>21</v>
      </c>
      <c r="J16" s="24" t="s">
        <v>34</v>
      </c>
      <c r="K16" s="24" t="s">
        <v>35</v>
      </c>
      <c r="L16" s="24" t="s">
        <v>36</v>
      </c>
      <c r="M16" s="24" t="s">
        <v>22</v>
      </c>
      <c r="N16" s="24" t="s">
        <v>32</v>
      </c>
      <c r="O16" s="11" t="s">
        <v>23</v>
      </c>
      <c r="P16" s="11" t="s">
        <v>24</v>
      </c>
    </row>
    <row r="17" spans="1:16" x14ac:dyDescent="0.25">
      <c r="A17" s="27">
        <v>2019</v>
      </c>
      <c r="B17" s="5" t="s">
        <v>25</v>
      </c>
      <c r="C17" s="5">
        <v>1</v>
      </c>
      <c r="D17" s="15">
        <v>4541</v>
      </c>
      <c r="E17" s="14"/>
      <c r="F17" s="14"/>
      <c r="G17" s="1"/>
      <c r="H17" s="18">
        <f>D17/q1index</f>
        <v>4727.0384913699745</v>
      </c>
      <c r="I17" s="16"/>
      <c r="J17" s="16"/>
      <c r="K17" s="16">
        <f>H17</f>
        <v>4727.0384913699745</v>
      </c>
      <c r="L17" s="16">
        <f>H17</f>
        <v>4727.0384913699745</v>
      </c>
      <c r="M17" s="16">
        <f t="shared" ref="M17:M36" si="0">intercept+slope*C17</f>
        <v>3020.7951679166481</v>
      </c>
      <c r="N17" s="17"/>
      <c r="O17" s="14"/>
      <c r="P17" s="14"/>
    </row>
    <row r="18" spans="1:16" x14ac:dyDescent="0.25">
      <c r="A18" s="28"/>
      <c r="B18" s="5" t="s">
        <v>26</v>
      </c>
      <c r="C18" s="5">
        <v>2</v>
      </c>
      <c r="D18" s="15">
        <v>6350</v>
      </c>
      <c r="E18" s="14"/>
      <c r="F18" s="14"/>
      <c r="G18" s="1"/>
      <c r="H18" s="18">
        <f>D18/q2index</f>
        <v>7255.6219901122431</v>
      </c>
      <c r="I18" s="16"/>
      <c r="J18" s="16"/>
      <c r="K18" s="16">
        <f>K17+0.3*(H17-K17)</f>
        <v>4727.0384913699745</v>
      </c>
      <c r="L18" s="16">
        <f>L17+0.8*(H17-L17)</f>
        <v>4727.0384913699745</v>
      </c>
      <c r="M18" s="16">
        <f t="shared" si="0"/>
        <v>4226.3355524815834</v>
      </c>
      <c r="N18" s="16"/>
      <c r="O18" s="14"/>
      <c r="P18" s="14"/>
    </row>
    <row r="19" spans="1:16" x14ac:dyDescent="0.25">
      <c r="A19" s="28"/>
      <c r="B19" s="5" t="s">
        <v>27</v>
      </c>
      <c r="C19" s="5">
        <v>3</v>
      </c>
      <c r="D19" s="15">
        <v>6303</v>
      </c>
      <c r="E19" s="14">
        <f>AVERAGE(D17:D20)</f>
        <v>6144.5</v>
      </c>
      <c r="F19" s="14">
        <f>AVERAGE(E19:E20)</f>
        <v>6325</v>
      </c>
      <c r="G19" s="6">
        <f>D19/F19</f>
        <v>0.99652173913043474</v>
      </c>
      <c r="H19" s="18">
        <f>D19/q3index</f>
        <v>6334.5254297863894</v>
      </c>
      <c r="I19" s="16"/>
      <c r="J19" s="16"/>
      <c r="K19" s="16">
        <f t="shared" ref="K19:K33" si="1">K18+0.3*(H18-K18)</f>
        <v>5485.6135409926555</v>
      </c>
      <c r="L19" s="16">
        <f t="shared" ref="L19:L32" si="2">L18+0.8*(H18-L18)</f>
        <v>6749.9052903637894</v>
      </c>
      <c r="M19" s="16">
        <f t="shared" si="0"/>
        <v>5431.8759370465186</v>
      </c>
      <c r="N19" s="16"/>
      <c r="O19" s="14"/>
      <c r="P19" s="14"/>
    </row>
    <row r="20" spans="1:16" x14ac:dyDescent="0.25">
      <c r="A20" s="29"/>
      <c r="B20" s="5" t="s">
        <v>28</v>
      </c>
      <c r="C20" s="5">
        <v>4</v>
      </c>
      <c r="D20" s="15">
        <v>7384</v>
      </c>
      <c r="E20" s="14">
        <f t="shared" ref="E20:E31" si="3">AVERAGE(D18:D21)</f>
        <v>6505.5</v>
      </c>
      <c r="F20" s="14">
        <f t="shared" ref="F20:F30" si="4">AVERAGE(E20:E21)</f>
        <v>6466.25</v>
      </c>
      <c r="G20" s="6">
        <f>D20/F20</f>
        <v>1.1419292480185579</v>
      </c>
      <c r="H20" s="18">
        <f>D20/q4index</f>
        <v>6627.3530969489448</v>
      </c>
      <c r="I20" s="16">
        <f>(H19+H18+H17)/3</f>
        <v>6105.7286370895354</v>
      </c>
      <c r="J20" s="16"/>
      <c r="K20" s="16">
        <f t="shared" si="1"/>
        <v>5740.2871076307756</v>
      </c>
      <c r="L20" s="16">
        <f t="shared" si="2"/>
        <v>6417.6014019018694</v>
      </c>
      <c r="M20" s="16">
        <f t="shared" si="0"/>
        <v>6637.4163216114539</v>
      </c>
      <c r="N20" s="16">
        <f>H20</f>
        <v>6627.3530969489448</v>
      </c>
      <c r="O20" s="14">
        <f>N20+0.5*(H20-N20)</f>
        <v>6627.3530969489448</v>
      </c>
      <c r="P20" s="14">
        <f>(H20-H17)/3</f>
        <v>633.43820185965671</v>
      </c>
    </row>
    <row r="21" spans="1:16" x14ac:dyDescent="0.25">
      <c r="A21" s="27">
        <v>2020</v>
      </c>
      <c r="B21" s="5" t="s">
        <v>25</v>
      </c>
      <c r="C21" s="5">
        <v>5</v>
      </c>
      <c r="D21" s="15">
        <v>5985</v>
      </c>
      <c r="E21" s="14">
        <f t="shared" si="3"/>
        <v>6427</v>
      </c>
      <c r="F21" s="14">
        <f t="shared" si="4"/>
        <v>6735.5</v>
      </c>
      <c r="G21" s="6">
        <f t="shared" ref="G21:G30" si="5">D21/F21</f>
        <v>0.8885754583921015</v>
      </c>
      <c r="H21" s="18">
        <f>D21/q1index</f>
        <v>6230.1971748181668</v>
      </c>
      <c r="I21" s="16">
        <f t="shared" ref="I21:I32" si="6">(H20+H19+H18)/3</f>
        <v>6739.1668389491924</v>
      </c>
      <c r="J21" s="16">
        <f>(7*H20+5*H19+3*H18+1*H17)/(7+5+3+1)</f>
        <v>6534.8752055800796</v>
      </c>
      <c r="K21" s="16">
        <f t="shared" si="1"/>
        <v>6006.406904426226</v>
      </c>
      <c r="L21" s="16">
        <f t="shared" si="2"/>
        <v>6585.4027579395297</v>
      </c>
      <c r="M21" s="16">
        <f t="shared" si="0"/>
        <v>7842.9567061763892</v>
      </c>
      <c r="N21" s="16">
        <f>O20+P20</f>
        <v>7260.7912988086018</v>
      </c>
      <c r="O21" s="14">
        <f>N21+0.5*(H21-N21)</f>
        <v>6745.4942368133843</v>
      </c>
      <c r="P21" s="14">
        <f>P20+0.25*(N21-N20-P20)</f>
        <v>633.43820185965683</v>
      </c>
    </row>
    <row r="22" spans="1:16" x14ac:dyDescent="0.25">
      <c r="A22" s="28"/>
      <c r="B22" s="5" t="s">
        <v>26</v>
      </c>
      <c r="C22" s="5">
        <v>6</v>
      </c>
      <c r="D22" s="15">
        <v>6036</v>
      </c>
      <c r="E22" s="14">
        <f t="shared" si="3"/>
        <v>7044</v>
      </c>
      <c r="F22" s="14">
        <f t="shared" si="4"/>
        <v>7464</v>
      </c>
      <c r="G22" s="6">
        <f t="shared" si="5"/>
        <v>0.8086816720257235</v>
      </c>
      <c r="H22" s="18">
        <f>D22/q2index</f>
        <v>6896.8400523334649</v>
      </c>
      <c r="I22" s="16">
        <f t="shared" si="6"/>
        <v>6397.3585671845003</v>
      </c>
      <c r="J22" s="16">
        <f t="shared" ref="J22:J36" si="7">(7*H21+5*H20+3*H19+1*H18)/(7+5+3+1)</f>
        <v>6437.9589992464553</v>
      </c>
      <c r="K22" s="16">
        <f t="shared" si="1"/>
        <v>6073.543985543808</v>
      </c>
      <c r="L22" s="16">
        <f t="shared" si="2"/>
        <v>6301.2382914424397</v>
      </c>
      <c r="M22" s="16">
        <f t="shared" si="0"/>
        <v>9048.4970907413244</v>
      </c>
      <c r="N22" s="16">
        <f t="shared" ref="N22:N36" si="8">O21+P21</f>
        <v>7378.9324386730414</v>
      </c>
      <c r="O22" s="14">
        <f t="shared" ref="O22:O32" si="9">N22+0.5*(H22-N22)</f>
        <v>7137.8862455032531</v>
      </c>
      <c r="P22" s="14">
        <f t="shared" ref="P22:P35" si="10">P21+0.25*(N22-N21-P21)</f>
        <v>504.61393636085251</v>
      </c>
    </row>
    <row r="23" spans="1:16" x14ac:dyDescent="0.25">
      <c r="A23" s="28"/>
      <c r="B23" s="5" t="s">
        <v>27</v>
      </c>
      <c r="C23" s="5">
        <v>7</v>
      </c>
      <c r="D23" s="15">
        <v>8771</v>
      </c>
      <c r="E23" s="14">
        <f t="shared" si="3"/>
        <v>7884</v>
      </c>
      <c r="F23" s="14">
        <f t="shared" si="4"/>
        <v>8434.5</v>
      </c>
      <c r="G23" s="6">
        <f t="shared" si="5"/>
        <v>1.0398956666073864</v>
      </c>
      <c r="H23" s="18">
        <f>D23/q3index</f>
        <v>8814.8695136691131</v>
      </c>
      <c r="I23" s="16">
        <f t="shared" si="6"/>
        <v>6584.7967747001921</v>
      </c>
      <c r="J23" s="16">
        <f t="shared" si="7"/>
        <v>6602.8406850661449</v>
      </c>
      <c r="K23" s="16">
        <f t="shared" si="1"/>
        <v>6320.5328055807049</v>
      </c>
      <c r="L23" s="16">
        <f t="shared" si="2"/>
        <v>6777.7197001552595</v>
      </c>
      <c r="M23" s="16">
        <f t="shared" si="0"/>
        <v>10254.037475306261</v>
      </c>
      <c r="N23" s="16">
        <f t="shared" si="8"/>
        <v>7642.5001818641058</v>
      </c>
      <c r="O23" s="14">
        <f t="shared" si="9"/>
        <v>8228.6848477666099</v>
      </c>
      <c r="P23" s="14">
        <f t="shared" si="10"/>
        <v>444.3523880684055</v>
      </c>
    </row>
    <row r="24" spans="1:16" x14ac:dyDescent="0.25">
      <c r="A24" s="29"/>
      <c r="B24" s="5" t="s">
        <v>28</v>
      </c>
      <c r="C24" s="5">
        <v>8</v>
      </c>
      <c r="D24" s="15">
        <v>10744</v>
      </c>
      <c r="E24" s="14">
        <f t="shared" si="3"/>
        <v>8985</v>
      </c>
      <c r="F24" s="14">
        <f t="shared" si="4"/>
        <v>9725.25</v>
      </c>
      <c r="G24" s="6">
        <f t="shared" si="5"/>
        <v>1.1047530911801753</v>
      </c>
      <c r="H24" s="18">
        <f>D24/q4index</f>
        <v>9643.0500641413146</v>
      </c>
      <c r="I24" s="16">
        <f t="shared" si="6"/>
        <v>7313.9689136069146</v>
      </c>
      <c r="J24" s="16">
        <f t="shared" si="7"/>
        <v>7594.139467422161</v>
      </c>
      <c r="K24" s="16">
        <f t="shared" si="1"/>
        <v>7068.8338180072278</v>
      </c>
      <c r="L24" s="16">
        <f t="shared" si="2"/>
        <v>8407.4395509663427</v>
      </c>
      <c r="M24" s="16">
        <f t="shared" si="0"/>
        <v>11459.577859871195</v>
      </c>
      <c r="N24" s="16">
        <f t="shared" si="8"/>
        <v>8673.037235835016</v>
      </c>
      <c r="O24" s="14">
        <f t="shared" si="9"/>
        <v>9158.0436499881653</v>
      </c>
      <c r="P24" s="14">
        <f t="shared" si="10"/>
        <v>590.89855454403164</v>
      </c>
    </row>
    <row r="25" spans="1:16" x14ac:dyDescent="0.25">
      <c r="A25" s="27">
        <v>2021</v>
      </c>
      <c r="B25" s="5" t="s">
        <v>25</v>
      </c>
      <c r="C25" s="5">
        <v>9</v>
      </c>
      <c r="D25" s="15">
        <v>10389</v>
      </c>
      <c r="E25" s="14">
        <f t="shared" si="3"/>
        <v>10465.5</v>
      </c>
      <c r="F25" s="14">
        <f t="shared" si="4"/>
        <v>11088.75</v>
      </c>
      <c r="G25" s="6">
        <f t="shared" si="5"/>
        <v>0.93689550219817386</v>
      </c>
      <c r="H25" s="18">
        <f>D25/q1index</f>
        <v>10814.622965611685</v>
      </c>
      <c r="I25" s="16">
        <f t="shared" si="6"/>
        <v>8451.586543381296</v>
      </c>
      <c r="J25" s="16">
        <f t="shared" si="7"/>
        <v>8656.0259593220835</v>
      </c>
      <c r="K25" s="16">
        <f t="shared" si="1"/>
        <v>7841.0986918474537</v>
      </c>
      <c r="L25" s="16">
        <f t="shared" si="2"/>
        <v>9395.9279615063206</v>
      </c>
      <c r="M25" s="16">
        <f t="shared" si="0"/>
        <v>12665.118244436129</v>
      </c>
      <c r="N25" s="16">
        <f t="shared" si="8"/>
        <v>9748.9422045321971</v>
      </c>
      <c r="O25" s="14">
        <f t="shared" si="9"/>
        <v>10281.782585071942</v>
      </c>
      <c r="P25" s="14">
        <f t="shared" si="10"/>
        <v>712.15015808231897</v>
      </c>
    </row>
    <row r="26" spans="1:16" x14ac:dyDescent="0.25">
      <c r="A26" s="28"/>
      <c r="B26" s="5" t="s">
        <v>26</v>
      </c>
      <c r="C26" s="5">
        <v>10</v>
      </c>
      <c r="D26" s="15">
        <v>11958</v>
      </c>
      <c r="E26" s="14">
        <f t="shared" si="3"/>
        <v>11712</v>
      </c>
      <c r="F26" s="14">
        <f t="shared" si="4"/>
        <v>12583.875</v>
      </c>
      <c r="G26" s="6">
        <f t="shared" si="5"/>
        <v>0.95026373036922251</v>
      </c>
      <c r="H26" s="18">
        <f>D26/q2index</f>
        <v>13663.421694135781</v>
      </c>
      <c r="I26" s="16">
        <f t="shared" si="6"/>
        <v>9757.5141811407047</v>
      </c>
      <c r="J26" s="16">
        <f t="shared" si="7"/>
        <v>9828.6912295830716</v>
      </c>
      <c r="K26" s="16">
        <f t="shared" si="1"/>
        <v>8733.1559739767235</v>
      </c>
      <c r="L26" s="16">
        <f t="shared" si="2"/>
        <v>10530.883964790612</v>
      </c>
      <c r="M26" s="16">
        <f t="shared" si="0"/>
        <v>13870.658629001065</v>
      </c>
      <c r="N26" s="16">
        <f t="shared" si="8"/>
        <v>10993.932743154261</v>
      </c>
      <c r="O26" s="14">
        <f t="shared" si="9"/>
        <v>12328.677218645022</v>
      </c>
      <c r="P26" s="14">
        <f t="shared" si="10"/>
        <v>845.36025321725515</v>
      </c>
    </row>
    <row r="27" spans="1:16" x14ac:dyDescent="0.25">
      <c r="A27" s="28"/>
      <c r="B27" s="5" t="s">
        <v>27</v>
      </c>
      <c r="C27" s="5">
        <v>11</v>
      </c>
      <c r="D27" s="15">
        <v>13757</v>
      </c>
      <c r="E27" s="14">
        <f t="shared" si="3"/>
        <v>13455.75</v>
      </c>
      <c r="F27" s="14">
        <f t="shared" si="4"/>
        <v>14501.625</v>
      </c>
      <c r="G27" s="6">
        <f t="shared" si="5"/>
        <v>0.94865230620706298</v>
      </c>
      <c r="H27" s="18">
        <f>D27/q3index</f>
        <v>13825.807764171244</v>
      </c>
      <c r="I27" s="16">
        <f t="shared" si="6"/>
        <v>11373.698241296261</v>
      </c>
      <c r="J27" s="16">
        <f t="shared" si="7"/>
        <v>11716.317899568872</v>
      </c>
      <c r="K27" s="16">
        <f t="shared" si="1"/>
        <v>10212.235690024441</v>
      </c>
      <c r="L27" s="16">
        <f t="shared" si="2"/>
        <v>13036.914148266747</v>
      </c>
      <c r="M27" s="16">
        <f t="shared" si="0"/>
        <v>15076.199013566002</v>
      </c>
      <c r="N27" s="16">
        <f t="shared" si="8"/>
        <v>13174.037471862277</v>
      </c>
      <c r="O27" s="14">
        <f t="shared" si="9"/>
        <v>13499.922618016761</v>
      </c>
      <c r="P27" s="14">
        <f t="shared" si="10"/>
        <v>1179.0463720899454</v>
      </c>
    </row>
    <row r="28" spans="1:16" x14ac:dyDescent="0.25">
      <c r="A28" s="29"/>
      <c r="B28" s="5" t="s">
        <v>28</v>
      </c>
      <c r="C28" s="5">
        <v>12</v>
      </c>
      <c r="D28" s="15">
        <v>17719</v>
      </c>
      <c r="E28" s="14">
        <f t="shared" si="3"/>
        <v>15547.5</v>
      </c>
      <c r="F28" s="14">
        <f t="shared" si="4"/>
        <v>16169.5</v>
      </c>
      <c r="G28" s="6">
        <f t="shared" si="5"/>
        <v>1.0958285661275859</v>
      </c>
      <c r="H28" s="18">
        <f>D28/q4index</f>
        <v>15903.31385764333</v>
      </c>
      <c r="I28" s="16">
        <f t="shared" si="6"/>
        <v>12767.950807972904</v>
      </c>
      <c r="J28" s="16">
        <f t="shared" si="7"/>
        <v>12949.042611303374</v>
      </c>
      <c r="K28" s="16">
        <f t="shared" si="1"/>
        <v>11296.307312268482</v>
      </c>
      <c r="L28" s="16">
        <f t="shared" si="2"/>
        <v>13668.029040990345</v>
      </c>
      <c r="M28" s="16">
        <f t="shared" si="0"/>
        <v>16281.739398130936</v>
      </c>
      <c r="N28" s="16">
        <f t="shared" si="8"/>
        <v>14678.968990106707</v>
      </c>
      <c r="O28" s="14">
        <f t="shared" si="9"/>
        <v>15291.141423875019</v>
      </c>
      <c r="P28" s="14">
        <f t="shared" si="10"/>
        <v>1260.5176586285666</v>
      </c>
    </row>
    <row r="29" spans="1:16" x14ac:dyDescent="0.25">
      <c r="A29" s="27">
        <v>2022</v>
      </c>
      <c r="B29" s="5" t="s">
        <v>25</v>
      </c>
      <c r="C29" s="5">
        <v>13</v>
      </c>
      <c r="D29" s="15">
        <v>18756</v>
      </c>
      <c r="E29" s="14">
        <f t="shared" si="3"/>
        <v>16791.5</v>
      </c>
      <c r="F29" s="14">
        <f t="shared" si="4"/>
        <v>17753.625</v>
      </c>
      <c r="G29" s="6">
        <f t="shared" si="5"/>
        <v>1.0564603003611939</v>
      </c>
      <c r="H29" s="18">
        <f>D29/q1index</f>
        <v>19524.407386948962</v>
      </c>
      <c r="I29" s="16">
        <f t="shared" si="6"/>
        <v>14464.181105316786</v>
      </c>
      <c r="J29" s="16">
        <f t="shared" si="7"/>
        <v>14516.070242023659</v>
      </c>
      <c r="K29" s="16">
        <f t="shared" si="1"/>
        <v>12678.409275880937</v>
      </c>
      <c r="L29" s="16">
        <f t="shared" si="2"/>
        <v>15456.256894312733</v>
      </c>
      <c r="M29" s="16">
        <f t="shared" si="0"/>
        <v>17487.27978269587</v>
      </c>
      <c r="N29" s="16">
        <f t="shared" si="8"/>
        <v>16551.659082503586</v>
      </c>
      <c r="O29" s="14">
        <f t="shared" si="9"/>
        <v>18038.033234726274</v>
      </c>
      <c r="P29" s="14">
        <f t="shared" si="10"/>
        <v>1413.5607670706445</v>
      </c>
    </row>
    <row r="30" spans="1:16" x14ac:dyDescent="0.25">
      <c r="A30" s="28"/>
      <c r="B30" s="5" t="s">
        <v>26</v>
      </c>
      <c r="C30" s="5">
        <v>14</v>
      </c>
      <c r="D30" s="15">
        <v>16934</v>
      </c>
      <c r="E30" s="14">
        <f t="shared" si="3"/>
        <v>18715.75</v>
      </c>
      <c r="F30" s="14">
        <f t="shared" si="4"/>
        <v>19540.625</v>
      </c>
      <c r="G30" s="6">
        <f t="shared" si="5"/>
        <v>0.86660482968175279</v>
      </c>
      <c r="H30" s="18">
        <f>D30/q2index</f>
        <v>19349.08705205681</v>
      </c>
      <c r="I30" s="16">
        <f t="shared" si="6"/>
        <v>16417.843002921178</v>
      </c>
      <c r="J30" s="16">
        <f t="shared" si="7"/>
        <v>16958.016623969306</v>
      </c>
      <c r="K30" s="16">
        <f t="shared" si="1"/>
        <v>14732.208709201344</v>
      </c>
      <c r="L30" s="16">
        <f t="shared" si="2"/>
        <v>18710.777288421716</v>
      </c>
      <c r="M30" s="16">
        <f t="shared" si="0"/>
        <v>18692.820167260808</v>
      </c>
      <c r="N30" s="16">
        <f t="shared" si="8"/>
        <v>19451.594001796919</v>
      </c>
      <c r="O30" s="14">
        <f t="shared" si="9"/>
        <v>19400.340526926862</v>
      </c>
      <c r="P30" s="14">
        <f t="shared" si="10"/>
        <v>1785.1543051263166</v>
      </c>
    </row>
    <row r="31" spans="1:16" x14ac:dyDescent="0.25">
      <c r="A31" s="28"/>
      <c r="B31" s="5" t="s">
        <v>27</v>
      </c>
      <c r="C31" s="5">
        <v>15</v>
      </c>
      <c r="D31" s="15">
        <v>21454</v>
      </c>
      <c r="E31" s="14">
        <f t="shared" si="3"/>
        <v>20365.5</v>
      </c>
      <c r="F31" s="14"/>
      <c r="G31" s="1" t="s">
        <v>29</v>
      </c>
      <c r="H31" s="18">
        <f>D31/q3index</f>
        <v>21561.305500656385</v>
      </c>
      <c r="I31" s="16">
        <f t="shared" si="6"/>
        <v>18258.936098883034</v>
      </c>
      <c r="J31" s="16">
        <f t="shared" si="7"/>
        <v>18412.587227265234</v>
      </c>
      <c r="K31" s="16">
        <f t="shared" si="1"/>
        <v>16117.272212057984</v>
      </c>
      <c r="L31" s="16">
        <f t="shared" si="2"/>
        <v>19221.42509932979</v>
      </c>
      <c r="M31" s="16">
        <f t="shared" si="0"/>
        <v>19898.360551825743</v>
      </c>
      <c r="N31" s="16">
        <f t="shared" si="8"/>
        <v>21185.49483205318</v>
      </c>
      <c r="O31" s="14">
        <f t="shared" si="9"/>
        <v>21373.400166354782</v>
      </c>
      <c r="P31" s="14">
        <f t="shared" si="10"/>
        <v>1772.3409364088029</v>
      </c>
    </row>
    <row r="32" spans="1:16" x14ac:dyDescent="0.25">
      <c r="A32" s="29"/>
      <c r="B32" s="5" t="s">
        <v>28</v>
      </c>
      <c r="C32" s="5">
        <v>16</v>
      </c>
      <c r="D32" s="15">
        <v>24318</v>
      </c>
      <c r="E32" s="14"/>
      <c r="F32" s="14"/>
      <c r="G32" s="1"/>
      <c r="H32" s="18">
        <f>D32/q4index</f>
        <v>21826.106800054771</v>
      </c>
      <c r="I32" s="16">
        <f t="shared" si="6"/>
        <v>20144.933313220721</v>
      </c>
      <c r="J32" s="16">
        <f t="shared" si="7"/>
        <v>20134.444361460559</v>
      </c>
      <c r="K32" s="16">
        <f t="shared" si="1"/>
        <v>17750.482198637503</v>
      </c>
      <c r="L32" s="16">
        <f t="shared" si="2"/>
        <v>21093.329420391066</v>
      </c>
      <c r="M32" s="16">
        <f t="shared" si="0"/>
        <v>21103.900936390677</v>
      </c>
      <c r="N32" s="16">
        <f t="shared" si="8"/>
        <v>23145.741102763586</v>
      </c>
      <c r="O32" s="14">
        <f t="shared" si="9"/>
        <v>22485.923951409179</v>
      </c>
      <c r="P32" s="14">
        <f t="shared" si="10"/>
        <v>1819.3172699842037</v>
      </c>
    </row>
    <row r="33" spans="1:18" x14ac:dyDescent="0.25">
      <c r="A33" s="27">
        <v>2023</v>
      </c>
      <c r="B33" s="5" t="s">
        <v>25</v>
      </c>
      <c r="C33" s="5">
        <v>17</v>
      </c>
      <c r="D33" s="15"/>
      <c r="E33" s="14"/>
      <c r="F33" s="14"/>
      <c r="G33" s="1"/>
      <c r="H33" s="18"/>
      <c r="I33" s="16">
        <f>(H32+H31+H30)/3</f>
        <v>20912.166450922654</v>
      </c>
      <c r="J33" s="16">
        <f t="shared" si="7"/>
        <v>21135.05897792404</v>
      </c>
      <c r="K33" s="16">
        <f t="shared" si="1"/>
        <v>18973.169579062684</v>
      </c>
      <c r="L33" s="16">
        <f>L32+0.8*(H32-L32)</f>
        <v>21679.551324122029</v>
      </c>
      <c r="M33" s="16">
        <f t="shared" si="0"/>
        <v>22309.441320955611</v>
      </c>
      <c r="N33" s="16">
        <f t="shared" si="8"/>
        <v>24305.241221393382</v>
      </c>
      <c r="O33" s="14">
        <f>N33+0.5*(N33-N33)</f>
        <v>24305.241221393382</v>
      </c>
      <c r="P33" s="14">
        <f t="shared" si="10"/>
        <v>1654.3629821456018</v>
      </c>
    </row>
    <row r="34" spans="1:18" x14ac:dyDescent="0.25">
      <c r="A34" s="28"/>
      <c r="B34" s="5" t="s">
        <v>26</v>
      </c>
      <c r="C34" s="5">
        <v>18</v>
      </c>
      <c r="D34" s="15"/>
      <c r="E34" s="14"/>
      <c r="F34" s="14"/>
      <c r="G34" s="1"/>
      <c r="H34" s="18"/>
      <c r="I34" s="16">
        <f>(I33+H32+H31)/3</f>
        <v>21433.192917211269</v>
      </c>
      <c r="J34" s="16">
        <f t="shared" si="7"/>
        <v>12072.721097143738</v>
      </c>
      <c r="K34" s="16">
        <f>K33+0.3*(K33-K33)</f>
        <v>18973.169579062684</v>
      </c>
      <c r="L34" s="16">
        <f>L33+0.8*(L33-L33)</f>
        <v>21679.551324122029</v>
      </c>
      <c r="M34" s="16">
        <f t="shared" si="0"/>
        <v>23514.981705520546</v>
      </c>
      <c r="N34" s="16">
        <f t="shared" si="8"/>
        <v>25959.604203538984</v>
      </c>
      <c r="O34" s="14">
        <f>N34+0.5*(N34-N34)</f>
        <v>25959.604203538984</v>
      </c>
      <c r="P34" s="14">
        <f t="shared" si="10"/>
        <v>1654.3629821456018</v>
      </c>
    </row>
    <row r="35" spans="1:18" x14ac:dyDescent="0.25">
      <c r="A35" s="28"/>
      <c r="B35" s="5" t="s">
        <v>27</v>
      </c>
      <c r="C35" s="5">
        <v>19</v>
      </c>
      <c r="D35" s="15"/>
      <c r="E35" s="14"/>
      <c r="F35" s="14"/>
      <c r="G35" s="1"/>
      <c r="H35" s="18"/>
      <c r="I35" s="16">
        <f>(I34+I33+H32)/3</f>
        <v>21390.488722729566</v>
      </c>
      <c r="J35" s="16">
        <f t="shared" si="7"/>
        <v>5439.9766188012936</v>
      </c>
      <c r="K35" s="16">
        <f>K34+0.3*(K33-K34)</f>
        <v>18973.169579062684</v>
      </c>
      <c r="L35" s="16">
        <f>L34+0.8*(L34-L34)</f>
        <v>21679.551324122029</v>
      </c>
      <c r="M35" s="16">
        <f t="shared" si="0"/>
        <v>24720.522090085484</v>
      </c>
      <c r="N35" s="16">
        <f t="shared" si="8"/>
        <v>27613.967185684585</v>
      </c>
      <c r="O35" s="14">
        <f>N35+0.5*(N35-N35)</f>
        <v>27613.967185684585</v>
      </c>
      <c r="P35" s="14">
        <f t="shared" si="10"/>
        <v>1654.3629821456018</v>
      </c>
    </row>
    <row r="36" spans="1:18" x14ac:dyDescent="0.25">
      <c r="A36" s="29"/>
      <c r="B36" s="5" t="s">
        <v>28</v>
      </c>
      <c r="C36" s="5">
        <v>20</v>
      </c>
      <c r="D36" s="15"/>
      <c r="E36" s="14"/>
      <c r="F36" s="14"/>
      <c r="G36" s="1"/>
      <c r="H36" s="18"/>
      <c r="I36" s="16">
        <f>(I35+I34+I33)/3</f>
        <v>21245.282696954495</v>
      </c>
      <c r="J36" s="16">
        <f t="shared" si="7"/>
        <v>1364.1316750034232</v>
      </c>
      <c r="K36" s="16">
        <f t="shared" ref="K36" si="11">K35+0.3*(K34-K35)</f>
        <v>18973.169579062684</v>
      </c>
      <c r="L36" s="16">
        <f>L35+0.8*(L35-L35)</f>
        <v>21679.551324122029</v>
      </c>
      <c r="M36" s="16">
        <f t="shared" si="0"/>
        <v>25926.062474650418</v>
      </c>
      <c r="N36" s="16">
        <f t="shared" si="8"/>
        <v>29268.330167830187</v>
      </c>
      <c r="O36" s="14">
        <f>N36+0.5*(N36-N36)</f>
        <v>29268.330167830187</v>
      </c>
      <c r="P36" s="14">
        <f>P35+0.25*(N36-N35-P35)</f>
        <v>1654.3629821456018</v>
      </c>
    </row>
    <row r="37" spans="1:18" x14ac:dyDescent="0.25">
      <c r="A37" s="26" t="s">
        <v>49</v>
      </c>
    </row>
    <row r="40" spans="1:18" ht="26.25" x14ac:dyDescent="0.4">
      <c r="A40" s="38" t="s">
        <v>30</v>
      </c>
      <c r="B40" s="38"/>
      <c r="C40" s="38"/>
      <c r="D40" s="38"/>
      <c r="E40" s="38"/>
      <c r="F40" s="38"/>
      <c r="G40" s="38"/>
      <c r="H40" s="38"/>
      <c r="I40" s="38"/>
      <c r="J40" s="38"/>
      <c r="L40" s="38" t="s">
        <v>31</v>
      </c>
      <c r="M40" s="38"/>
      <c r="N40" s="38"/>
      <c r="O40" s="38"/>
      <c r="P40" s="38"/>
      <c r="Q40" s="38"/>
    </row>
    <row r="41" spans="1:18" ht="29.25" customHeight="1" x14ac:dyDescent="0.25">
      <c r="A41" s="11" t="s">
        <v>16</v>
      </c>
      <c r="B41" s="11" t="s">
        <v>17</v>
      </c>
      <c r="C41" s="11" t="s">
        <v>18</v>
      </c>
      <c r="D41" s="11" t="s">
        <v>33</v>
      </c>
      <c r="E41" s="24" t="s">
        <v>21</v>
      </c>
      <c r="F41" s="24" t="s">
        <v>34</v>
      </c>
      <c r="G41" s="24" t="s">
        <v>35</v>
      </c>
      <c r="H41" s="24" t="s">
        <v>36</v>
      </c>
      <c r="I41" s="24" t="s">
        <v>22</v>
      </c>
      <c r="J41" s="24" t="s">
        <v>32</v>
      </c>
      <c r="K41" s="13"/>
      <c r="L41" s="24" t="s">
        <v>21</v>
      </c>
      <c r="M41" s="24" t="s">
        <v>34</v>
      </c>
      <c r="N41" s="24" t="s">
        <v>35</v>
      </c>
      <c r="O41" s="24" t="s">
        <v>36</v>
      </c>
      <c r="P41" s="24" t="s">
        <v>22</v>
      </c>
      <c r="Q41" s="24" t="s">
        <v>32</v>
      </c>
    </row>
    <row r="42" spans="1:18" x14ac:dyDescent="0.25">
      <c r="A42" s="27">
        <v>2019</v>
      </c>
      <c r="B42" s="5" t="s">
        <v>25</v>
      </c>
      <c r="C42" s="5">
        <v>1</v>
      </c>
      <c r="D42" s="15">
        <v>4541</v>
      </c>
      <c r="E42" s="16"/>
      <c r="F42" s="16"/>
      <c r="G42" s="16">
        <f>K17*q1index</f>
        <v>4541</v>
      </c>
      <c r="H42" s="16">
        <f>L17*q1index</f>
        <v>4541</v>
      </c>
      <c r="I42" s="16">
        <f>M17*q1index</f>
        <v>2901.9080091167102</v>
      </c>
      <c r="J42" s="16"/>
      <c r="L42" s="16"/>
      <c r="M42" s="16"/>
      <c r="N42" s="16"/>
      <c r="O42" s="16"/>
      <c r="P42" s="16"/>
      <c r="Q42" s="16"/>
    </row>
    <row r="43" spans="1:18" x14ac:dyDescent="0.25">
      <c r="A43" s="28"/>
      <c r="B43" s="5" t="s">
        <v>26</v>
      </c>
      <c r="C43" s="5">
        <v>2</v>
      </c>
      <c r="D43" s="15">
        <v>6350</v>
      </c>
      <c r="E43" s="16"/>
      <c r="F43" s="16"/>
      <c r="G43" s="16">
        <f>K18*q2index</f>
        <v>4137.0256693506417</v>
      </c>
      <c r="H43" s="16">
        <f>L18*q2index</f>
        <v>4137.0256693506417</v>
      </c>
      <c r="I43" s="16">
        <f>M18*q2index</f>
        <v>3698.8187635506747</v>
      </c>
      <c r="J43" s="16"/>
      <c r="L43" s="16"/>
      <c r="M43" s="16"/>
      <c r="N43" s="16"/>
      <c r="O43" s="16"/>
      <c r="P43" s="16"/>
      <c r="Q43" s="16"/>
    </row>
    <row r="44" spans="1:18" x14ac:dyDescent="0.25">
      <c r="A44" s="28"/>
      <c r="B44" s="5" t="s">
        <v>27</v>
      </c>
      <c r="C44" s="5">
        <v>3</v>
      </c>
      <c r="D44" s="15">
        <v>6303</v>
      </c>
      <c r="E44" s="16"/>
      <c r="F44" s="16"/>
      <c r="G44" s="16">
        <f>K19*q3index</f>
        <v>5458.3129442173004</v>
      </c>
      <c r="H44" s="16">
        <f>L19*q3index</f>
        <v>6716.3126135871616</v>
      </c>
      <c r="I44" s="16">
        <f>M19*q3index</f>
        <v>5404.8427795732659</v>
      </c>
      <c r="J44" s="16"/>
      <c r="L44" s="16"/>
      <c r="M44" s="16"/>
      <c r="N44" s="16"/>
      <c r="O44" s="16"/>
      <c r="P44" s="16"/>
      <c r="Q44" s="16"/>
    </row>
    <row r="45" spans="1:18" x14ac:dyDescent="0.25">
      <c r="A45" s="29"/>
      <c r="B45" s="5" t="s">
        <v>28</v>
      </c>
      <c r="C45" s="5">
        <v>4</v>
      </c>
      <c r="D45" s="15">
        <v>7384</v>
      </c>
      <c r="E45" s="16">
        <f t="shared" ref="E45:J45" si="12">I20*q4index</f>
        <v>6802.8215181449914</v>
      </c>
      <c r="F45" s="16"/>
      <c r="G45" s="16">
        <f t="shared" si="12"/>
        <v>6395.6574189866469</v>
      </c>
      <c r="H45" s="16">
        <f t="shared" si="12"/>
        <v>7150.3008906314899</v>
      </c>
      <c r="I45" s="16">
        <f t="shared" si="12"/>
        <v>7395.2121460590624</v>
      </c>
      <c r="J45" s="16">
        <f t="shared" si="12"/>
        <v>7384</v>
      </c>
      <c r="L45" s="16"/>
      <c r="M45" s="16"/>
      <c r="N45" s="16"/>
      <c r="O45" s="16"/>
      <c r="P45" s="16"/>
      <c r="Q45" s="16"/>
    </row>
    <row r="46" spans="1:18" x14ac:dyDescent="0.25">
      <c r="A46" s="27">
        <v>2020</v>
      </c>
      <c r="B46" s="5" t="s">
        <v>25</v>
      </c>
      <c r="C46" s="5">
        <v>5</v>
      </c>
      <c r="D46" s="15">
        <v>5985</v>
      </c>
      <c r="E46" s="16">
        <f t="shared" ref="E46:J46" si="13">I21*q1index</f>
        <v>6473.9385286450579</v>
      </c>
      <c r="F46" s="16">
        <f t="shared" si="13"/>
        <v>6277.6870471259635</v>
      </c>
      <c r="G46" s="16">
        <f t="shared" si="13"/>
        <v>5770.0172746202279</v>
      </c>
      <c r="H46" s="16">
        <f t="shared" si="13"/>
        <v>6326.2260246873175</v>
      </c>
      <c r="I46" s="16">
        <f t="shared" si="13"/>
        <v>7534.2873699395677</v>
      </c>
      <c r="J46" s="16">
        <f t="shared" si="13"/>
        <v>6975.0338077603101</v>
      </c>
      <c r="L46" s="16">
        <f>ABS($D46-E46)</f>
        <v>488.93852864505789</v>
      </c>
      <c r="M46" s="16">
        <f t="shared" ref="M46:Q57" si="14">ABS($D46-F46)</f>
        <v>292.68704712596355</v>
      </c>
      <c r="N46" s="16">
        <f t="shared" si="14"/>
        <v>214.98272537977209</v>
      </c>
      <c r="O46" s="16">
        <f t="shared" si="14"/>
        <v>341.22602468731748</v>
      </c>
      <c r="P46" s="16">
        <f t="shared" si="14"/>
        <v>1549.2873699395677</v>
      </c>
      <c r="Q46" s="16">
        <f>ABS($D46-J46)</f>
        <v>990.03380776031008</v>
      </c>
      <c r="R46" s="3"/>
    </row>
    <row r="47" spans="1:18" x14ac:dyDescent="0.25">
      <c r="A47" s="28"/>
      <c r="B47" s="5" t="s">
        <v>26</v>
      </c>
      <c r="C47" s="5">
        <v>6</v>
      </c>
      <c r="D47" s="15">
        <v>6036</v>
      </c>
      <c r="E47" s="16">
        <f t="shared" ref="E47:J47" si="15">I22*q2index</f>
        <v>5598.8620902497078</v>
      </c>
      <c r="F47" s="16">
        <f t="shared" si="15"/>
        <v>5634.3949148572674</v>
      </c>
      <c r="G47" s="16">
        <f t="shared" si="15"/>
        <v>5315.4649402575278</v>
      </c>
      <c r="H47" s="16">
        <f t="shared" si="15"/>
        <v>5514.7392194890926</v>
      </c>
      <c r="I47" s="16">
        <f t="shared" si="15"/>
        <v>7919.0945455137398</v>
      </c>
      <c r="J47" s="16">
        <f t="shared" si="15"/>
        <v>6457.9192589454278</v>
      </c>
      <c r="L47" s="16">
        <f t="shared" ref="L47:L56" si="16">ABS($D47-E47)</f>
        <v>437.13790975029224</v>
      </c>
      <c r="M47" s="16">
        <f t="shared" si="14"/>
        <v>401.60508514273261</v>
      </c>
      <c r="N47" s="16">
        <f t="shared" si="14"/>
        <v>720.53505974247219</v>
      </c>
      <c r="O47" s="16">
        <f t="shared" si="14"/>
        <v>521.26078051090735</v>
      </c>
      <c r="P47" s="16">
        <f t="shared" si="14"/>
        <v>1883.0945455137398</v>
      </c>
      <c r="Q47" s="16">
        <f t="shared" si="14"/>
        <v>421.91925894542783</v>
      </c>
      <c r="R47" s="3"/>
    </row>
    <row r="48" spans="1:18" x14ac:dyDescent="0.25">
      <c r="A48" s="28"/>
      <c r="B48" s="5" t="s">
        <v>27</v>
      </c>
      <c r="C48" s="5">
        <v>7</v>
      </c>
      <c r="D48" s="15">
        <v>8771</v>
      </c>
      <c r="E48" s="16">
        <f t="shared" ref="E48:J48" si="17">I23*q3index</f>
        <v>6552.0258038233014</v>
      </c>
      <c r="F48" s="16">
        <f t="shared" si="17"/>
        <v>6569.9799139294528</v>
      </c>
      <c r="G48" s="16">
        <f t="shared" si="17"/>
        <v>6289.0770137643285</v>
      </c>
      <c r="H48" s="16">
        <f t="shared" si="17"/>
        <v>6743.9885976618752</v>
      </c>
      <c r="I48" s="16">
        <f t="shared" si="17"/>
        <v>10203.005564228168</v>
      </c>
      <c r="J48" s="16">
        <f t="shared" si="17"/>
        <v>7604.4652721386037</v>
      </c>
      <c r="L48" s="16">
        <f t="shared" si="16"/>
        <v>2218.9741961766986</v>
      </c>
      <c r="M48" s="16">
        <f t="shared" si="14"/>
        <v>2201.0200860705472</v>
      </c>
      <c r="N48" s="16">
        <f t="shared" si="14"/>
        <v>2481.9229862356715</v>
      </c>
      <c r="O48" s="16">
        <f t="shared" si="14"/>
        <v>2027.0114023381248</v>
      </c>
      <c r="P48" s="16">
        <f t="shared" si="14"/>
        <v>1432.0055642281677</v>
      </c>
      <c r="Q48" s="16">
        <f t="shared" si="14"/>
        <v>1166.5347278613963</v>
      </c>
      <c r="R48" s="3"/>
    </row>
    <row r="49" spans="1:19" x14ac:dyDescent="0.25">
      <c r="A49" s="29"/>
      <c r="B49" s="5" t="s">
        <v>28</v>
      </c>
      <c r="C49" s="5">
        <v>8</v>
      </c>
      <c r="D49" s="15">
        <v>10744</v>
      </c>
      <c r="E49" s="16">
        <f t="shared" ref="E49:J49" si="18">I24*q4index</f>
        <v>8149.0069516496005</v>
      </c>
      <c r="F49" s="16">
        <f t="shared" si="18"/>
        <v>8461.1646621425261</v>
      </c>
      <c r="G49" s="16">
        <f t="shared" si="18"/>
        <v>7875.8847082095463</v>
      </c>
      <c r="H49" s="16">
        <f t="shared" si="18"/>
        <v>9367.3194616589371</v>
      </c>
      <c r="I49" s="16">
        <f t="shared" si="18"/>
        <v>12767.921322351836</v>
      </c>
      <c r="J49" s="16">
        <f t="shared" si="18"/>
        <v>9663.2405143599244</v>
      </c>
      <c r="L49" s="16">
        <f t="shared" si="16"/>
        <v>2594.9930483503995</v>
      </c>
      <c r="M49" s="16">
        <f t="shared" si="14"/>
        <v>2282.8353378574739</v>
      </c>
      <c r="N49" s="16">
        <f t="shared" si="14"/>
        <v>2868.1152917904537</v>
      </c>
      <c r="O49" s="16">
        <f t="shared" si="14"/>
        <v>1376.6805383410629</v>
      </c>
      <c r="P49" s="16">
        <f t="shared" si="14"/>
        <v>2023.9213223518364</v>
      </c>
      <c r="Q49" s="16">
        <f t="shared" si="14"/>
        <v>1080.7594856400756</v>
      </c>
      <c r="R49" s="3"/>
    </row>
    <row r="50" spans="1:19" x14ac:dyDescent="0.25">
      <c r="A50" s="27">
        <v>2021</v>
      </c>
      <c r="B50" s="5" t="s">
        <v>25</v>
      </c>
      <c r="C50" s="5">
        <v>9</v>
      </c>
      <c r="D50" s="15">
        <v>10389</v>
      </c>
      <c r="E50" s="16">
        <f t="shared" ref="E50:J50" si="19">I25*q1index</f>
        <v>8118.9638213357757</v>
      </c>
      <c r="F50" s="16">
        <f t="shared" si="19"/>
        <v>8315.3572692592479</v>
      </c>
      <c r="G50" s="16">
        <f t="shared" si="19"/>
        <v>7532.5024800802821</v>
      </c>
      <c r="H50" s="16">
        <f t="shared" si="19"/>
        <v>9026.1395059710248</v>
      </c>
      <c r="I50" s="16">
        <f t="shared" si="19"/>
        <v>12166.666730762423</v>
      </c>
      <c r="J50" s="16">
        <f t="shared" si="19"/>
        <v>9365.2604334834905</v>
      </c>
      <c r="L50" s="16">
        <f t="shared" si="16"/>
        <v>2270.0361786642243</v>
      </c>
      <c r="M50" s="16">
        <f t="shared" si="14"/>
        <v>2073.6427307407521</v>
      </c>
      <c r="N50" s="16">
        <f t="shared" si="14"/>
        <v>2856.4975199197179</v>
      </c>
      <c r="O50" s="16">
        <f t="shared" si="14"/>
        <v>1362.8604940289752</v>
      </c>
      <c r="P50" s="16">
        <f t="shared" si="14"/>
        <v>1777.666730762423</v>
      </c>
      <c r="Q50" s="16">
        <f t="shared" si="14"/>
        <v>1023.7395665165095</v>
      </c>
      <c r="R50" s="3"/>
    </row>
    <row r="51" spans="1:19" x14ac:dyDescent="0.25">
      <c r="A51" s="28"/>
      <c r="B51" s="5" t="s">
        <v>26</v>
      </c>
      <c r="C51" s="5">
        <v>10</v>
      </c>
      <c r="D51" s="15">
        <v>11958</v>
      </c>
      <c r="E51" s="16">
        <f t="shared" ref="E51:J51" si="20">I26*q2index</f>
        <v>8539.6145409285527</v>
      </c>
      <c r="F51" s="16">
        <f t="shared" si="20"/>
        <v>8601.9075129473495</v>
      </c>
      <c r="G51" s="16">
        <f t="shared" si="20"/>
        <v>7643.1132314121987</v>
      </c>
      <c r="H51" s="16">
        <f t="shared" si="20"/>
        <v>9216.4549459095924</v>
      </c>
      <c r="I51" s="16">
        <f t="shared" si="20"/>
        <v>12139.370327476805</v>
      </c>
      <c r="J51" s="16">
        <f t="shared" si="20"/>
        <v>9621.7075550747631</v>
      </c>
      <c r="L51" s="16">
        <f t="shared" si="16"/>
        <v>3418.3854590714473</v>
      </c>
      <c r="M51" s="16">
        <f t="shared" si="14"/>
        <v>3356.0924870526505</v>
      </c>
      <c r="N51" s="16">
        <f t="shared" si="14"/>
        <v>4314.8867685878013</v>
      </c>
      <c r="O51" s="16">
        <f t="shared" si="14"/>
        <v>2741.5450540904076</v>
      </c>
      <c r="P51" s="16">
        <f t="shared" si="14"/>
        <v>181.37032747680496</v>
      </c>
      <c r="Q51" s="16">
        <f t="shared" si="14"/>
        <v>2336.2924449252369</v>
      </c>
      <c r="R51" s="3"/>
    </row>
    <row r="52" spans="1:19" x14ac:dyDescent="0.25">
      <c r="A52" s="28"/>
      <c r="B52" s="5" t="s">
        <v>27</v>
      </c>
      <c r="C52" s="5">
        <v>11</v>
      </c>
      <c r="D52" s="15">
        <v>13757</v>
      </c>
      <c r="E52" s="16">
        <f t="shared" ref="E52:J52" si="21">I27*q3index</f>
        <v>11317.094044298088</v>
      </c>
      <c r="F52" s="16">
        <f t="shared" si="21"/>
        <v>11658.008565840248</v>
      </c>
      <c r="G52" s="16">
        <f t="shared" si="21"/>
        <v>10161.411816511507</v>
      </c>
      <c r="H52" s="16">
        <f t="shared" si="21"/>
        <v>12972.032520405601</v>
      </c>
      <c r="I52" s="16">
        <f t="shared" si="21"/>
        <v>15001.168348883069</v>
      </c>
      <c r="J52" s="16">
        <f t="shared" si="21"/>
        <v>13108.473413761012</v>
      </c>
      <c r="L52" s="16">
        <f t="shared" si="16"/>
        <v>2439.9059557019118</v>
      </c>
      <c r="M52" s="16">
        <f t="shared" si="14"/>
        <v>2098.9914341597523</v>
      </c>
      <c r="N52" s="16">
        <f t="shared" si="14"/>
        <v>3595.5881834884931</v>
      </c>
      <c r="O52" s="16">
        <f t="shared" si="14"/>
        <v>784.96747959439926</v>
      </c>
      <c r="P52" s="16">
        <f t="shared" si="14"/>
        <v>1244.1683488830695</v>
      </c>
      <c r="Q52" s="16">
        <f t="shared" si="14"/>
        <v>648.52658623898787</v>
      </c>
      <c r="R52" s="3"/>
    </row>
    <row r="53" spans="1:19" x14ac:dyDescent="0.25">
      <c r="A53" s="29"/>
      <c r="B53" s="5" t="s">
        <v>28</v>
      </c>
      <c r="C53" s="5">
        <v>12</v>
      </c>
      <c r="D53" s="15">
        <v>17719</v>
      </c>
      <c r="E53" s="16">
        <f t="shared" ref="E53:J53" si="22">I28*q4index</f>
        <v>14225.671604773139</v>
      </c>
      <c r="F53" s="16">
        <f t="shared" si="22"/>
        <v>14427.438713938907</v>
      </c>
      <c r="G53" s="16">
        <f t="shared" si="22"/>
        <v>12586.01012705828</v>
      </c>
      <c r="H53" s="16">
        <f t="shared" si="22"/>
        <v>15228.512041275684</v>
      </c>
      <c r="I53" s="16">
        <f t="shared" si="22"/>
        <v>18140.630498644608</v>
      </c>
      <c r="J53" s="16">
        <f t="shared" si="22"/>
        <v>16354.87130945951</v>
      </c>
      <c r="L53" s="16">
        <f t="shared" si="16"/>
        <v>3493.3283952268612</v>
      </c>
      <c r="M53" s="16">
        <f t="shared" si="14"/>
        <v>3291.5612860610927</v>
      </c>
      <c r="N53" s="16">
        <f t="shared" si="14"/>
        <v>5132.98987294172</v>
      </c>
      <c r="O53" s="16">
        <f t="shared" si="14"/>
        <v>2490.4879587243158</v>
      </c>
      <c r="P53" s="16">
        <f t="shared" si="14"/>
        <v>421.63049864460845</v>
      </c>
      <c r="Q53" s="16">
        <f t="shared" si="14"/>
        <v>1364.1286905404904</v>
      </c>
      <c r="R53" s="3"/>
    </row>
    <row r="54" spans="1:19" x14ac:dyDescent="0.25">
      <c r="A54" s="27">
        <v>2022</v>
      </c>
      <c r="B54" s="5" t="s">
        <v>25</v>
      </c>
      <c r="C54" s="5">
        <v>13</v>
      </c>
      <c r="D54" s="15">
        <v>18756</v>
      </c>
      <c r="E54" s="16">
        <f t="shared" ref="E54:J54" si="23">I29*q1index</f>
        <v>13894.925230492006</v>
      </c>
      <c r="F54" s="16">
        <f t="shared" si="23"/>
        <v>13944.772205551781</v>
      </c>
      <c r="G54" s="16">
        <f t="shared" si="23"/>
        <v>12179.434677099451</v>
      </c>
      <c r="H54" s="16">
        <f t="shared" si="23"/>
        <v>14847.956640338845</v>
      </c>
      <c r="I54" s="16">
        <f t="shared" si="23"/>
        <v>16799.046091585282</v>
      </c>
      <c r="J54" s="16">
        <f t="shared" si="23"/>
        <v>15900.247910159465</v>
      </c>
      <c r="L54" s="16">
        <f t="shared" si="16"/>
        <v>4861.0747695079936</v>
      </c>
      <c r="M54" s="16">
        <f t="shared" si="14"/>
        <v>4811.2277944482194</v>
      </c>
      <c r="N54" s="16">
        <f t="shared" si="14"/>
        <v>6576.5653229005493</v>
      </c>
      <c r="O54" s="16">
        <f t="shared" si="14"/>
        <v>3908.0433596611547</v>
      </c>
      <c r="P54" s="16">
        <f t="shared" si="14"/>
        <v>1956.9539084147182</v>
      </c>
      <c r="Q54" s="16">
        <f t="shared" si="14"/>
        <v>2855.7520898405346</v>
      </c>
      <c r="R54" s="3"/>
    </row>
    <row r="55" spans="1:19" x14ac:dyDescent="0.25">
      <c r="A55" s="28"/>
      <c r="B55" s="5" t="s">
        <v>26</v>
      </c>
      <c r="C55" s="5">
        <v>14</v>
      </c>
      <c r="D55" s="15">
        <v>16934</v>
      </c>
      <c r="E55" s="16">
        <f t="shared" ref="E55:J55" si="24">I30*q2index</f>
        <v>14368.623835506169</v>
      </c>
      <c r="F55" s="16">
        <f t="shared" si="24"/>
        <v>14841.374827541043</v>
      </c>
      <c r="G55" s="16">
        <f t="shared" si="24"/>
        <v>12893.384665148651</v>
      </c>
      <c r="H55" s="16">
        <f t="shared" si="24"/>
        <v>16375.361883983687</v>
      </c>
      <c r="I55" s="16">
        <f t="shared" si="24"/>
        <v>16359.646109439871</v>
      </c>
      <c r="J55" s="16">
        <f t="shared" si="24"/>
        <v>17023.712381893209</v>
      </c>
      <c r="L55" s="16">
        <f t="shared" si="16"/>
        <v>2565.3761644938313</v>
      </c>
      <c r="M55" s="16">
        <f t="shared" si="14"/>
        <v>2092.6251724589565</v>
      </c>
      <c r="N55" s="16">
        <f t="shared" si="14"/>
        <v>4040.615334851349</v>
      </c>
      <c r="O55" s="16">
        <f t="shared" si="14"/>
        <v>558.63811601631278</v>
      </c>
      <c r="P55" s="16">
        <f t="shared" si="14"/>
        <v>574.353890560129</v>
      </c>
      <c r="Q55" s="16">
        <f t="shared" si="14"/>
        <v>89.712381893208658</v>
      </c>
      <c r="R55" s="3"/>
    </row>
    <row r="56" spans="1:19" x14ac:dyDescent="0.25">
      <c r="A56" s="28"/>
      <c r="B56" s="5" t="s">
        <v>27</v>
      </c>
      <c r="C56" s="5">
        <v>15</v>
      </c>
      <c r="D56" s="15">
        <v>21454</v>
      </c>
      <c r="E56" s="16">
        <f t="shared" ref="E56:J56" si="25">I31*q3index</f>
        <v>18168.065707037607</v>
      </c>
      <c r="F56" s="16">
        <f t="shared" si="25"/>
        <v>18320.952150217559</v>
      </c>
      <c r="G56" s="16">
        <f t="shared" si="25"/>
        <v>16037.060373128403</v>
      </c>
      <c r="H56" s="16">
        <f t="shared" si="25"/>
        <v>19125.76462814218</v>
      </c>
      <c r="I56" s="16">
        <f t="shared" si="25"/>
        <v>19799.331133537969</v>
      </c>
      <c r="J56" s="16">
        <f t="shared" si="25"/>
        <v>21080.059651908938</v>
      </c>
      <c r="L56" s="16">
        <f t="shared" si="16"/>
        <v>3285.9342929623926</v>
      </c>
      <c r="M56" s="16">
        <f t="shared" si="14"/>
        <v>3133.0478497824406</v>
      </c>
      <c r="N56" s="16">
        <f t="shared" si="14"/>
        <v>5416.9396268715973</v>
      </c>
      <c r="O56" s="16">
        <f t="shared" si="14"/>
        <v>2328.2353718578197</v>
      </c>
      <c r="P56" s="16">
        <f t="shared" si="14"/>
        <v>1654.6688664620306</v>
      </c>
      <c r="Q56" s="16">
        <f t="shared" si="14"/>
        <v>373.94034809106233</v>
      </c>
      <c r="R56" s="3"/>
    </row>
    <row r="57" spans="1:19" x14ac:dyDescent="0.25">
      <c r="A57" s="29"/>
      <c r="B57" s="5" t="s">
        <v>28</v>
      </c>
      <c r="C57" s="5">
        <v>16</v>
      </c>
      <c r="D57" s="15">
        <v>24318</v>
      </c>
      <c r="E57" s="16">
        <f t="shared" ref="E57:J57" si="26">I32*q4index</f>
        <v>22444.886428837239</v>
      </c>
      <c r="F57" s="16">
        <f t="shared" si="26"/>
        <v>22433.199950289309</v>
      </c>
      <c r="G57" s="16">
        <f t="shared" si="26"/>
        <v>19777.060107915517</v>
      </c>
      <c r="H57" s="16">
        <f t="shared" si="26"/>
        <v>23501.561205765873</v>
      </c>
      <c r="I57" s="16">
        <f t="shared" si="26"/>
        <v>23513.339674937382</v>
      </c>
      <c r="J57" s="16">
        <f t="shared" si="26"/>
        <v>25788.2973492823</v>
      </c>
      <c r="L57" s="16">
        <f>ABS($D57-E57)</f>
        <v>1873.1135711627612</v>
      </c>
      <c r="M57" s="16">
        <f t="shared" si="14"/>
        <v>1884.8000497106914</v>
      </c>
      <c r="N57" s="16">
        <f t="shared" si="14"/>
        <v>4540.9398920844833</v>
      </c>
      <c r="O57" s="16">
        <f t="shared" si="14"/>
        <v>816.43879423412727</v>
      </c>
      <c r="P57" s="16">
        <f t="shared" si="14"/>
        <v>804.66032506261763</v>
      </c>
      <c r="Q57" s="16">
        <f t="shared" si="14"/>
        <v>1470.2973492823003</v>
      </c>
      <c r="R57" s="3"/>
      <c r="S57" t="s">
        <v>45</v>
      </c>
    </row>
    <row r="58" spans="1:19" x14ac:dyDescent="0.25">
      <c r="A58" s="27">
        <v>2023</v>
      </c>
      <c r="B58" s="5" t="s">
        <v>25</v>
      </c>
      <c r="C58" s="5">
        <v>17</v>
      </c>
      <c r="D58" s="15"/>
      <c r="E58" s="16">
        <f t="shared" ref="E58:J58" si="27">I33*q1index</f>
        <v>20089.142076378179</v>
      </c>
      <c r="F58" s="16">
        <f t="shared" si="27"/>
        <v>20303.262390177431</v>
      </c>
      <c r="G58" s="16">
        <f t="shared" si="27"/>
        <v>18226.456843078056</v>
      </c>
      <c r="H58" s="16">
        <f t="shared" si="27"/>
        <v>20826.325561463029</v>
      </c>
      <c r="I58" s="16">
        <f t="shared" si="27"/>
        <v>21431.425452408137</v>
      </c>
      <c r="J58" s="16">
        <f t="shared" si="27"/>
        <v>23348.678160299951</v>
      </c>
      <c r="K58" s="25" t="s">
        <v>43</v>
      </c>
      <c r="L58" s="21">
        <f>AVERAGE(L46:L57)</f>
        <v>2495.5998724761562</v>
      </c>
      <c r="M58" s="21">
        <f t="shared" ref="M58:P58" si="28">AVERAGE(M46:M57)</f>
        <v>2326.6780300509395</v>
      </c>
      <c r="N58" s="21">
        <f t="shared" si="28"/>
        <v>3563.3815487328393</v>
      </c>
      <c r="O58" s="21">
        <f t="shared" si="28"/>
        <v>1604.7829478404103</v>
      </c>
      <c r="P58" s="21">
        <f t="shared" si="28"/>
        <v>1291.9818081916428</v>
      </c>
      <c r="Q58" s="21">
        <f>AVERAGE(Q46:Q57)</f>
        <v>1151.8030614612951</v>
      </c>
      <c r="S58" s="19">
        <f>MIN(L58:Q58)</f>
        <v>1151.8030614612951</v>
      </c>
    </row>
    <row r="59" spans="1:19" x14ac:dyDescent="0.25">
      <c r="A59" s="28"/>
      <c r="B59" s="5" t="s">
        <v>26</v>
      </c>
      <c r="C59" s="5">
        <v>18</v>
      </c>
      <c r="D59" s="15"/>
      <c r="E59" s="16">
        <f t="shared" ref="E59:J59" si="29">I34*q2index</f>
        <v>18757.974879309568</v>
      </c>
      <c r="F59" s="16">
        <f t="shared" si="29"/>
        <v>10565.845226134334</v>
      </c>
      <c r="G59" s="16">
        <f t="shared" si="29"/>
        <v>16605.003263846196</v>
      </c>
      <c r="H59" s="16">
        <f t="shared" si="29"/>
        <v>18973.583670122433</v>
      </c>
      <c r="I59" s="16">
        <f t="shared" si="29"/>
        <v>20579.921891402933</v>
      </c>
      <c r="J59" s="16">
        <f t="shared" si="29"/>
        <v>22719.414947073674</v>
      </c>
    </row>
    <row r="60" spans="1:19" x14ac:dyDescent="0.25">
      <c r="A60" s="28"/>
      <c r="B60" s="5" t="s">
        <v>27</v>
      </c>
      <c r="C60" s="5">
        <v>19</v>
      </c>
      <c r="D60" s="15"/>
      <c r="E60" s="16">
        <f t="shared" ref="E60:J60" si="30">I35*q3index</f>
        <v>21284.033336639546</v>
      </c>
      <c r="F60" s="16">
        <f t="shared" si="30"/>
        <v>5412.9031461573604</v>
      </c>
      <c r="G60" s="16">
        <f t="shared" si="30"/>
        <v>18878.744616684693</v>
      </c>
      <c r="H60" s="16">
        <f t="shared" si="30"/>
        <v>21571.657342063758</v>
      </c>
      <c r="I60" s="16">
        <f t="shared" si="30"/>
        <v>24597.493918192871</v>
      </c>
      <c r="J60" s="16">
        <f t="shared" si="30"/>
        <v>27476.539024208989</v>
      </c>
      <c r="L60" s="31" t="s">
        <v>50</v>
      </c>
      <c r="M60" s="31"/>
      <c r="N60" s="31"/>
      <c r="O60" s="31"/>
      <c r="P60" s="31"/>
      <c r="Q60" s="31"/>
    </row>
    <row r="61" spans="1:19" x14ac:dyDescent="0.25">
      <c r="A61" s="29"/>
      <c r="B61" s="5" t="s">
        <v>28</v>
      </c>
      <c r="C61" s="5">
        <v>20</v>
      </c>
      <c r="D61" s="15"/>
      <c r="E61" s="16">
        <f t="shared" ref="E61:J61" si="31">I36*q4index</f>
        <v>23670.863033770314</v>
      </c>
      <c r="F61" s="16">
        <f t="shared" si="31"/>
        <v>1519.875</v>
      </c>
      <c r="G61" s="16">
        <f t="shared" si="31"/>
        <v>21139.342075540862</v>
      </c>
      <c r="H61" s="16">
        <f t="shared" si="31"/>
        <v>24154.712241153171</v>
      </c>
      <c r="I61" s="16">
        <f t="shared" si="31"/>
        <v>28886.048851230156</v>
      </c>
      <c r="J61" s="16">
        <f t="shared" si="31"/>
        <v>32609.904255554564</v>
      </c>
    </row>
    <row r="91" spans="18:18" x14ac:dyDescent="0.25">
      <c r="R91" t="s">
        <v>29</v>
      </c>
    </row>
    <row r="102" ht="24.75" customHeight="1" x14ac:dyDescent="0.25"/>
    <row r="103" ht="25.5" customHeight="1" x14ac:dyDescent="0.25"/>
  </sheetData>
  <mergeCells count="21">
    <mergeCell ref="A2:Q3"/>
    <mergeCell ref="A50:A53"/>
    <mergeCell ref="A54:A57"/>
    <mergeCell ref="A58:A61"/>
    <mergeCell ref="L60:Q60"/>
    <mergeCell ref="A9:C9"/>
    <mergeCell ref="A29:A32"/>
    <mergeCell ref="A33:A36"/>
    <mergeCell ref="A40:J40"/>
    <mergeCell ref="L40:Q40"/>
    <mergeCell ref="A42:A45"/>
    <mergeCell ref="A46:A49"/>
    <mergeCell ref="A15:G15"/>
    <mergeCell ref="I15:N15"/>
    <mergeCell ref="A17:A20"/>
    <mergeCell ref="A21:A24"/>
    <mergeCell ref="A25:A28"/>
    <mergeCell ref="A10:C10"/>
    <mergeCell ref="A11:C11"/>
    <mergeCell ref="A12:C12"/>
    <mergeCell ref="J7:M7"/>
  </mergeCells>
  <conditionalFormatting sqref="M58:Q58">
    <cfRule type="top10" dxfId="0" priority="1" bottom="1" rank="1"/>
  </conditionalFormatting>
  <pageMargins left="0.7" right="0.7" top="0.75" bottom="0.75" header="0.3" footer="0.3"/>
  <pageSetup orientation="portrait" r:id="rId1"/>
  <ignoredErrors>
    <ignoredError sqref="E19 E20:E31"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014AC3DD596D4B93E6CEDF9AAE5C3C" ma:contentTypeVersion="2" ma:contentTypeDescription="Create a new document." ma:contentTypeScope="" ma:versionID="02bc731f9896000435030cdaca3249ef">
  <xsd:schema xmlns:xsd="http://www.w3.org/2001/XMLSchema" xmlns:xs="http://www.w3.org/2001/XMLSchema" xmlns:p="http://schemas.microsoft.com/office/2006/metadata/properties" xmlns:ns3="d8734876-e82a-4bb4-88dd-bfd8626f4500" targetNamespace="http://schemas.microsoft.com/office/2006/metadata/properties" ma:root="true" ma:fieldsID="917945271c304e8ae15cc1befb343d2e" ns3:_="">
    <xsd:import namespace="d8734876-e82a-4bb4-88dd-bfd8626f450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734876-e82a-4bb4-88dd-bfd8626f4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8D8468-7FFD-40B8-8623-2FB688B42F6C}">
  <ds:schemaRefs>
    <ds:schemaRef ds:uri="http://purl.org/dc/term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d8734876-e82a-4bb4-88dd-bfd8626f4500"/>
  </ds:schemaRefs>
</ds:datastoreItem>
</file>

<file path=customXml/itemProps2.xml><?xml version="1.0" encoding="utf-8"?>
<ds:datastoreItem xmlns:ds="http://schemas.openxmlformats.org/officeDocument/2006/customXml" ds:itemID="{68676F6F-3242-4BFA-89D4-0C4486794AC8}">
  <ds:schemaRefs>
    <ds:schemaRef ds:uri="http://schemas.microsoft.com/sharepoint/v3/contenttype/forms"/>
  </ds:schemaRefs>
</ds:datastoreItem>
</file>

<file path=customXml/itemProps3.xml><?xml version="1.0" encoding="utf-8"?>
<ds:datastoreItem xmlns:ds="http://schemas.openxmlformats.org/officeDocument/2006/customXml" ds:itemID="{B6E82CE1-B863-44B4-9D04-4BE7834DC1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734876-e82a-4bb4-88dd-bfd8626f4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 (2)</vt:lpstr>
      <vt:lpstr>'Sheet1 (2)'!intercept</vt:lpstr>
      <vt:lpstr>'Sheet1 (2)'!q1index</vt:lpstr>
      <vt:lpstr>'Sheet1 (2)'!q2index</vt:lpstr>
      <vt:lpstr>'Sheet1 (2)'!q3index</vt:lpstr>
      <vt:lpstr>'Sheet1 (2)'!q4index</vt:lpstr>
      <vt:lpstr>'Sheet1 (2)'!slope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Checkout</dc:creator>
  <cp:keywords/>
  <dc:description/>
  <cp:lastModifiedBy>🖤 𝓒𝓻𝓪𝓬𝓴𝓮𝓭 𝓸𝓾𝓽 🤪</cp:lastModifiedBy>
  <cp:revision/>
  <dcterms:created xsi:type="dcterms:W3CDTF">2023-02-20T03:44:45Z</dcterms:created>
  <dcterms:modified xsi:type="dcterms:W3CDTF">2024-03-21T07:51:20Z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0x0101002D014AC3DD596D4B93E6CEDF9AAE5C3C</vt:lpwstr>
  </property>
</Properties>
</file>