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llo\Documents\GitHub\CS492\Data Architecture\"/>
    </mc:Choice>
  </mc:AlternateContent>
  <xr:revisionPtr revIDLastSave="0" documentId="13_ncr:1_{49E41D74-2F9A-445C-9218-F6FC144663A6}" xr6:coauthVersionLast="47" xr6:coauthVersionMax="47" xr10:uidLastSave="{00000000-0000-0000-0000-000000000000}"/>
  <bookViews>
    <workbookView xWindow="38280" yWindow="-120" windowWidth="38640" windowHeight="21120" firstSheet="1" activeTab="1" xr2:uid="{E60CE7EA-1A50-4EBA-9840-04FDB930859F}"/>
  </bookViews>
  <sheets>
    <sheet name="Menu Schema" sheetId="1" r:id="rId1"/>
    <sheet name="Promotions Schema" sheetId="14" r:id="rId2"/>
    <sheet name="Ingredients Schema" sheetId="2" r:id="rId3"/>
    <sheet name="Portion Schema" sheetId="3" r:id="rId4"/>
    <sheet name="Pizza Size Schema" sheetId="4" r:id="rId5"/>
    <sheet name="MenuToIngredientsSchema" sheetId="5" r:id="rId6"/>
    <sheet name="Menu to Price Schema" sheetId="10" r:id="rId7"/>
    <sheet name="Order Review Schema" sheetId="11" r:id="rId8"/>
    <sheet name="Order Details Schema" sheetId="12" r:id="rId9"/>
    <sheet name="Payment Schem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3" l="1"/>
  <c r="D2" i="13"/>
  <c r="B2" i="13"/>
  <c r="I2" i="12"/>
  <c r="I3" i="12"/>
  <c r="I4" i="12"/>
  <c r="I5" i="12"/>
  <c r="I6" i="12"/>
  <c r="I7" i="12"/>
  <c r="I8" i="12"/>
  <c r="I9" i="12"/>
  <c r="I10" i="12"/>
  <c r="F2" i="12"/>
  <c r="F3" i="12"/>
  <c r="F4" i="12"/>
  <c r="F5" i="12"/>
  <c r="F6" i="12"/>
  <c r="F7" i="12"/>
  <c r="F8" i="12"/>
  <c r="F9" i="12"/>
  <c r="F10" i="12"/>
  <c r="H3" i="12"/>
  <c r="H4" i="12"/>
  <c r="H5" i="12"/>
  <c r="H6" i="12"/>
  <c r="H7" i="12"/>
  <c r="H8" i="12"/>
  <c r="H9" i="12"/>
  <c r="H10" i="12"/>
  <c r="H2" i="12"/>
  <c r="G2" i="11"/>
  <c r="G3" i="11"/>
  <c r="G4" i="11"/>
  <c r="G5" i="11"/>
  <c r="G6" i="11"/>
  <c r="G7" i="11"/>
  <c r="G8" i="11"/>
  <c r="G9" i="11"/>
  <c r="G10" i="11"/>
  <c r="D10" i="10"/>
  <c r="D9" i="10"/>
  <c r="D8" i="10"/>
  <c r="D7" i="10"/>
  <c r="D6" i="10"/>
  <c r="D5" i="10"/>
  <c r="D4" i="10"/>
  <c r="D3" i="10"/>
  <c r="D2" i="10"/>
  <c r="R2" i="5"/>
  <c r="R3" i="5"/>
  <c r="R4" i="5"/>
  <c r="R5" i="5"/>
  <c r="R6" i="5"/>
  <c r="R7" i="5"/>
  <c r="R8" i="5"/>
  <c r="R9" i="5"/>
  <c r="R10" i="5"/>
  <c r="Q2" i="5"/>
  <c r="S2" i="5" s="1"/>
  <c r="I2" i="11" s="1"/>
  <c r="K2" i="11" s="1"/>
  <c r="Q3" i="5"/>
  <c r="S3" i="5" s="1"/>
  <c r="I3" i="11" s="1"/>
  <c r="J3" i="11" s="1"/>
  <c r="Q4" i="5"/>
  <c r="S4" i="5" s="1"/>
  <c r="I4" i="11" s="1"/>
  <c r="K4" i="11" s="1"/>
  <c r="L4" i="11" s="1"/>
  <c r="Q5" i="5"/>
  <c r="E5" i="10" s="1"/>
  <c r="Q6" i="5"/>
  <c r="S6" i="5" s="1"/>
  <c r="I6" i="11" s="1"/>
  <c r="J6" i="11" s="1"/>
  <c r="Q7" i="5"/>
  <c r="Q8" i="5"/>
  <c r="Q9" i="5"/>
  <c r="H9" i="11" s="1"/>
  <c r="Q10" i="5"/>
  <c r="S8" i="5" l="1"/>
  <c r="F4" i="10"/>
  <c r="F6" i="10"/>
  <c r="G6" i="10" s="1"/>
  <c r="S7" i="5"/>
  <c r="F3" i="10"/>
  <c r="H3" i="11"/>
  <c r="H5" i="11"/>
  <c r="E9" i="10"/>
  <c r="E8" i="10"/>
  <c r="H4" i="11"/>
  <c r="H6" i="11"/>
  <c r="S10" i="5"/>
  <c r="E2" i="10"/>
  <c r="E10" i="10"/>
  <c r="H7" i="11"/>
  <c r="H8" i="11"/>
  <c r="E7" i="10"/>
  <c r="E6" i="10"/>
  <c r="E4" i="10"/>
  <c r="H10" i="11"/>
  <c r="E3" i="10"/>
  <c r="F2" i="10"/>
  <c r="S9" i="5"/>
  <c r="S5" i="5"/>
  <c r="H2" i="11"/>
  <c r="L2" i="11"/>
  <c r="J2" i="11"/>
  <c r="K3" i="11"/>
  <c r="J4" i="11"/>
  <c r="K6" i="11"/>
  <c r="H6" i="10" l="1"/>
  <c r="I8" i="11"/>
  <c r="F8" i="10"/>
  <c r="I7" i="11"/>
  <c r="F7" i="10"/>
  <c r="I5" i="11"/>
  <c r="F5" i="10"/>
  <c r="H2" i="10"/>
  <c r="G2" i="10"/>
  <c r="I9" i="11"/>
  <c r="F9" i="10"/>
  <c r="F10" i="10"/>
  <c r="I10" i="11"/>
  <c r="H3" i="10"/>
  <c r="G3" i="10"/>
  <c r="H4" i="10"/>
  <c r="G4" i="10"/>
  <c r="L6" i="11"/>
  <c r="L3" i="11"/>
  <c r="H8" i="10" l="1"/>
  <c r="G8" i="10"/>
  <c r="J8" i="11"/>
  <c r="K8" i="11"/>
  <c r="L8" i="11" s="1"/>
  <c r="K9" i="11"/>
  <c r="L9" i="11" s="1"/>
  <c r="J9" i="11"/>
  <c r="K10" i="11"/>
  <c r="L10" i="11" s="1"/>
  <c r="J10" i="11"/>
  <c r="H10" i="10"/>
  <c r="G10" i="10"/>
  <c r="G9" i="10"/>
  <c r="H9" i="10"/>
  <c r="G5" i="10"/>
  <c r="H5" i="10"/>
  <c r="K5" i="11"/>
  <c r="L5" i="11" s="1"/>
  <c r="J5" i="11"/>
  <c r="H7" i="10"/>
  <c r="G7" i="10"/>
  <c r="K7" i="11"/>
  <c r="L7" i="11" s="1"/>
  <c r="J7" i="11"/>
</calcChain>
</file>

<file path=xl/sharedStrings.xml><?xml version="1.0" encoding="utf-8"?>
<sst xmlns="http://schemas.openxmlformats.org/spreadsheetml/2006/main" count="375" uniqueCount="117">
  <si>
    <t>ItemID</t>
  </si>
  <si>
    <t>ItemName</t>
  </si>
  <si>
    <t>Cheese Pizza</t>
  </si>
  <si>
    <t>1-Topping Pizza</t>
  </si>
  <si>
    <t>2-Topping Pizza</t>
  </si>
  <si>
    <t>Meat Lovers</t>
  </si>
  <si>
    <t>1CP</t>
  </si>
  <si>
    <t>1CP1</t>
  </si>
  <si>
    <t>1CP2</t>
  </si>
  <si>
    <t>2ML</t>
  </si>
  <si>
    <t>3HW</t>
  </si>
  <si>
    <t>4BBQC</t>
  </si>
  <si>
    <t>5BUFF</t>
  </si>
  <si>
    <t>6VEG</t>
  </si>
  <si>
    <t>7DLX</t>
  </si>
  <si>
    <t>Hawaian</t>
  </si>
  <si>
    <t>Buffalo Chicken</t>
  </si>
  <si>
    <t>Veggie</t>
  </si>
  <si>
    <t>Deluxe</t>
  </si>
  <si>
    <t>BBQ Chicken</t>
  </si>
  <si>
    <t>Red Sauce</t>
  </si>
  <si>
    <t>Pepperoni</t>
  </si>
  <si>
    <t>Sausage</t>
  </si>
  <si>
    <t>Bacon</t>
  </si>
  <si>
    <t>Ham</t>
  </si>
  <si>
    <t>Pineapple</t>
  </si>
  <si>
    <t>BBQ Sauce</t>
  </si>
  <si>
    <t>Chicken</t>
  </si>
  <si>
    <t>Red Onion</t>
  </si>
  <si>
    <t>Buffalo Sauce</t>
  </si>
  <si>
    <t>Green Peppers</t>
  </si>
  <si>
    <t>Onions</t>
  </si>
  <si>
    <t>Olives</t>
  </si>
  <si>
    <t>Customize your culinary experience with our two-topping pizza. Starting with our handmade crust, signature red sauce, and a blend of Asiago, Mozzarella, and Cheddar cheeses, add your favorite duo of toppings.</t>
  </si>
  <si>
    <t>A tropical twist on a classic. Our handmade crust, signature red sauce, and our three-cheese blend, topped with sweet pineapple chunks and savory ham.</t>
  </si>
  <si>
    <t>Tangy and delicious! Our handmade crust topped with BBQ sauce, a blend of Asiago, Mozzarella, and Cheddar cheeses, tender BBQ chicken, crispy bacon, and red onions.</t>
  </si>
  <si>
    <t>Spice up your pizza night! Our handmade crust, buffalo sauce, a blend of Asiago, Mozzarella, and Cheddar cheeses, spicy buffalo chicken and crispy bacon.</t>
  </si>
  <si>
    <t>A garden-fresh delight! Our handmade crust, signature red sauce, and our three-cheese blend, loaded with fresh mushrooms, crisp green peppers, and sweet onions.</t>
  </si>
  <si>
    <t>The ultimate combination. Our handmade crust, signature red sauce, a blend of Asiago, Mozzarella, and Cheddar cheeses, topped with pepperoni, Italian sausage, and mushrooms.</t>
  </si>
  <si>
    <t>A classic blend of melted Asiago, Mozzarella, and Cheddar cheeses, baked to golden perfection on our handmade crust with our signature red sauce. Simple, satisfying, and utterly delicious.</t>
  </si>
  <si>
    <t>Our handmade crust, topped with our signature red sauce and a generous layer of our three-cheese blend. Choose your favorite topping to create your perfect pizza!</t>
  </si>
  <si>
    <t>Description</t>
  </si>
  <si>
    <t>A carnivore's dream! Our handmade crust loaded with our signature red sauce, a blend of Asiago, Mozzarella, and Cheddar cheeses, and piled high with savory pepperoni, Italian sausage, Ham, and crispy bacon.</t>
  </si>
  <si>
    <t>Mushrooms</t>
  </si>
  <si>
    <t>Sweet Onion</t>
  </si>
  <si>
    <t>Ingredient</t>
  </si>
  <si>
    <t>IngredientID</t>
  </si>
  <si>
    <t>S1</t>
  </si>
  <si>
    <t>S2</t>
  </si>
  <si>
    <t>S3</t>
  </si>
  <si>
    <t>M1</t>
  </si>
  <si>
    <t>M2</t>
  </si>
  <si>
    <t>M3</t>
  </si>
  <si>
    <t>M4</t>
  </si>
  <si>
    <t>M5</t>
  </si>
  <si>
    <t>P1</t>
  </si>
  <si>
    <t>P2</t>
  </si>
  <si>
    <t>P3</t>
  </si>
  <si>
    <t>P4</t>
  </si>
  <si>
    <t>P5</t>
  </si>
  <si>
    <t>PortionID</t>
  </si>
  <si>
    <t>PortionName</t>
  </si>
  <si>
    <t>Light</t>
  </si>
  <si>
    <t>Normal</t>
  </si>
  <si>
    <t>Extra</t>
  </si>
  <si>
    <t>PO1</t>
  </si>
  <si>
    <t>PO2</t>
  </si>
  <si>
    <t>PO3</t>
  </si>
  <si>
    <t>SizeID</t>
  </si>
  <si>
    <t>SizeName</t>
  </si>
  <si>
    <t>SZ1</t>
  </si>
  <si>
    <t>SZ3</t>
  </si>
  <si>
    <t>SZ2</t>
  </si>
  <si>
    <t>Small</t>
  </si>
  <si>
    <t>C1</t>
  </si>
  <si>
    <t>Cheese Blend</t>
  </si>
  <si>
    <t>PO0</t>
  </si>
  <si>
    <t>None</t>
  </si>
  <si>
    <t>Price</t>
  </si>
  <si>
    <t>AdditionalPriceFlag</t>
  </si>
  <si>
    <t>AdditionalPrice</t>
  </si>
  <si>
    <t>IngredientDifference</t>
  </si>
  <si>
    <t>DefaultIngredientCount</t>
  </si>
  <si>
    <t>CurrentIngredientCount</t>
  </si>
  <si>
    <t>ItemNumber</t>
  </si>
  <si>
    <t>ItemID2</t>
  </si>
  <si>
    <t>Tax</t>
  </si>
  <si>
    <t>ItemNumber2</t>
  </si>
  <si>
    <t>OrderID</t>
  </si>
  <si>
    <t>FinalTotal</t>
  </si>
  <si>
    <t>PaymentID</t>
  </si>
  <si>
    <t>PaymentType</t>
  </si>
  <si>
    <t>SubmittedDate</t>
  </si>
  <si>
    <t>AMEX</t>
  </si>
  <si>
    <t>SizePrice</t>
  </si>
  <si>
    <t>Size</t>
  </si>
  <si>
    <t>Medium</t>
  </si>
  <si>
    <t>Large</t>
  </si>
  <si>
    <t>InchDiam</t>
  </si>
  <si>
    <t>TotalItemPrice</t>
  </si>
  <si>
    <t>Tax Amount</t>
  </si>
  <si>
    <t>OrderSubtotal</t>
  </si>
  <si>
    <t>PromotionID</t>
  </si>
  <si>
    <t>PromotionName</t>
  </si>
  <si>
    <t>PromotionDescription</t>
  </si>
  <si>
    <t>PromotionCriteria1</t>
  </si>
  <si>
    <t>SystemAction</t>
  </si>
  <si>
    <t>BOGO</t>
  </si>
  <si>
    <t>BuyOneGetOne</t>
  </si>
  <si>
    <t>Double the Deliciousness! Buy One Pizza, Get One Absolutely FREE!</t>
  </si>
  <si>
    <t>FLOOR(COUNT(MAX(ItemNumber) / 2) &gt;= 1</t>
  </si>
  <si>
    <t>SELECT TOP FLOOR(COUNT(MAX(ItemNumber) / 2)  Pizzas ORDER BY Itemprice SET ItemPrice = 0</t>
  </si>
  <si>
    <t>LRG3TPN</t>
  </si>
  <si>
    <t>Large 3 - Topping Pizza</t>
  </si>
  <si>
    <t>Feast Like Royalty for Just $12.99! Get a Large 3-Topping Pizza!</t>
  </si>
  <si>
    <t>WHERE [ItemID] Contains "1CP" and IngredientCount &gt;= 5</t>
  </si>
  <si>
    <t>SELECT [ItemID] WHERE [ItemID] Contains "1CP" and IngredientCount &gt;= 5 SET ItemPrice = $12.99 + ($1.99 * [IngredientCount]  - 5)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</si>
</sst>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rgb="FF44B3E1"/>
      </bottom>
      <diagonal/>
    </border>
    <border>
      <left/>
      <right/>
      <top/>
      <bottom style="thin">
        <color rgb="FF44B3E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rgb="FF44B3E1"/>
      </bottom>
      <diagonal/>
    </border>
    <border>
      <left style="thin">
        <color rgb="FF44B3E1"/>
      </left>
      <right/>
      <top style="thin">
        <color rgb="FF44B3E1"/>
      </top>
      <bottom style="thin">
        <color theme="4" tint="0.39997558519241921"/>
      </bottom>
      <diagonal/>
    </border>
    <border>
      <left style="thin">
        <color rgb="FF44B3E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44B3E1"/>
      </left>
      <right/>
      <top style="thin">
        <color theme="4" tint="0.39997558519241921"/>
      </top>
      <bottom style="thin">
        <color rgb="FF44B3E1"/>
      </bottom>
      <diagonal/>
    </border>
    <border>
      <left/>
      <right style="thin">
        <color theme="4" tint="0.39997558519241921"/>
      </right>
      <top style="thin">
        <color rgb="FF44B3E1"/>
      </top>
      <bottom style="thin">
        <color rgb="FF44B3E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2" fillId="0" borderId="4" xfId="0" applyFont="1" applyBorder="1"/>
    <xf numFmtId="0" fontId="0" fillId="0" borderId="2" xfId="0" applyBorder="1"/>
    <xf numFmtId="0" fontId="0" fillId="0" borderId="5" xfId="0" applyBorder="1"/>
    <xf numFmtId="44" fontId="2" fillId="0" borderId="4" xfId="1" applyFont="1" applyFill="1" applyBorder="1"/>
    <xf numFmtId="44" fontId="0" fillId="0" borderId="4" xfId="1" applyFont="1" applyFill="1" applyBorder="1"/>
    <xf numFmtId="44" fontId="0" fillId="0" borderId="2" xfId="1" applyFont="1" applyFill="1" applyBorder="1"/>
    <xf numFmtId="44" fontId="0" fillId="0" borderId="5" xfId="1" applyFont="1" applyFill="1" applyBorder="1"/>
    <xf numFmtId="44" fontId="0" fillId="0" borderId="0" xfId="1" applyFont="1"/>
    <xf numFmtId="44" fontId="0" fillId="0" borderId="0" xfId="1" applyFont="1" applyFill="1" applyBorder="1"/>
    <xf numFmtId="44" fontId="0" fillId="0" borderId="0" xfId="1" applyFont="1" applyFill="1"/>
    <xf numFmtId="1" fontId="2" fillId="0" borderId="4" xfId="1" applyNumberFormat="1" applyFont="1" applyFill="1" applyBorder="1"/>
    <xf numFmtId="1" fontId="0" fillId="0" borderId="0" xfId="1" applyNumberFormat="1" applyFont="1" applyFill="1" applyBorder="1"/>
    <xf numFmtId="1" fontId="0" fillId="0" borderId="0" xfId="1" applyNumberFormat="1" applyFont="1"/>
    <xf numFmtId="0" fontId="2" fillId="0" borderId="8" xfId="0" applyFont="1" applyBorder="1"/>
    <xf numFmtId="44" fontId="4" fillId="0" borderId="0" xfId="0" applyNumberFormat="1" applyFont="1"/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9" fontId="2" fillId="2" borderId="13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10" fontId="4" fillId="3" borderId="3" xfId="2" applyNumberFormat="1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4" fillId="0" borderId="3" xfId="2" applyNumberFormat="1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0" fontId="4" fillId="3" borderId="9" xfId="2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73"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rgb="FF44B3E1"/>
        </left>
        <right style="thin">
          <color theme="4" tint="0.39997558519241921"/>
        </right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44B3E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44B3E1"/>
        </left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rgb="FF000000"/>
          <bgColor auto="1"/>
        </patternFill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8241A8-BD8E-46D7-A365-81995319944B}" name="Table9" displayName="Table9" ref="A1:C10" totalsRowShown="0">
  <autoFilter ref="A1:C10" xr:uid="{4D8241A8-BD8E-46D7-A365-81995319944B}"/>
  <tableColumns count="3">
    <tableColumn id="1" xr3:uid="{4E6F468F-1B54-4732-A699-C724DD54BC5A}" name="ItemID"/>
    <tableColumn id="2" xr3:uid="{DA8EE01F-3D47-4363-A777-26F53350698E}" name="ItemName"/>
    <tableColumn id="3" xr3:uid="{039F40FA-AB4F-4315-B417-28A0E4FE177E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4AAE15-43A7-4D6A-AF64-0B941669ED7C}" name="Table2" displayName="Table2" ref="B1:H2" totalsRowShown="0" headerRowDxfId="10" headerRowBorderDxfId="9" tableBorderDxfId="8" totalsRowBorderDxfId="7">
  <autoFilter ref="B1:H2" xr:uid="{5D4AAE15-43A7-4D6A-AF64-0B941669ED7C}"/>
  <tableColumns count="7">
    <tableColumn id="1" xr3:uid="{3E73D0B8-D07C-43A2-9814-6B5420657EF3}" name="OrderSubtotal" dataDxfId="6">
      <calculatedColumnFormula>SUM(Table12[TotalItemPrice])</calculatedColumnFormula>
    </tableColumn>
    <tableColumn id="2" xr3:uid="{C42B667A-7309-4D49-B8C2-CFA057CD5FE0}" name="Tax" dataDxfId="5" dataCellStyle="Percent">
      <calculatedColumnFormula>SUM($H$2:$H$10)- (SUM($H$2:$H$10)*A2)</calculatedColumnFormula>
    </tableColumn>
    <tableColumn id="3" xr3:uid="{34F403C5-D38B-4157-A414-F047DDDF4E37}" name="Tax Amount" dataDxfId="4" dataCellStyle="Currency">
      <calculatedColumnFormula>SUM(Table12[TotalItemPrice]) *Table12[[#This Row],[Tax]]</calculatedColumnFormula>
    </tableColumn>
    <tableColumn id="4" xr3:uid="{5BD567C5-8012-4709-93F5-65595D5F2F6B}" name="FinalTotal" dataDxfId="3">
      <calculatedColumnFormula>Table12[[#This Row],[OrderSubtotal]]+Table12[[#This Row],[Tax Amount]]</calculatedColumnFormula>
    </tableColumn>
    <tableColumn id="5" xr3:uid="{736613BC-F5B4-40CC-96E9-D52A0F4C6926}" name="PaymentID" dataDxfId="2"/>
    <tableColumn id="6" xr3:uid="{8D7DC34E-2BEB-4A97-93C8-8CFE85D1B7EF}" name="PaymentType" dataDxfId="1"/>
    <tableColumn id="7" xr3:uid="{897562CA-50FF-4828-89E1-466FEFBD9BA1}" name="SubmittedD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03C726-169F-4D02-84B7-242A59A7D278}" name="Table6" displayName="Table6" ref="A1:E3" totalsRowShown="0">
  <autoFilter ref="A1:E3" xr:uid="{FC03C726-169F-4D02-84B7-242A59A7D278}"/>
  <tableColumns count="5">
    <tableColumn id="1" xr3:uid="{E64E589C-C606-4FEE-8DF4-75D1916CA129}" name="PromotionID"/>
    <tableColumn id="2" xr3:uid="{D027BE83-0707-4AEC-A7D7-C7682EDF6041}" name="PromotionName"/>
    <tableColumn id="3" xr3:uid="{E74B734E-4DAE-45E8-B2F8-A603DEFCACC3}" name="PromotionDescription"/>
    <tableColumn id="4" xr3:uid="{91A24508-2F10-43EB-B607-8236E1DCB26B}" name="PromotionCriteria1"/>
    <tableColumn id="5" xr3:uid="{87184615-13E0-46C4-BF8E-AF7D30425008}" name="SystemA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523E72-52F4-4671-98C5-28D46BABE2DB}" name="Table5" displayName="Table5" ref="A1:B15" totalsRowShown="0">
  <autoFilter ref="A1:B15" xr:uid="{EA523E72-52F4-4671-98C5-28D46BABE2DB}"/>
  <tableColumns count="2">
    <tableColumn id="1" xr3:uid="{DA9568A9-FBC4-4C17-9AED-3C6729E9BA87}" name="IngredientID"/>
    <tableColumn id="2" xr3:uid="{4DB61CD1-2F2F-4AAB-94B9-8D2BAB0988DD}" name="Ingredi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DB4573-F9E7-48A4-A3DE-4202E6F34671}" name="Table4" displayName="Table4" ref="A1:B5" totalsRowShown="0">
  <autoFilter ref="A1:B5" xr:uid="{B5DB4573-F9E7-48A4-A3DE-4202E6F34671}"/>
  <tableColumns count="2">
    <tableColumn id="1" xr3:uid="{7E102099-B235-432C-91BD-CDC9B455A6BB}" name="PortionID"/>
    <tableColumn id="2" xr3:uid="{FEF67F39-930D-4CA5-B236-F38604C06832}" name="Portion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022EA4-6CF7-4C45-9C71-23EB3D590CC5}" name="Table3" displayName="Table3" ref="A1:D4" totalsRowShown="0">
  <autoFilter ref="A1:D4" xr:uid="{A3022EA4-6CF7-4C45-9C71-23EB3D590CC5}"/>
  <tableColumns count="4">
    <tableColumn id="1" xr3:uid="{9439C723-FB64-4F1B-B981-0597CED226D6}" name="SizeID"/>
    <tableColumn id="2" xr3:uid="{E5750DFF-7D99-47B8-A248-EE191867FE4A}" name="SizeName"/>
    <tableColumn id="4" xr3:uid="{451199ED-EE4B-4FC6-B47E-016168ED0D01}" name="InchDiam"/>
    <tableColumn id="3" xr3:uid="{64CC2AEB-D29A-44BA-B185-D6717EDAD846}" name="SizePrice" data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72D3EA-E3AE-41B1-9F45-307B2DD6AE94}" name="Table1" displayName="Table1" ref="A1:S10" totalsRowShown="0">
  <autoFilter ref="A1:S10" xr:uid="{1772D3EA-E3AE-41B1-9F45-307B2DD6AE94}"/>
  <tableColumns count="19">
    <tableColumn id="1" xr3:uid="{583FF7AB-DE5B-4E6E-80A5-D03E4F48C906}" name="ItemID"/>
    <tableColumn id="2" xr3:uid="{033155F8-70D5-4488-9202-028D5D4D0F9F}" name="ItemName"/>
    <tableColumn id="28" xr3:uid="{2179294B-7989-400C-8D32-75A2132E266E}" name="S1" dataDxfId="72"/>
    <tableColumn id="29" xr3:uid="{8149E284-8145-4951-A19D-0CC784E3908E}" name="S2" dataDxfId="71"/>
    <tableColumn id="30" xr3:uid="{ADF2ABD6-94FA-4D61-A1A6-9BB6FAEA2C47}" name="S3" dataDxfId="70"/>
    <tableColumn id="31" xr3:uid="{56E065E5-F799-4841-91EB-0DBAF852E2F3}" name="M1" dataDxfId="69"/>
    <tableColumn id="32" xr3:uid="{1A931167-3563-492C-A447-40373836D6F3}" name="M2" dataDxfId="68"/>
    <tableColumn id="33" xr3:uid="{FEC2811F-5C8E-48D2-846D-C25EB052918B}" name="M3" dataDxfId="67"/>
    <tableColumn id="34" xr3:uid="{B0732571-1D97-4C55-A3E3-683114D42134}" name="M4" dataDxfId="66"/>
    <tableColumn id="35" xr3:uid="{764B27E3-0B85-4BE6-9A3F-85FBC1AFA92A}" name="M5" dataDxfId="65"/>
    <tableColumn id="36" xr3:uid="{8C5CFC55-80D1-462E-A158-3A9388FA8FF6}" name="P1" dataDxfId="64"/>
    <tableColumn id="37" xr3:uid="{34135280-90B8-432B-BFB4-426B370075D1}" name="P2" dataDxfId="63"/>
    <tableColumn id="38" xr3:uid="{FD3DBC56-CFC1-45D8-8E70-7D41C6DB0C91}" name="P3" dataDxfId="62"/>
    <tableColumn id="39" xr3:uid="{ADD14085-DBF8-4502-A793-540324F8CB27}" name="P4" dataDxfId="61"/>
    <tableColumn id="40" xr3:uid="{5C3ED0D0-1901-4EAF-9F4F-B8E3A81EFCBA}" name="P5" dataDxfId="60"/>
    <tableColumn id="41" xr3:uid="{FF6AAFA5-5AFC-4320-96AC-0A23D904605E}" name="C1" dataDxfId="59"/>
    <tableColumn id="42" xr3:uid="{1D9ED109-1265-4A21-8789-CE45E48DD584}" name="DefaultIngredientCount" dataDxfId="58">
      <calculatedColumnFormula>COUNTIF(Table1[[#This Row],[S1]:[C1]],"PO1")</calculatedColumnFormula>
    </tableColumn>
    <tableColumn id="43" xr3:uid="{8B654367-0FF5-4637-B078-9E5D1B1A87B7}" name="CurrentIngredientCount" dataDxfId="57">
      <calculatedColumnFormula>COUNTIF(Table1[[#This Row],[S1]:[C1]],"PO1") + COUNTIF(Table1[[#This Row],[S1]:[C1]],"PO2") + COUNTIF(Table1[[#This Row],[S1]:[C1]],"PO3")</calculatedColumnFormula>
    </tableColumn>
    <tableColumn id="44" xr3:uid="{7963CDF8-04E9-44DA-8F0F-6D3BBC38F4A1}" name="IngredientDifference" dataDxfId="56">
      <calculatedColumnFormula>Table1[[#This Row],[DefaultIngredientCount]]-Table1[[#This Row],[CurrentIngredientCount]]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8CBA069-7D1F-48CA-9C52-0814D69045AD}" name="Table10" displayName="Table10" ref="A1:H10" totalsRowShown="0" headerRowDxfId="55" dataDxfId="53" headerRowBorderDxfId="54" tableBorderDxfId="52" totalsRowBorderDxfId="51">
  <autoFilter ref="A1:H10" xr:uid="{A8CBA069-7D1F-48CA-9C52-0814D69045AD}"/>
  <tableColumns count="8">
    <tableColumn id="1" xr3:uid="{3170B8F2-EA16-4A3F-B900-2E992AAB51E1}" name="ItemID" dataDxfId="50"/>
    <tableColumn id="2" xr3:uid="{60C0C7B5-ACAD-4370-B213-D0CB1856BFE7}" name="ItemName" dataDxfId="49"/>
    <tableColumn id="3" xr3:uid="{4A79E8FF-DA68-4A20-8DA4-9DAE64B04BD3}" name="Price" dataDxfId="48" dataCellStyle="Currency"/>
    <tableColumn id="7" xr3:uid="{4CD99177-9963-41B4-89EE-A2B564DDBE91}" name="CurrentIngredientCount" dataDxfId="47" dataCellStyle="Currency">
      <calculatedColumnFormula>COUNTIF(Table1[[#This Row],[S1]:[C1]],"PO1") + COUNTIF(Table1[[#This Row],[S1]:[C1]],"PO2") + COUNTIF(Table1[[#This Row],[S1]:[C1]],"PO3")</calculatedColumnFormula>
    </tableColumn>
    <tableColumn id="9" xr3:uid="{1495B20E-AA6A-4300-BE8D-D110BDD6AB16}" name="DefaultIngredientCount" dataDxfId="46" dataCellStyle="Currency">
      <calculatedColumnFormula>Table1[[#This Row],[DefaultIngredientCount]]</calculatedColumnFormula>
    </tableColumn>
    <tableColumn id="8" xr3:uid="{1ADAC6F0-6824-47B0-B20C-0035814BE840}" name="IngredientDifference" dataDxfId="45" dataCellStyle="Currency">
      <calculatedColumnFormula>Table1[[#This Row],[IngredientDifference]]</calculatedColumnFormula>
    </tableColumn>
    <tableColumn id="4" xr3:uid="{DF10B5E1-6962-488C-98E3-12916FD13B15}" name="AdditionalPriceFlag" dataDxfId="44" dataCellStyle="Currency">
      <calculatedColumnFormula>IF(Table10[[#This Row],[IngredientDifference]]&gt;0,"Y", "N")</calculatedColumnFormula>
    </tableColumn>
    <tableColumn id="5" xr3:uid="{65FD9C9B-7B08-4E84-A201-C0C9AFF0268C}" name="AdditionalPrice" dataDxfId="43" dataCellStyle="Currency">
      <calculatedColumnFormula>IF(Table10[[#This Row],[IngredientDifference]]&gt;0,Table10[[#This Row],[IngredientDifference]]*1.99, 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C30AC10-10C7-4B3C-ACC3-68365B4EFBD0}" name="Table1012" displayName="Table1012" ref="A1:L10" totalsRowShown="0" headerRowDxfId="42" dataDxfId="40" headerRowBorderDxfId="41" tableBorderDxfId="39" totalsRowBorderDxfId="38">
  <autoFilter ref="A1:L10" xr:uid="{A8CBA069-7D1F-48CA-9C52-0814D69045AD}"/>
  <tableColumns count="12">
    <tableColumn id="1" xr3:uid="{69A9D34E-6F6B-4D5A-8A0B-D8A2A4E27069}" name="OrderID" dataDxfId="37"/>
    <tableColumn id="13" xr3:uid="{18668685-3B45-40BC-B2E1-44F752689D81}" name="ItemNumber2" dataDxfId="36"/>
    <tableColumn id="11" xr3:uid="{8FF312ED-0D86-47F0-9A28-5AA7789D927B}" name="ItemID2" dataDxfId="35"/>
    <tableColumn id="2" xr3:uid="{5A9EEC27-288D-45D1-B6DC-2C40F88A48FA}" name="ItemName" dataDxfId="34"/>
    <tableColumn id="3" xr3:uid="{BEBEC1C1-5E26-4929-A73C-7C85726C000A}" name="Price" dataDxfId="33" dataCellStyle="Currency"/>
    <tableColumn id="15" xr3:uid="{6A561CC0-EBF4-496A-BFE4-AD1F7BAD9F89}" name="Size" dataDxfId="32" dataCellStyle="Currency"/>
    <tableColumn id="16" xr3:uid="{EB12A54B-3EAE-4A48-9C77-5FCA56D88637}" name="SizePrice" dataDxfId="31" dataCellStyle="Currency">
      <calculatedColumnFormula>_xlfn.XLOOKUP(Table1012[[#This Row],[Size]],'Pizza Size Schema'!$B:$B,'Pizza Size Schema'!$D:$D,"",0,1)</calculatedColumnFormula>
    </tableColumn>
    <tableColumn id="9" xr3:uid="{69B29BEB-F6DD-4FD8-9406-1D6217C3CC45}" name="DefaultIngredientCount" dataDxfId="30" dataCellStyle="Currency">
      <calculatedColumnFormula>Table1[[#This Row],[DefaultIngredientCount]]</calculatedColumnFormula>
    </tableColumn>
    <tableColumn id="8" xr3:uid="{F9959568-33CF-43A9-9A43-A86BB93C13C7}" name="IngredientDifference" dataDxfId="29" dataCellStyle="Currency">
      <calculatedColumnFormula>Table1[[#This Row],[IngredientDifference]]</calculatedColumnFormula>
    </tableColumn>
    <tableColumn id="4" xr3:uid="{F285D614-45FE-4311-8CFE-7F55FBB10870}" name="AdditionalPriceFlag" dataDxfId="28" dataCellStyle="Currency">
      <calculatedColumnFormula>IF(Table1012[[#This Row],[IngredientDifference]]&gt;0,"Y", "N")</calculatedColumnFormula>
    </tableColumn>
    <tableColumn id="5" xr3:uid="{57102525-E911-49D1-9FBD-38ED1720C880}" name="AdditionalPrice" dataDxfId="27" dataCellStyle="Currency">
      <calculatedColumnFormula>IF(Table1012[[#This Row],[IngredientDifference]]&gt;0,Table1012[[#This Row],[IngredientDifference]]*1.99, 0)</calculatedColumnFormula>
    </tableColumn>
    <tableColumn id="10" xr3:uid="{5562859B-4692-480E-BC75-BEBEAE24C30E}" name="TotalItemPrice" dataDxfId="26">
      <calculatedColumnFormula>Table1012[[#This Row],[Price]]+Table1012[[#This Row],[AdditionalPrice]]+Table1012[[#This Row],[SizePrice]]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08A7AF8-D558-4763-8654-72D69D6CE90F}" name="Table12" displayName="Table12" ref="A1:L10" totalsRowShown="0" headerRowDxfId="25" dataDxfId="24" tableBorderDxfId="23">
  <autoFilter ref="A1:L10" xr:uid="{508A7AF8-D558-4763-8654-72D69D6CE90F}"/>
  <tableColumns count="12">
    <tableColumn id="1" xr3:uid="{37C9C776-33B1-4F6D-801A-51955FB00694}" name="OrderID" dataDxfId="22"/>
    <tableColumn id="2" xr3:uid="{E6404B9B-3168-480E-BF83-5CDC2E9CB3AB}" name="ItemNumber" dataDxfId="21"/>
    <tableColumn id="3" xr3:uid="{B685B8DD-03E9-4718-AC9E-E5C3FF2AB5A2}" name="ItemID" dataDxfId="20"/>
    <tableColumn id="4" xr3:uid="{5BB59B26-98E4-4F40-9B5A-0EF825FD3229}" name="ItemName" dataDxfId="19"/>
    <tableColumn id="11" xr3:uid="{34E783D9-8B27-46AE-89FA-D5FE4782EFE5}" name="TotalItemPrice" dataDxfId="18" dataCellStyle="Currency"/>
    <tableColumn id="5" xr3:uid="{3DAA669C-453F-46F3-927D-618044CE7C04}" name="OrderSubtotal" dataDxfId="17">
      <calculatedColumnFormula>SUM(Table12[TotalItemPrice])</calculatedColumnFormula>
    </tableColumn>
    <tableColumn id="6" xr3:uid="{05D513FE-7128-47E3-961F-ABBAA09CDC59}" name="Tax" dataDxfId="16" dataCellStyle="Percent"/>
    <tableColumn id="12" xr3:uid="{B073805E-9DEC-462B-A0A7-27C0B5CD2B05}" name="Tax Amount" dataDxfId="15" dataCellStyle="Currency">
      <calculatedColumnFormula>SUM(Table12[TotalItemPrice]) *Table12[[#This Row],[Tax]]</calculatedColumnFormula>
    </tableColumn>
    <tableColumn id="7" xr3:uid="{4246F17B-1C01-4F14-87C1-5E009225B3F1}" name="FinalTotal" dataDxfId="14">
      <calculatedColumnFormula>Table12[[#This Row],[OrderSubtotal]]+Table12[[#This Row],[Tax Amount]]</calculatedColumnFormula>
    </tableColumn>
    <tableColumn id="8" xr3:uid="{C16F91C9-045F-4855-B104-1445B33A12F3}" name="PaymentID" dataDxfId="13"/>
    <tableColumn id="9" xr3:uid="{BC8C6664-86FA-4CE8-9C4B-D5343FE895E9}" name="PaymentType" dataDxfId="12"/>
    <tableColumn id="10" xr3:uid="{6952ED59-4492-4EFB-BED7-4B54AAE195B3}" name="SubmittedDate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8625-9870-42EC-A8C5-F0625474CD01}">
  <dimension ref="A1:J10"/>
  <sheetViews>
    <sheetView workbookViewId="0">
      <selection activeCell="C47" sqref="C47"/>
    </sheetView>
  </sheetViews>
  <sheetFormatPr defaultRowHeight="15" x14ac:dyDescent="0.25"/>
  <cols>
    <col min="1" max="1" width="9.28515625" customWidth="1"/>
    <col min="2" max="2" width="15" bestFit="1" customWidth="1"/>
    <col min="3" max="3" width="190.85546875" bestFit="1" customWidth="1"/>
    <col min="4" max="5" width="9.42578125" customWidth="1"/>
    <col min="6" max="6" width="10" bestFit="1" customWidth="1"/>
    <col min="7" max="7" width="13.85546875" bestFit="1" customWidth="1"/>
    <col min="8" max="8" width="106.5703125" bestFit="1" customWidth="1"/>
    <col min="9" max="9" width="9.42578125" customWidth="1"/>
  </cols>
  <sheetData>
    <row r="1" spans="1:10" x14ac:dyDescent="0.25">
      <c r="A1" t="s">
        <v>0</v>
      </c>
      <c r="B1" t="s">
        <v>1</v>
      </c>
      <c r="C1" t="s">
        <v>41</v>
      </c>
    </row>
    <row r="2" spans="1:10" x14ac:dyDescent="0.25">
      <c r="A2" t="s">
        <v>6</v>
      </c>
      <c r="B2" t="s">
        <v>2</v>
      </c>
      <c r="C2" t="s">
        <v>39</v>
      </c>
    </row>
    <row r="3" spans="1:10" x14ac:dyDescent="0.25">
      <c r="A3" t="s">
        <v>7</v>
      </c>
      <c r="B3" t="s">
        <v>3</v>
      </c>
      <c r="C3" t="s">
        <v>40</v>
      </c>
    </row>
    <row r="4" spans="1:10" x14ac:dyDescent="0.25">
      <c r="A4" t="s">
        <v>8</v>
      </c>
      <c r="B4" t="s">
        <v>4</v>
      </c>
      <c r="C4" t="s">
        <v>33</v>
      </c>
    </row>
    <row r="5" spans="1:10" x14ac:dyDescent="0.25">
      <c r="A5" t="s">
        <v>9</v>
      </c>
      <c r="B5" t="s">
        <v>5</v>
      </c>
      <c r="C5" t="s">
        <v>42</v>
      </c>
      <c r="I5" t="s">
        <v>24</v>
      </c>
    </row>
    <row r="6" spans="1:10" x14ac:dyDescent="0.25">
      <c r="A6" t="s">
        <v>10</v>
      </c>
      <c r="B6" t="s">
        <v>15</v>
      </c>
      <c r="C6" t="s">
        <v>34</v>
      </c>
    </row>
    <row r="7" spans="1:10" x14ac:dyDescent="0.25">
      <c r="A7" t="s">
        <v>11</v>
      </c>
      <c r="B7" t="s">
        <v>19</v>
      </c>
      <c r="C7" t="s">
        <v>35</v>
      </c>
    </row>
    <row r="8" spans="1:10" x14ac:dyDescent="0.25">
      <c r="A8" t="s">
        <v>12</v>
      </c>
      <c r="B8" t="s">
        <v>16</v>
      </c>
      <c r="C8" t="s">
        <v>36</v>
      </c>
    </row>
    <row r="9" spans="1:10" x14ac:dyDescent="0.25">
      <c r="A9" t="s">
        <v>13</v>
      </c>
      <c r="B9" t="s">
        <v>17</v>
      </c>
      <c r="C9" t="s">
        <v>37</v>
      </c>
      <c r="I9" t="s">
        <v>32</v>
      </c>
    </row>
    <row r="10" spans="1:10" x14ac:dyDescent="0.25">
      <c r="A10" t="s">
        <v>14</v>
      </c>
      <c r="B10" t="s">
        <v>18</v>
      </c>
      <c r="C10" t="s">
        <v>38</v>
      </c>
      <c r="I10" t="s">
        <v>30</v>
      </c>
      <c r="J10" t="s">
        <v>31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4538-D286-4209-923F-885E587986AC}">
  <dimension ref="A1:H2"/>
  <sheetViews>
    <sheetView workbookViewId="0">
      <selection activeCell="B7" sqref="B6:B7"/>
    </sheetView>
  </sheetViews>
  <sheetFormatPr defaultRowHeight="15" x14ac:dyDescent="0.25"/>
  <cols>
    <col min="1" max="8" width="20.140625" customWidth="1"/>
  </cols>
  <sheetData>
    <row r="1" spans="1:8" x14ac:dyDescent="0.25">
      <c r="A1" s="20" t="s">
        <v>88</v>
      </c>
      <c r="B1" s="36" t="s">
        <v>101</v>
      </c>
      <c r="C1" s="22" t="s">
        <v>86</v>
      </c>
      <c r="D1" s="21" t="s">
        <v>100</v>
      </c>
      <c r="E1" s="23" t="s">
        <v>89</v>
      </c>
      <c r="F1" s="23" t="s">
        <v>90</v>
      </c>
      <c r="G1" s="38" t="s">
        <v>91</v>
      </c>
      <c r="H1" s="38" t="s">
        <v>92</v>
      </c>
    </row>
    <row r="2" spans="1:8" x14ac:dyDescent="0.25">
      <c r="A2" s="25">
        <v>1</v>
      </c>
      <c r="B2" s="37">
        <f>SUM(Table12[TotalItemPrice])</f>
        <v>148.91</v>
      </c>
      <c r="C2" s="27">
        <v>0.08</v>
      </c>
      <c r="D2" s="26">
        <f>SUM(Table12[TotalItemPrice]) *Table12[[#This Row],[Tax]]</f>
        <v>11.912800000000001</v>
      </c>
      <c r="E2" s="28">
        <f>Table12[[#This Row],[OrderSubtotal]]+Table12[[#This Row],[Tax Amount]]</f>
        <v>160.8228</v>
      </c>
      <c r="F2" s="3">
        <v>145</v>
      </c>
      <c r="G2" s="3" t="s">
        <v>93</v>
      </c>
      <c r="H2" s="29">
        <v>45749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21A1-CA5C-4CF8-AAE0-700D728E4B4D}">
  <dimension ref="A1:E3"/>
  <sheetViews>
    <sheetView tabSelected="1" workbookViewId="0">
      <selection activeCell="C49" sqref="C49"/>
    </sheetView>
  </sheetViews>
  <sheetFormatPr defaultRowHeight="15" x14ac:dyDescent="0.25"/>
  <cols>
    <col min="1" max="1" width="14.7109375" bestFit="1" customWidth="1"/>
    <col min="2" max="2" width="21.140625" bestFit="1" customWidth="1"/>
    <col min="3" max="3" width="61" bestFit="1" customWidth="1"/>
    <col min="4" max="4" width="51.42578125" bestFit="1" customWidth="1"/>
    <col min="5" max="5" width="114.7109375" bestFit="1" customWidth="1"/>
  </cols>
  <sheetData>
    <row r="1" spans="1:5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25">
      <c r="A2" t="s">
        <v>107</v>
      </c>
      <c r="B2" t="s">
        <v>108</v>
      </c>
      <c r="C2" t="s">
        <v>109</v>
      </c>
      <c r="D2" t="s">
        <v>110</v>
      </c>
      <c r="E2" t="s">
        <v>111</v>
      </c>
    </row>
    <row r="3" spans="1:5" x14ac:dyDescent="0.25">
      <c r="A3" t="s">
        <v>112</v>
      </c>
      <c r="B3" t="s">
        <v>113</v>
      </c>
      <c r="C3" t="s">
        <v>114</v>
      </c>
      <c r="D3" t="s">
        <v>115</v>
      </c>
      <c r="E3" t="s">
        <v>116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9D601-C7F8-426A-8F01-330690FAD72D}">
  <dimension ref="A1:B15"/>
  <sheetViews>
    <sheetView workbookViewId="0">
      <selection activeCell="G30" sqref="G30"/>
    </sheetView>
  </sheetViews>
  <sheetFormatPr defaultRowHeight="15" x14ac:dyDescent="0.25"/>
  <cols>
    <col min="1" max="1" width="14.42578125" customWidth="1"/>
    <col min="2" max="2" width="13.140625" bestFit="1" customWidth="1"/>
    <col min="3" max="3" width="10.5703125" bestFit="1" customWidth="1"/>
    <col min="4" max="4" width="13.85546875" bestFit="1" customWidth="1"/>
    <col min="5" max="5" width="106.5703125" bestFit="1" customWidth="1"/>
  </cols>
  <sheetData>
    <row r="1" spans="1:2" x14ac:dyDescent="0.25">
      <c r="A1" t="s">
        <v>46</v>
      </c>
      <c r="B1" t="s">
        <v>45</v>
      </c>
    </row>
    <row r="2" spans="1:2" x14ac:dyDescent="0.25">
      <c r="A2" t="s">
        <v>47</v>
      </c>
      <c r="B2" t="s">
        <v>20</v>
      </c>
    </row>
    <row r="3" spans="1:2" x14ac:dyDescent="0.25">
      <c r="A3" t="s">
        <v>48</v>
      </c>
      <c r="B3" t="s">
        <v>29</v>
      </c>
    </row>
    <row r="4" spans="1:2" x14ac:dyDescent="0.25">
      <c r="A4" t="s">
        <v>49</v>
      </c>
      <c r="B4" t="s">
        <v>26</v>
      </c>
    </row>
    <row r="5" spans="1:2" x14ac:dyDescent="0.25">
      <c r="A5" t="s">
        <v>50</v>
      </c>
      <c r="B5" t="s">
        <v>21</v>
      </c>
    </row>
    <row r="6" spans="1:2" x14ac:dyDescent="0.25">
      <c r="A6" t="s">
        <v>51</v>
      </c>
      <c r="B6" t="s">
        <v>22</v>
      </c>
    </row>
    <row r="7" spans="1:2" x14ac:dyDescent="0.25">
      <c r="A7" t="s">
        <v>52</v>
      </c>
      <c r="B7" t="s">
        <v>23</v>
      </c>
    </row>
    <row r="8" spans="1:2" x14ac:dyDescent="0.25">
      <c r="A8" t="s">
        <v>53</v>
      </c>
      <c r="B8" t="s">
        <v>27</v>
      </c>
    </row>
    <row r="9" spans="1:2" x14ac:dyDescent="0.25">
      <c r="A9" t="s">
        <v>54</v>
      </c>
      <c r="B9" t="s">
        <v>24</v>
      </c>
    </row>
    <row r="10" spans="1:2" x14ac:dyDescent="0.25">
      <c r="A10" t="s">
        <v>55</v>
      </c>
      <c r="B10" t="s">
        <v>25</v>
      </c>
    </row>
    <row r="11" spans="1:2" x14ac:dyDescent="0.25">
      <c r="A11" t="s">
        <v>56</v>
      </c>
      <c r="B11" t="s">
        <v>30</v>
      </c>
    </row>
    <row r="12" spans="1:2" x14ac:dyDescent="0.25">
      <c r="A12" t="s">
        <v>57</v>
      </c>
      <c r="B12" t="s">
        <v>43</v>
      </c>
    </row>
    <row r="13" spans="1:2" x14ac:dyDescent="0.25">
      <c r="A13" t="s">
        <v>58</v>
      </c>
      <c r="B13" t="s">
        <v>28</v>
      </c>
    </row>
    <row r="14" spans="1:2" x14ac:dyDescent="0.25">
      <c r="A14" t="s">
        <v>59</v>
      </c>
      <c r="B14" t="s">
        <v>44</v>
      </c>
    </row>
    <row r="15" spans="1:2" x14ac:dyDescent="0.25">
      <c r="A15" t="s">
        <v>74</v>
      </c>
      <c r="B15" t="s">
        <v>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AC08-4ABF-472E-9778-460FF2497BE1}">
  <dimension ref="A1:B5"/>
  <sheetViews>
    <sheetView workbookViewId="0">
      <selection activeCell="H42" sqref="H42"/>
    </sheetView>
  </sheetViews>
  <sheetFormatPr defaultRowHeight="15" x14ac:dyDescent="0.25"/>
  <cols>
    <col min="1" max="1" width="11.7109375" customWidth="1"/>
    <col min="2" max="2" width="15" customWidth="1"/>
  </cols>
  <sheetData>
    <row r="1" spans="1:2" x14ac:dyDescent="0.25">
      <c r="A1" t="s">
        <v>60</v>
      </c>
      <c r="B1" t="s">
        <v>61</v>
      </c>
    </row>
    <row r="2" spans="1:2" x14ac:dyDescent="0.25">
      <c r="A2" s="1" t="s">
        <v>76</v>
      </c>
      <c r="B2" s="2" t="s">
        <v>77</v>
      </c>
    </row>
    <row r="3" spans="1:2" x14ac:dyDescent="0.25">
      <c r="A3" t="s">
        <v>65</v>
      </c>
      <c r="B3" t="s">
        <v>63</v>
      </c>
    </row>
    <row r="4" spans="1:2" x14ac:dyDescent="0.25">
      <c r="A4" t="s">
        <v>66</v>
      </c>
      <c r="B4" t="s">
        <v>62</v>
      </c>
    </row>
    <row r="5" spans="1:2" x14ac:dyDescent="0.25">
      <c r="A5" t="s">
        <v>67</v>
      </c>
      <c r="B5" t="s">
        <v>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8AA9-F532-42C5-A780-2FAE0409229A}">
  <dimension ref="A1:D4"/>
  <sheetViews>
    <sheetView workbookViewId="0">
      <selection activeCell="E14" sqref="E14"/>
    </sheetView>
  </sheetViews>
  <sheetFormatPr defaultRowHeight="15" x14ac:dyDescent="0.25"/>
  <cols>
    <col min="2" max="2" width="12.7109375" bestFit="1" customWidth="1"/>
    <col min="3" max="3" width="12.7109375" customWidth="1"/>
    <col min="4" max="4" width="11.5703125" style="11" bestFit="1" customWidth="1"/>
  </cols>
  <sheetData>
    <row r="1" spans="1:4" x14ac:dyDescent="0.25">
      <c r="A1" t="s">
        <v>68</v>
      </c>
      <c r="B1" t="s">
        <v>69</v>
      </c>
      <c r="C1" t="s">
        <v>98</v>
      </c>
      <c r="D1" s="11" t="s">
        <v>94</v>
      </c>
    </row>
    <row r="2" spans="1:4" x14ac:dyDescent="0.25">
      <c r="A2" t="s">
        <v>70</v>
      </c>
      <c r="B2" t="s">
        <v>73</v>
      </c>
      <c r="C2">
        <v>12</v>
      </c>
      <c r="D2" s="11">
        <v>0</v>
      </c>
    </row>
    <row r="3" spans="1:4" x14ac:dyDescent="0.25">
      <c r="A3" t="s">
        <v>72</v>
      </c>
      <c r="B3" t="s">
        <v>96</v>
      </c>
      <c r="C3">
        <v>16</v>
      </c>
      <c r="D3" s="11">
        <v>4</v>
      </c>
    </row>
    <row r="4" spans="1:4" x14ac:dyDescent="0.25">
      <c r="A4" t="s">
        <v>71</v>
      </c>
      <c r="B4" t="s">
        <v>97</v>
      </c>
      <c r="C4">
        <v>22</v>
      </c>
      <c r="D4" s="11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E57F-07B7-4C16-8249-6E35CCAF6630}">
  <dimension ref="A1:S10"/>
  <sheetViews>
    <sheetView topLeftCell="B1" workbookViewId="0">
      <selection activeCell="P40" sqref="P40"/>
    </sheetView>
  </sheetViews>
  <sheetFormatPr defaultRowHeight="15" x14ac:dyDescent="0.25"/>
  <cols>
    <col min="2" max="2" width="15" bestFit="1" customWidth="1"/>
    <col min="3" max="3" width="18.140625" style="3" bestFit="1" customWidth="1"/>
    <col min="4" max="4" width="25" style="3" bestFit="1" customWidth="1"/>
    <col min="5" max="5" width="19.85546875" style="3" bestFit="1" customWidth="1"/>
    <col min="6" max="6" width="26.5703125" style="3" bestFit="1" customWidth="1"/>
    <col min="7" max="7" width="13.5703125" style="3" bestFit="1" customWidth="1"/>
    <col min="8" max="8" width="20.42578125" style="3" bestFit="1" customWidth="1"/>
    <col min="9" max="9" width="13.5703125" style="3" bestFit="1" customWidth="1"/>
    <col min="10" max="10" width="22.28515625" style="3" bestFit="1" customWidth="1"/>
    <col min="11" max="11" width="13.5703125" style="3" bestFit="1" customWidth="1"/>
    <col min="12" max="12" width="22.28515625" style="3" bestFit="1" customWidth="1"/>
    <col min="13" max="13" width="13.5703125" style="3" bestFit="1" customWidth="1"/>
    <col min="14" max="14" width="22.28515625" style="3" bestFit="1" customWidth="1"/>
    <col min="15" max="15" width="13.5703125" style="3" bestFit="1" customWidth="1"/>
    <col min="16" max="16" width="22.28515625" style="3" bestFit="1" customWidth="1"/>
    <col min="17" max="17" width="25.28515625" bestFit="1" customWidth="1"/>
    <col min="18" max="18" width="25.5703125" bestFit="1" customWidth="1"/>
    <col min="19" max="19" width="22.5703125" bestFit="1" customWidth="1"/>
    <col min="20" max="20" width="22.28515625" bestFit="1" customWidth="1"/>
    <col min="21" max="21" width="13.5703125" bestFit="1" customWidth="1"/>
    <col min="22" max="22" width="22.28515625" bestFit="1" customWidth="1"/>
    <col min="23" max="23" width="13.5703125" bestFit="1" customWidth="1"/>
    <col min="24" max="24" width="22.28515625" bestFit="1" customWidth="1"/>
    <col min="25" max="25" width="14.5703125" bestFit="1" customWidth="1"/>
    <col min="26" max="26" width="23.28515625" bestFit="1" customWidth="1"/>
  </cols>
  <sheetData>
    <row r="1" spans="1:19" x14ac:dyDescent="0.25">
      <c r="A1" t="s">
        <v>0</v>
      </c>
      <c r="B1" t="s">
        <v>1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59</v>
      </c>
      <c r="P1" s="3" t="s">
        <v>74</v>
      </c>
      <c r="Q1" t="s">
        <v>82</v>
      </c>
      <c r="R1" t="s">
        <v>83</v>
      </c>
      <c r="S1" t="s">
        <v>81</v>
      </c>
    </row>
    <row r="2" spans="1:19" x14ac:dyDescent="0.25">
      <c r="A2" t="s">
        <v>6</v>
      </c>
      <c r="B2" t="s">
        <v>2</v>
      </c>
      <c r="C2" s="3" t="s">
        <v>65</v>
      </c>
      <c r="D2" s="3" t="s">
        <v>76</v>
      </c>
      <c r="E2" s="3" t="s">
        <v>76</v>
      </c>
      <c r="F2" s="3" t="s">
        <v>76</v>
      </c>
      <c r="G2" s="3" t="s">
        <v>76</v>
      </c>
      <c r="H2" s="3" t="s">
        <v>76</v>
      </c>
      <c r="I2" s="3" t="s">
        <v>76</v>
      </c>
      <c r="J2" s="3" t="s">
        <v>76</v>
      </c>
      <c r="K2" s="3" t="s">
        <v>76</v>
      </c>
      <c r="L2" s="3" t="s">
        <v>76</v>
      </c>
      <c r="M2" s="3" t="s">
        <v>76</v>
      </c>
      <c r="N2" s="3" t="s">
        <v>76</v>
      </c>
      <c r="O2" s="3" t="s">
        <v>76</v>
      </c>
      <c r="P2" s="3" t="s">
        <v>65</v>
      </c>
      <c r="Q2" s="3">
        <f>COUNTIF(Table1[[#This Row],[S1]:[C1]],"PO1")</f>
        <v>2</v>
      </c>
      <c r="R2" s="3">
        <f>COUNTIF(Table1[[#This Row],[S1]:[C1]],"PO1") + COUNTIF(Table1[[#This Row],[S1]:[C1]],"PO2") + COUNTIF(Table1[[#This Row],[S1]:[C1]],"PO3")</f>
        <v>2</v>
      </c>
      <c r="S2" s="3">
        <f>Table1[[#This Row],[DefaultIngredientCount]]-Table1[[#This Row],[CurrentIngredientCount]]</f>
        <v>0</v>
      </c>
    </row>
    <row r="3" spans="1:19" x14ac:dyDescent="0.25">
      <c r="A3" t="s">
        <v>7</v>
      </c>
      <c r="B3" t="s">
        <v>3</v>
      </c>
      <c r="C3" s="3" t="s">
        <v>65</v>
      </c>
      <c r="D3" s="3" t="s">
        <v>76</v>
      </c>
      <c r="E3" s="3" t="s">
        <v>76</v>
      </c>
      <c r="F3" s="3" t="s">
        <v>76</v>
      </c>
      <c r="G3" s="3" t="s">
        <v>76</v>
      </c>
      <c r="H3" s="3" t="s">
        <v>76</v>
      </c>
      <c r="I3" s="3" t="s">
        <v>76</v>
      </c>
      <c r="J3" s="3" t="s">
        <v>76</v>
      </c>
      <c r="K3" s="3" t="s">
        <v>76</v>
      </c>
      <c r="L3" s="3" t="s">
        <v>76</v>
      </c>
      <c r="M3" s="3" t="s">
        <v>76</v>
      </c>
      <c r="N3" s="3" t="s">
        <v>76</v>
      </c>
      <c r="O3" s="3" t="s">
        <v>76</v>
      </c>
      <c r="P3" s="3" t="s">
        <v>65</v>
      </c>
      <c r="Q3" s="3">
        <f>COUNTIF(Table1[[#This Row],[S1]:[C1]],"PO1")</f>
        <v>2</v>
      </c>
      <c r="R3" s="3">
        <f>COUNTIF(Table1[[#This Row],[S1]:[C1]],"PO1") + COUNTIF(Table1[[#This Row],[S1]:[C1]],"PO2") + COUNTIF(Table1[[#This Row],[S1]:[C1]],"PO3")</f>
        <v>2</v>
      </c>
      <c r="S3" s="3">
        <f>Table1[[#This Row],[DefaultIngredientCount]]-Table1[[#This Row],[CurrentIngredientCount]]</f>
        <v>0</v>
      </c>
    </row>
    <row r="4" spans="1:19" x14ac:dyDescent="0.25">
      <c r="A4" t="s">
        <v>8</v>
      </c>
      <c r="B4" t="s">
        <v>4</v>
      </c>
      <c r="C4" s="3" t="s">
        <v>65</v>
      </c>
      <c r="D4" s="3" t="s">
        <v>76</v>
      </c>
      <c r="E4" s="3" t="s">
        <v>76</v>
      </c>
      <c r="F4" s="3" t="s">
        <v>76</v>
      </c>
      <c r="G4" s="3" t="s">
        <v>76</v>
      </c>
      <c r="H4" s="3" t="s">
        <v>76</v>
      </c>
      <c r="I4" s="3" t="s">
        <v>76</v>
      </c>
      <c r="J4" s="3" t="s">
        <v>76</v>
      </c>
      <c r="K4" s="3" t="s">
        <v>76</v>
      </c>
      <c r="L4" s="3" t="s">
        <v>76</v>
      </c>
      <c r="M4" s="3" t="s">
        <v>76</v>
      </c>
      <c r="N4" s="3" t="s">
        <v>76</v>
      </c>
      <c r="O4" s="3" t="s">
        <v>76</v>
      </c>
      <c r="P4" s="3" t="s">
        <v>65</v>
      </c>
      <c r="Q4" s="3">
        <f>COUNTIF(Table1[[#This Row],[S1]:[C1]],"PO1")</f>
        <v>2</v>
      </c>
      <c r="R4" s="3">
        <f>COUNTIF(Table1[[#This Row],[S1]:[C1]],"PO1") + COUNTIF(Table1[[#This Row],[S1]:[C1]],"PO2") + COUNTIF(Table1[[#This Row],[S1]:[C1]],"PO3")</f>
        <v>2</v>
      </c>
      <c r="S4" s="3">
        <f>Table1[[#This Row],[DefaultIngredientCount]]-Table1[[#This Row],[CurrentIngredientCount]]</f>
        <v>0</v>
      </c>
    </row>
    <row r="5" spans="1:19" x14ac:dyDescent="0.25">
      <c r="A5" t="s">
        <v>9</v>
      </c>
      <c r="B5" t="s">
        <v>5</v>
      </c>
      <c r="C5" s="3" t="s">
        <v>65</v>
      </c>
      <c r="D5" s="3" t="s">
        <v>76</v>
      </c>
      <c r="E5" s="3" t="s">
        <v>76</v>
      </c>
      <c r="F5" s="3" t="s">
        <v>65</v>
      </c>
      <c r="G5" s="3" t="s">
        <v>65</v>
      </c>
      <c r="H5" s="3" t="s">
        <v>65</v>
      </c>
      <c r="I5" s="3" t="s">
        <v>76</v>
      </c>
      <c r="J5" s="3" t="s">
        <v>65</v>
      </c>
      <c r="K5" s="3" t="s">
        <v>76</v>
      </c>
      <c r="L5" s="3" t="s">
        <v>76</v>
      </c>
      <c r="M5" s="3" t="s">
        <v>76</v>
      </c>
      <c r="N5" s="3" t="s">
        <v>76</v>
      </c>
      <c r="O5" s="3" t="s">
        <v>76</v>
      </c>
      <c r="P5" s="3" t="s">
        <v>65</v>
      </c>
      <c r="Q5" s="3">
        <f>COUNTIF(Table1[[#This Row],[S1]:[C1]],"PO1")</f>
        <v>6</v>
      </c>
      <c r="R5" s="3">
        <f>COUNTIF(Table1[[#This Row],[S1]:[C1]],"PO1") + COUNTIF(Table1[[#This Row],[S1]:[C1]],"PO2") + COUNTIF(Table1[[#This Row],[S1]:[C1]],"PO3")</f>
        <v>6</v>
      </c>
      <c r="S5" s="3">
        <f>Table1[[#This Row],[DefaultIngredientCount]]-Table1[[#This Row],[CurrentIngredientCount]]</f>
        <v>0</v>
      </c>
    </row>
    <row r="6" spans="1:19" x14ac:dyDescent="0.25">
      <c r="A6" t="s">
        <v>10</v>
      </c>
      <c r="B6" t="s">
        <v>15</v>
      </c>
      <c r="C6" s="3" t="s">
        <v>65</v>
      </c>
      <c r="D6" s="3" t="s">
        <v>76</v>
      </c>
      <c r="E6" s="3" t="s">
        <v>76</v>
      </c>
      <c r="F6" s="3" t="s">
        <v>76</v>
      </c>
      <c r="G6" s="3" t="s">
        <v>76</v>
      </c>
      <c r="H6" s="3" t="s">
        <v>76</v>
      </c>
      <c r="I6" s="3" t="s">
        <v>76</v>
      </c>
      <c r="J6" s="3" t="s">
        <v>65</v>
      </c>
      <c r="K6" s="3" t="s">
        <v>65</v>
      </c>
      <c r="L6" s="3" t="s">
        <v>76</v>
      </c>
      <c r="M6" s="3" t="s">
        <v>76</v>
      </c>
      <c r="N6" s="3" t="s">
        <v>76</v>
      </c>
      <c r="O6" s="3" t="s">
        <v>76</v>
      </c>
      <c r="P6" s="3" t="s">
        <v>65</v>
      </c>
      <c r="Q6" s="3">
        <f>COUNTIF(Table1[[#This Row],[S1]:[C1]],"PO1")</f>
        <v>4</v>
      </c>
      <c r="R6" s="3">
        <f>COUNTIF(Table1[[#This Row],[S1]:[C1]],"PO1") + COUNTIF(Table1[[#This Row],[S1]:[C1]],"PO2") + COUNTIF(Table1[[#This Row],[S1]:[C1]],"PO3")</f>
        <v>4</v>
      </c>
      <c r="S6" s="3">
        <f>Table1[[#This Row],[DefaultIngredientCount]]-Table1[[#This Row],[CurrentIngredientCount]]</f>
        <v>0</v>
      </c>
    </row>
    <row r="7" spans="1:19" x14ac:dyDescent="0.25">
      <c r="A7" t="s">
        <v>11</v>
      </c>
      <c r="B7" t="s">
        <v>19</v>
      </c>
      <c r="C7" s="3" t="s">
        <v>76</v>
      </c>
      <c r="D7" s="3" t="s">
        <v>76</v>
      </c>
      <c r="E7" s="3" t="s">
        <v>65</v>
      </c>
      <c r="F7" s="3" t="s">
        <v>76</v>
      </c>
      <c r="G7" s="3" t="s">
        <v>76</v>
      </c>
      <c r="H7" s="3" t="s">
        <v>65</v>
      </c>
      <c r="I7" s="3" t="s">
        <v>65</v>
      </c>
      <c r="J7" s="3" t="s">
        <v>76</v>
      </c>
      <c r="K7" s="3" t="s">
        <v>76</v>
      </c>
      <c r="L7" s="3" t="s">
        <v>76</v>
      </c>
      <c r="M7" s="3" t="s">
        <v>76</v>
      </c>
      <c r="N7" s="3" t="s">
        <v>65</v>
      </c>
      <c r="O7" s="3" t="s">
        <v>76</v>
      </c>
      <c r="P7" s="3" t="s">
        <v>65</v>
      </c>
      <c r="Q7" s="3">
        <f>COUNTIF(Table1[[#This Row],[S1]:[C1]],"PO1")</f>
        <v>5</v>
      </c>
      <c r="R7" s="3">
        <f>COUNTIF(Table1[[#This Row],[S1]:[C1]],"PO1") + COUNTIF(Table1[[#This Row],[S1]:[C1]],"PO2") + COUNTIF(Table1[[#This Row],[S1]:[C1]],"PO3")</f>
        <v>5</v>
      </c>
      <c r="S7" s="3">
        <f>Table1[[#This Row],[DefaultIngredientCount]]-Table1[[#This Row],[CurrentIngredientCount]]</f>
        <v>0</v>
      </c>
    </row>
    <row r="8" spans="1:19" x14ac:dyDescent="0.25">
      <c r="A8" t="s">
        <v>12</v>
      </c>
      <c r="B8" t="s">
        <v>16</v>
      </c>
      <c r="C8" s="3" t="s">
        <v>76</v>
      </c>
      <c r="D8" s="3" t="s">
        <v>65</v>
      </c>
      <c r="E8" s="3" t="s">
        <v>76</v>
      </c>
      <c r="F8" s="3" t="s">
        <v>76</v>
      </c>
      <c r="G8" s="3" t="s">
        <v>76</v>
      </c>
      <c r="H8" s="3" t="s">
        <v>65</v>
      </c>
      <c r="I8" s="3" t="s">
        <v>65</v>
      </c>
      <c r="J8" s="3" t="s">
        <v>76</v>
      </c>
      <c r="K8" s="3" t="s">
        <v>76</v>
      </c>
      <c r="L8" s="3" t="s">
        <v>76</v>
      </c>
      <c r="M8" s="3" t="s">
        <v>76</v>
      </c>
      <c r="N8" s="3" t="s">
        <v>76</v>
      </c>
      <c r="O8" s="3" t="s">
        <v>76</v>
      </c>
      <c r="P8" s="3" t="s">
        <v>65</v>
      </c>
      <c r="Q8" s="3">
        <f>COUNTIF(Table1[[#This Row],[S1]:[C1]],"PO1")</f>
        <v>4</v>
      </c>
      <c r="R8" s="3">
        <f>COUNTIF(Table1[[#This Row],[S1]:[C1]],"PO1") + COUNTIF(Table1[[#This Row],[S1]:[C1]],"PO2") + COUNTIF(Table1[[#This Row],[S1]:[C1]],"PO3")</f>
        <v>4</v>
      </c>
      <c r="S8" s="3">
        <f>Table1[[#This Row],[DefaultIngredientCount]]-Table1[[#This Row],[CurrentIngredientCount]]</f>
        <v>0</v>
      </c>
    </row>
    <row r="9" spans="1:19" x14ac:dyDescent="0.25">
      <c r="A9" t="s">
        <v>13</v>
      </c>
      <c r="B9" t="s">
        <v>17</v>
      </c>
      <c r="C9" s="3" t="s">
        <v>65</v>
      </c>
      <c r="D9" s="3" t="s">
        <v>76</v>
      </c>
      <c r="E9" s="3" t="s">
        <v>76</v>
      </c>
      <c r="F9" s="3" t="s">
        <v>76</v>
      </c>
      <c r="G9" s="3" t="s">
        <v>76</v>
      </c>
      <c r="H9" s="3" t="s">
        <v>76</v>
      </c>
      <c r="I9" s="3" t="s">
        <v>76</v>
      </c>
      <c r="J9" s="3" t="s">
        <v>76</v>
      </c>
      <c r="K9" s="3" t="s">
        <v>76</v>
      </c>
      <c r="L9" s="3" t="s">
        <v>76</v>
      </c>
      <c r="M9" s="3" t="s">
        <v>76</v>
      </c>
      <c r="N9" s="3" t="s">
        <v>76</v>
      </c>
      <c r="O9" s="3" t="s">
        <v>76</v>
      </c>
      <c r="P9" s="3" t="s">
        <v>65</v>
      </c>
      <c r="Q9" s="3">
        <f>COUNTIF(Table1[[#This Row],[S1]:[C1]],"PO1")</f>
        <v>2</v>
      </c>
      <c r="R9" s="3">
        <f>COUNTIF(Table1[[#This Row],[S1]:[C1]],"PO1") + COUNTIF(Table1[[#This Row],[S1]:[C1]],"PO2") + COUNTIF(Table1[[#This Row],[S1]:[C1]],"PO3")</f>
        <v>2</v>
      </c>
      <c r="S9" s="3">
        <f>Table1[[#This Row],[DefaultIngredientCount]]-Table1[[#This Row],[CurrentIngredientCount]]</f>
        <v>0</v>
      </c>
    </row>
    <row r="10" spans="1:19" x14ac:dyDescent="0.25">
      <c r="A10" t="s">
        <v>14</v>
      </c>
      <c r="B10" t="s">
        <v>18</v>
      </c>
      <c r="C10" s="3" t="s">
        <v>65</v>
      </c>
      <c r="D10" s="3" t="s">
        <v>76</v>
      </c>
      <c r="E10" s="3" t="s">
        <v>76</v>
      </c>
      <c r="F10" s="3" t="s">
        <v>65</v>
      </c>
      <c r="G10" s="3" t="s">
        <v>65</v>
      </c>
      <c r="H10" s="3" t="s">
        <v>76</v>
      </c>
      <c r="I10" s="3" t="s">
        <v>76</v>
      </c>
      <c r="J10" s="3" t="s">
        <v>76</v>
      </c>
      <c r="K10" s="3" t="s">
        <v>76</v>
      </c>
      <c r="L10" s="3" t="s">
        <v>76</v>
      </c>
      <c r="M10" s="3" t="s">
        <v>65</v>
      </c>
      <c r="N10" s="3" t="s">
        <v>76</v>
      </c>
      <c r="O10" s="3" t="s">
        <v>76</v>
      </c>
      <c r="P10" s="3" t="s">
        <v>65</v>
      </c>
      <c r="Q10" s="3">
        <f>COUNTIF(Table1[[#This Row],[S1]:[C1]],"PO1")</f>
        <v>5</v>
      </c>
      <c r="R10" s="3">
        <f>COUNTIF(Table1[[#This Row],[S1]:[C1]],"PO1") + COUNTIF(Table1[[#This Row],[S1]:[C1]],"PO2") + COUNTIF(Table1[[#This Row],[S1]:[C1]],"PO3")</f>
        <v>5</v>
      </c>
      <c r="S10" s="3">
        <f>Table1[[#This Row],[DefaultIngredientCount]]-Table1[[#This Row],[CurrentIngredientCount]]</f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67E2-D1F5-47CE-87C1-B999EF134463}">
  <dimension ref="A1:I10"/>
  <sheetViews>
    <sheetView workbookViewId="0">
      <selection activeCell="D55" sqref="D55"/>
    </sheetView>
  </sheetViews>
  <sheetFormatPr defaultRowHeight="15" x14ac:dyDescent="0.25"/>
  <cols>
    <col min="1" max="1" width="9.42578125" bestFit="1" customWidth="1"/>
    <col min="2" max="2" width="15" bestFit="1" customWidth="1"/>
    <col min="3" max="3" width="9.140625" style="11"/>
    <col min="4" max="4" width="61.140625" style="11" bestFit="1" customWidth="1"/>
    <col min="5" max="5" width="61.140625" style="16" customWidth="1"/>
    <col min="6" max="6" width="54.28515625" customWidth="1"/>
    <col min="7" max="7" width="54.28515625" style="11" bestFit="1" customWidth="1"/>
    <col min="8" max="8" width="22" bestFit="1" customWidth="1"/>
    <col min="9" max="9" width="19.85546875" style="11" bestFit="1" customWidth="1"/>
  </cols>
  <sheetData>
    <row r="1" spans="1:9" x14ac:dyDescent="0.25">
      <c r="A1" s="4" t="s">
        <v>0</v>
      </c>
      <c r="B1" s="4" t="s">
        <v>1</v>
      </c>
      <c r="C1" s="7" t="s">
        <v>78</v>
      </c>
      <c r="D1" t="s">
        <v>83</v>
      </c>
      <c r="E1" s="14" t="s">
        <v>82</v>
      </c>
      <c r="F1" s="4" t="s">
        <v>81</v>
      </c>
      <c r="G1" s="7" t="s">
        <v>79</v>
      </c>
      <c r="H1" s="7" t="s">
        <v>80</v>
      </c>
      <c r="I1"/>
    </row>
    <row r="2" spans="1:9" x14ac:dyDescent="0.25">
      <c r="A2" s="5" t="s">
        <v>6</v>
      </c>
      <c r="B2" s="5" t="s">
        <v>2</v>
      </c>
      <c r="C2" s="8">
        <v>8.99</v>
      </c>
      <c r="D2" s="3">
        <f>COUNTIF(Table1[[#This Row],[S1]:[C1]],"PO1") + COUNTIF(Table1[[#This Row],[S1]:[C1]],"PO2") + COUNTIF(Table1[[#This Row],[S1]:[C1]],"PO3")</f>
        <v>2</v>
      </c>
      <c r="E2" s="15">
        <f>Table1[[#This Row],[DefaultIngredientCount]]</f>
        <v>2</v>
      </c>
      <c r="F2" s="15">
        <f>Table1[[#This Row],[IngredientDifference]]</f>
        <v>0</v>
      </c>
      <c r="G2" s="13" t="str">
        <f>IF(Table10[[#This Row],[IngredientDifference]]&gt;0,"Y", "N")</f>
        <v>N</v>
      </c>
      <c r="H2" s="13">
        <f>IF(Table10[[#This Row],[IngredientDifference]]&gt;0,Table10[[#This Row],[IngredientDifference]]*1.99, 0)</f>
        <v>0</v>
      </c>
      <c r="I2"/>
    </row>
    <row r="3" spans="1:9" x14ac:dyDescent="0.25">
      <c r="A3" s="5" t="s">
        <v>7</v>
      </c>
      <c r="B3" s="5" t="s">
        <v>3</v>
      </c>
      <c r="C3" s="9">
        <v>9.99</v>
      </c>
      <c r="D3" s="3">
        <f>COUNTIF(Table1[[#This Row],[S1]:[C1]],"PO1") + COUNTIF(Table1[[#This Row],[S1]:[C1]],"PO2") + COUNTIF(Table1[[#This Row],[S1]:[C1]],"PO3")</f>
        <v>2</v>
      </c>
      <c r="E3" s="15">
        <f>Table1[[#This Row],[DefaultIngredientCount]]</f>
        <v>2</v>
      </c>
      <c r="F3" s="15">
        <f>Table1[[#This Row],[IngredientDifference]]</f>
        <v>0</v>
      </c>
      <c r="G3" s="13" t="str">
        <f>IF(Table10[[#This Row],[IngredientDifference]]&gt;0,"Y", "N")</f>
        <v>N</v>
      </c>
      <c r="H3" s="13">
        <f>IF(Table10[[#This Row],[IngredientDifference]]&gt;0,Table10[[#This Row],[IngredientDifference]]*1.99, 0)</f>
        <v>0</v>
      </c>
      <c r="I3"/>
    </row>
    <row r="4" spans="1:9" x14ac:dyDescent="0.25">
      <c r="A4" s="5" t="s">
        <v>8</v>
      </c>
      <c r="B4" s="5" t="s">
        <v>4</v>
      </c>
      <c r="C4" s="9">
        <v>10.99</v>
      </c>
      <c r="D4" s="3">
        <f>COUNTIF(Table1[[#This Row],[S1]:[C1]],"PO1") + COUNTIF(Table1[[#This Row],[S1]:[C1]],"PO2") + COUNTIF(Table1[[#This Row],[S1]:[C1]],"PO3")</f>
        <v>2</v>
      </c>
      <c r="E4" s="15">
        <f>Table1[[#This Row],[DefaultIngredientCount]]</f>
        <v>2</v>
      </c>
      <c r="F4" s="15">
        <f>Table1[[#This Row],[IngredientDifference]]</f>
        <v>0</v>
      </c>
      <c r="G4" s="13" t="str">
        <f>IF(Table10[[#This Row],[IngredientDifference]]&gt;0,"Y", "N")</f>
        <v>N</v>
      </c>
      <c r="H4" s="13">
        <f>IF(Table10[[#This Row],[IngredientDifference]]&gt;0,Table10[[#This Row],[IngredientDifference]]*1.99, 0)</f>
        <v>0</v>
      </c>
      <c r="I4"/>
    </row>
    <row r="5" spans="1:9" x14ac:dyDescent="0.25">
      <c r="A5" s="5" t="s">
        <v>9</v>
      </c>
      <c r="B5" s="5" t="s">
        <v>5</v>
      </c>
      <c r="C5" s="9">
        <v>14.99</v>
      </c>
      <c r="D5" s="3">
        <f>COUNTIF(Table1[[#This Row],[S1]:[C1]],"PO1") + COUNTIF(Table1[[#This Row],[S1]:[C1]],"PO2") + COUNTIF(Table1[[#This Row],[S1]:[C1]],"PO3")</f>
        <v>6</v>
      </c>
      <c r="E5" s="15">
        <f>Table1[[#This Row],[DefaultIngredientCount]]</f>
        <v>6</v>
      </c>
      <c r="F5" s="15">
        <f>Table1[[#This Row],[IngredientDifference]]</f>
        <v>0</v>
      </c>
      <c r="G5" s="13" t="str">
        <f>IF(Table10[[#This Row],[IngredientDifference]]&gt;0,"Y", "N")</f>
        <v>N</v>
      </c>
      <c r="H5" s="13">
        <f>IF(Table10[[#This Row],[IngredientDifference]]&gt;0,Table10[[#This Row],[IngredientDifference]]*1.99, 0)</f>
        <v>0</v>
      </c>
      <c r="I5"/>
    </row>
    <row r="6" spans="1:9" x14ac:dyDescent="0.25">
      <c r="A6" s="5" t="s">
        <v>10</v>
      </c>
      <c r="B6" s="5" t="s">
        <v>15</v>
      </c>
      <c r="C6" s="9">
        <v>12.99</v>
      </c>
      <c r="D6" s="3">
        <f>COUNTIF(Table1[[#This Row],[S1]:[C1]],"PO1") + COUNTIF(Table1[[#This Row],[S1]:[C1]],"PO2") + COUNTIF(Table1[[#This Row],[S1]:[C1]],"PO3")</f>
        <v>4</v>
      </c>
      <c r="E6" s="15">
        <f>Table1[[#This Row],[DefaultIngredientCount]]</f>
        <v>4</v>
      </c>
      <c r="F6" s="15">
        <f>Table1[[#This Row],[IngredientDifference]]</f>
        <v>0</v>
      </c>
      <c r="G6" s="13" t="str">
        <f>IF(Table10[[#This Row],[IngredientDifference]]&gt;0,"Y", "N")</f>
        <v>N</v>
      </c>
      <c r="H6" s="13">
        <f>IF(Table10[[#This Row],[IngredientDifference]]&gt;0,Table10[[#This Row],[IngredientDifference]]*1.99, 0)</f>
        <v>0</v>
      </c>
      <c r="I6"/>
    </row>
    <row r="7" spans="1:9" x14ac:dyDescent="0.25">
      <c r="A7" s="5" t="s">
        <v>11</v>
      </c>
      <c r="B7" s="5" t="s">
        <v>19</v>
      </c>
      <c r="C7" s="9">
        <v>13.99</v>
      </c>
      <c r="D7" s="3">
        <f>COUNTIF(Table1[[#This Row],[S1]:[C1]],"PO1") + COUNTIF(Table1[[#This Row],[S1]:[C1]],"PO2") + COUNTIF(Table1[[#This Row],[S1]:[C1]],"PO3")</f>
        <v>5</v>
      </c>
      <c r="E7" s="15">
        <f>Table1[[#This Row],[DefaultIngredientCount]]</f>
        <v>5</v>
      </c>
      <c r="F7" s="15">
        <f>Table1[[#This Row],[IngredientDifference]]</f>
        <v>0</v>
      </c>
      <c r="G7" s="13" t="str">
        <f>IF(Table10[[#This Row],[IngredientDifference]]&gt;0,"Y", "N")</f>
        <v>N</v>
      </c>
      <c r="H7" s="13">
        <f>IF(Table10[[#This Row],[IngredientDifference]]&gt;0,Table10[[#This Row],[IngredientDifference]]*1.99, 0)</f>
        <v>0</v>
      </c>
      <c r="I7"/>
    </row>
    <row r="8" spans="1:9" x14ac:dyDescent="0.25">
      <c r="A8" s="5" t="s">
        <v>12</v>
      </c>
      <c r="B8" s="5" t="s">
        <v>16</v>
      </c>
      <c r="C8" s="9">
        <v>13.99</v>
      </c>
      <c r="D8" s="3">
        <f>COUNTIF(Table1[[#This Row],[S1]:[C1]],"PO1") + COUNTIF(Table1[[#This Row],[S1]:[C1]],"PO2") + COUNTIF(Table1[[#This Row],[S1]:[C1]],"PO3")</f>
        <v>4</v>
      </c>
      <c r="E8" s="15">
        <f>Table1[[#This Row],[DefaultIngredientCount]]</f>
        <v>4</v>
      </c>
      <c r="F8" s="15">
        <f>Table1[[#This Row],[IngredientDifference]]</f>
        <v>0</v>
      </c>
      <c r="G8" s="13" t="str">
        <f>IF(Table10[[#This Row],[IngredientDifference]]&gt;0,"Y", "N")</f>
        <v>N</v>
      </c>
      <c r="H8" s="13">
        <f>IF(Table10[[#This Row],[IngredientDifference]]&gt;0,Table10[[#This Row],[IngredientDifference]]*1.99, 0)</f>
        <v>0</v>
      </c>
      <c r="I8"/>
    </row>
    <row r="9" spans="1:9" x14ac:dyDescent="0.25">
      <c r="A9" s="5" t="s">
        <v>13</v>
      </c>
      <c r="B9" s="5" t="s">
        <v>17</v>
      </c>
      <c r="C9" s="9">
        <v>11.99</v>
      </c>
      <c r="D9" s="3">
        <f>COUNTIF(Table1[[#This Row],[S1]:[C1]],"PO1") + COUNTIF(Table1[[#This Row],[S1]:[C1]],"PO2") + COUNTIF(Table1[[#This Row],[S1]:[C1]],"PO3")</f>
        <v>2</v>
      </c>
      <c r="E9" s="15">
        <f>Table1[[#This Row],[DefaultIngredientCount]]</f>
        <v>2</v>
      </c>
      <c r="F9" s="15">
        <f>Table1[[#This Row],[IngredientDifference]]</f>
        <v>0</v>
      </c>
      <c r="G9" s="13" t="str">
        <f>IF(Table10[[#This Row],[IngredientDifference]]&gt;0,"Y", "N")</f>
        <v>N</v>
      </c>
      <c r="H9" s="13">
        <f>IF(Table10[[#This Row],[IngredientDifference]]&gt;0,Table10[[#This Row],[IngredientDifference]]*1.99, 0)</f>
        <v>0</v>
      </c>
      <c r="I9"/>
    </row>
    <row r="10" spans="1:9" x14ac:dyDescent="0.25">
      <c r="A10" s="6" t="s">
        <v>14</v>
      </c>
      <c r="B10" s="6" t="s">
        <v>18</v>
      </c>
      <c r="C10" s="10">
        <v>14.99</v>
      </c>
      <c r="D10" s="3">
        <f>COUNTIF(Table1[[#This Row],[S1]:[C1]],"PO1") + COUNTIF(Table1[[#This Row],[S1]:[C1]],"PO2") + COUNTIF(Table1[[#This Row],[S1]:[C1]],"PO3")</f>
        <v>5</v>
      </c>
      <c r="E10" s="15">
        <f>Table1[[#This Row],[DefaultIngredientCount]]</f>
        <v>5</v>
      </c>
      <c r="F10" s="15">
        <f>Table1[[#This Row],[IngredientDifference]]</f>
        <v>0</v>
      </c>
      <c r="G10" s="13" t="str">
        <f>IF(Table10[[#This Row],[IngredientDifference]]&gt;0,"Y", "N")</f>
        <v>N</v>
      </c>
      <c r="H10" s="13">
        <f>IF(Table10[[#This Row],[IngredientDifference]]&gt;0,Table10[[#This Row],[IngredientDifference]]*1.99, 0)</f>
        <v>0</v>
      </c>
      <c r="I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732A-A123-40B2-ACE7-880A954D0183}">
  <dimension ref="A1:L10"/>
  <sheetViews>
    <sheetView zoomScale="90" zoomScaleNormal="90" workbookViewId="0">
      <selection activeCell="G13" sqref="G13"/>
    </sheetView>
  </sheetViews>
  <sheetFormatPr defaultRowHeight="15" x14ac:dyDescent="0.25"/>
  <cols>
    <col min="1" max="1" width="14.7109375" bestFit="1" customWidth="1"/>
    <col min="2" max="2" width="14.7109375" customWidth="1"/>
    <col min="3" max="3" width="9.42578125" customWidth="1"/>
    <col min="4" max="4" width="15" bestFit="1" customWidth="1"/>
    <col min="5" max="5" width="9.140625" style="11"/>
    <col min="6" max="6" width="12.85546875" style="11" bestFit="1" customWidth="1"/>
    <col min="7" max="7" width="12.85546875" style="11" customWidth="1"/>
    <col min="8" max="8" width="61.140625" style="16" customWidth="1"/>
    <col min="9" max="9" width="54.28515625" customWidth="1"/>
    <col min="10" max="10" width="54.28515625" style="11" bestFit="1" customWidth="1"/>
    <col min="11" max="11" width="22" bestFit="1" customWidth="1"/>
    <col min="12" max="12" width="19.85546875" style="11" bestFit="1" customWidth="1"/>
  </cols>
  <sheetData>
    <row r="1" spans="1:12" x14ac:dyDescent="0.25">
      <c r="A1" t="s">
        <v>88</v>
      </c>
      <c r="B1" t="s">
        <v>87</v>
      </c>
      <c r="C1" s="4" t="s">
        <v>85</v>
      </c>
      <c r="D1" s="4" t="s">
        <v>1</v>
      </c>
      <c r="E1" s="7" t="s">
        <v>78</v>
      </c>
      <c r="F1" s="7" t="s">
        <v>95</v>
      </c>
      <c r="G1" s="7" t="s">
        <v>94</v>
      </c>
      <c r="H1" s="14" t="s">
        <v>82</v>
      </c>
      <c r="I1" s="4" t="s">
        <v>81</v>
      </c>
      <c r="J1" s="7" t="s">
        <v>79</v>
      </c>
      <c r="K1" s="7" t="s">
        <v>80</v>
      </c>
      <c r="L1" s="17" t="s">
        <v>99</v>
      </c>
    </row>
    <row r="2" spans="1:12" x14ac:dyDescent="0.25">
      <c r="A2" s="5">
        <v>10874</v>
      </c>
      <c r="B2" s="5">
        <v>1</v>
      </c>
      <c r="C2" s="5" t="s">
        <v>6</v>
      </c>
      <c r="D2" s="5" t="s">
        <v>2</v>
      </c>
      <c r="E2" s="8">
        <v>8.99</v>
      </c>
      <c r="F2" s="12" t="s">
        <v>73</v>
      </c>
      <c r="G2" s="12">
        <f>_xlfn.XLOOKUP(Table1012[[#This Row],[Size]],'Pizza Size Schema'!$B:$B,'Pizza Size Schema'!$D:$D,"",0,1)</f>
        <v>0</v>
      </c>
      <c r="H2" s="15">
        <f>Table1[[#This Row],[DefaultIngredientCount]]</f>
        <v>2</v>
      </c>
      <c r="I2" s="15">
        <f>Table1[[#This Row],[IngredientDifference]]</f>
        <v>0</v>
      </c>
      <c r="J2" s="13" t="str">
        <f>IF(Table1012[[#This Row],[IngredientDifference]]&gt;0,"Y", "N")</f>
        <v>N</v>
      </c>
      <c r="K2" s="13">
        <f>IF(Table1012[[#This Row],[IngredientDifference]]&gt;0,Table1012[[#This Row],[IngredientDifference]]*1.99, 0)</f>
        <v>0</v>
      </c>
      <c r="L2" s="18">
        <f>Table1012[[#This Row],[Price]]+Table1012[[#This Row],[AdditionalPrice]]+Table1012[[#This Row],[SizePrice]]</f>
        <v>8.99</v>
      </c>
    </row>
    <row r="3" spans="1:12" x14ac:dyDescent="0.25">
      <c r="A3" s="5">
        <v>10874</v>
      </c>
      <c r="B3" s="5">
        <v>2</v>
      </c>
      <c r="C3" s="5" t="s">
        <v>7</v>
      </c>
      <c r="D3" s="5" t="s">
        <v>3</v>
      </c>
      <c r="E3" s="9">
        <v>9.99</v>
      </c>
      <c r="F3" s="12" t="s">
        <v>96</v>
      </c>
      <c r="G3" s="12">
        <f>_xlfn.XLOOKUP(Table1012[[#This Row],[Size]],'Pizza Size Schema'!$B:$B,'Pizza Size Schema'!$D:$D,"",0,1)</f>
        <v>4</v>
      </c>
      <c r="H3" s="15">
        <f>Table1[[#This Row],[DefaultIngredientCount]]</f>
        <v>2</v>
      </c>
      <c r="I3" s="15">
        <f>Table1[[#This Row],[IngredientDifference]]</f>
        <v>0</v>
      </c>
      <c r="J3" s="13" t="str">
        <f>IF(Table1012[[#This Row],[IngredientDifference]]&gt;0,"Y", "N")</f>
        <v>N</v>
      </c>
      <c r="K3" s="13">
        <f>IF(Table1012[[#This Row],[IngredientDifference]]&gt;0,Table1012[[#This Row],[IngredientDifference]]*1.99, 0)</f>
        <v>0</v>
      </c>
      <c r="L3" s="18">
        <f>Table1012[[#This Row],[Price]]+Table1012[[#This Row],[AdditionalPrice]]+Table1012[[#This Row],[SizePrice]]</f>
        <v>13.99</v>
      </c>
    </row>
    <row r="4" spans="1:12" x14ac:dyDescent="0.25">
      <c r="A4" s="5">
        <v>10874</v>
      </c>
      <c r="B4" s="5">
        <v>3</v>
      </c>
      <c r="C4" s="5" t="s">
        <v>8</v>
      </c>
      <c r="D4" s="5" t="s">
        <v>4</v>
      </c>
      <c r="E4" s="9">
        <v>10.99</v>
      </c>
      <c r="F4" s="12" t="s">
        <v>97</v>
      </c>
      <c r="G4" s="12">
        <f>_xlfn.XLOOKUP(Table1012[[#This Row],[Size]],'Pizza Size Schema'!$B:$B,'Pizza Size Schema'!$D:$D,"",0,1)</f>
        <v>10</v>
      </c>
      <c r="H4" s="15">
        <f>Table1[[#This Row],[DefaultIngredientCount]]</f>
        <v>2</v>
      </c>
      <c r="I4" s="15">
        <f>Table1[[#This Row],[IngredientDifference]]</f>
        <v>0</v>
      </c>
      <c r="J4" s="13" t="str">
        <f>IF(Table1012[[#This Row],[IngredientDifference]]&gt;0,"Y", "N")</f>
        <v>N</v>
      </c>
      <c r="K4" s="13">
        <f>IF(Table1012[[#This Row],[IngredientDifference]]&gt;0,Table1012[[#This Row],[IngredientDifference]]*1.99, 0)</f>
        <v>0</v>
      </c>
      <c r="L4" s="18">
        <f>Table1012[[#This Row],[Price]]+Table1012[[#This Row],[AdditionalPrice]]+Table1012[[#This Row],[SizePrice]]</f>
        <v>20.990000000000002</v>
      </c>
    </row>
    <row r="5" spans="1:12" x14ac:dyDescent="0.25">
      <c r="A5" s="5">
        <v>10874</v>
      </c>
      <c r="B5" s="5">
        <v>4</v>
      </c>
      <c r="C5" s="5" t="s">
        <v>9</v>
      </c>
      <c r="D5" s="5" t="s">
        <v>5</v>
      </c>
      <c r="E5" s="9">
        <v>14.99</v>
      </c>
      <c r="F5" s="12" t="s">
        <v>96</v>
      </c>
      <c r="G5" s="12">
        <f>_xlfn.XLOOKUP(Table1012[[#This Row],[Size]],'Pizza Size Schema'!$B:$B,'Pizza Size Schema'!$D:$D,"",0,1)</f>
        <v>4</v>
      </c>
      <c r="H5" s="15">
        <f>Table1[[#This Row],[DefaultIngredientCount]]</f>
        <v>6</v>
      </c>
      <c r="I5" s="15">
        <f>Table1[[#This Row],[IngredientDifference]]</f>
        <v>0</v>
      </c>
      <c r="J5" s="13" t="str">
        <f>IF(Table1012[[#This Row],[IngredientDifference]]&gt;0,"Y", "N")</f>
        <v>N</v>
      </c>
      <c r="K5" s="13">
        <f>IF(Table1012[[#This Row],[IngredientDifference]]&gt;0,Table1012[[#This Row],[IngredientDifference]]*1.99, 0)</f>
        <v>0</v>
      </c>
      <c r="L5" s="18">
        <f>Table1012[[#This Row],[Price]]+Table1012[[#This Row],[AdditionalPrice]]+Table1012[[#This Row],[SizePrice]]</f>
        <v>18.990000000000002</v>
      </c>
    </row>
    <row r="6" spans="1:12" x14ac:dyDescent="0.25">
      <c r="A6" s="5">
        <v>10874</v>
      </c>
      <c r="B6" s="5">
        <v>5</v>
      </c>
      <c r="C6" s="5" t="s">
        <v>10</v>
      </c>
      <c r="D6" s="5" t="s">
        <v>15</v>
      </c>
      <c r="E6" s="9">
        <v>12.99</v>
      </c>
      <c r="F6" s="12" t="s">
        <v>96</v>
      </c>
      <c r="G6" s="12">
        <f>_xlfn.XLOOKUP(Table1012[[#This Row],[Size]],'Pizza Size Schema'!$B:$B,'Pizza Size Schema'!$D:$D,"",0,1)</f>
        <v>4</v>
      </c>
      <c r="H6" s="15">
        <f>Table1[[#This Row],[DefaultIngredientCount]]</f>
        <v>4</v>
      </c>
      <c r="I6" s="15">
        <f>Table1[[#This Row],[IngredientDifference]]</f>
        <v>0</v>
      </c>
      <c r="J6" s="13" t="str">
        <f>IF(Table1012[[#This Row],[IngredientDifference]]&gt;0,"Y", "N")</f>
        <v>N</v>
      </c>
      <c r="K6" s="13">
        <f>IF(Table1012[[#This Row],[IngredientDifference]]&gt;0,Table1012[[#This Row],[IngredientDifference]]*1.99, 0)</f>
        <v>0</v>
      </c>
      <c r="L6" s="18">
        <f>Table1012[[#This Row],[Price]]+Table1012[[#This Row],[AdditionalPrice]]+Table1012[[#This Row],[SizePrice]]</f>
        <v>16.990000000000002</v>
      </c>
    </row>
    <row r="7" spans="1:12" x14ac:dyDescent="0.25">
      <c r="A7" s="5">
        <v>10874</v>
      </c>
      <c r="B7" s="5">
        <v>6</v>
      </c>
      <c r="C7" s="5" t="s">
        <v>11</v>
      </c>
      <c r="D7" s="5" t="s">
        <v>19</v>
      </c>
      <c r="E7" s="9">
        <v>13.99</v>
      </c>
      <c r="F7" s="12" t="s">
        <v>96</v>
      </c>
      <c r="G7" s="12">
        <f>_xlfn.XLOOKUP(Table1012[[#This Row],[Size]],'Pizza Size Schema'!$B:$B,'Pizza Size Schema'!$D:$D,"",0,1)</f>
        <v>4</v>
      </c>
      <c r="H7" s="15">
        <f>Table1[[#This Row],[DefaultIngredientCount]]</f>
        <v>5</v>
      </c>
      <c r="I7" s="15">
        <f>Table1[[#This Row],[IngredientDifference]]</f>
        <v>0</v>
      </c>
      <c r="J7" s="13" t="str">
        <f>IF(Table1012[[#This Row],[IngredientDifference]]&gt;0,"Y", "N")</f>
        <v>N</v>
      </c>
      <c r="K7" s="13">
        <f>IF(Table1012[[#This Row],[IngredientDifference]]&gt;0,Table1012[[#This Row],[IngredientDifference]]*1.99, 0)</f>
        <v>0</v>
      </c>
      <c r="L7" s="18">
        <f>Table1012[[#This Row],[Price]]+Table1012[[#This Row],[AdditionalPrice]]+Table1012[[#This Row],[SizePrice]]</f>
        <v>17.990000000000002</v>
      </c>
    </row>
    <row r="8" spans="1:12" x14ac:dyDescent="0.25">
      <c r="A8" s="5">
        <v>10874</v>
      </c>
      <c r="B8" s="5">
        <v>7</v>
      </c>
      <c r="C8" s="5" t="s">
        <v>12</v>
      </c>
      <c r="D8" s="5" t="s">
        <v>16</v>
      </c>
      <c r="E8" s="9">
        <v>13.99</v>
      </c>
      <c r="F8" s="12" t="s">
        <v>73</v>
      </c>
      <c r="G8" s="12">
        <f>_xlfn.XLOOKUP(Table1012[[#This Row],[Size]],'Pizza Size Schema'!$B:$B,'Pizza Size Schema'!$D:$D,"",0,1)</f>
        <v>0</v>
      </c>
      <c r="H8" s="15">
        <f>Table1[[#This Row],[DefaultIngredientCount]]</f>
        <v>4</v>
      </c>
      <c r="I8" s="15">
        <f>Table1[[#This Row],[IngredientDifference]]</f>
        <v>0</v>
      </c>
      <c r="J8" s="13" t="str">
        <f>IF(Table1012[[#This Row],[IngredientDifference]]&gt;0,"Y", "N")</f>
        <v>N</v>
      </c>
      <c r="K8" s="13">
        <f>IF(Table1012[[#This Row],[IngredientDifference]]&gt;0,Table1012[[#This Row],[IngredientDifference]]*1.99, 0)</f>
        <v>0</v>
      </c>
      <c r="L8" s="18">
        <f>Table1012[[#This Row],[Price]]+Table1012[[#This Row],[AdditionalPrice]]+Table1012[[#This Row],[SizePrice]]</f>
        <v>13.99</v>
      </c>
    </row>
    <row r="9" spans="1:12" x14ac:dyDescent="0.25">
      <c r="A9" s="5">
        <v>10874</v>
      </c>
      <c r="B9" s="5">
        <v>8</v>
      </c>
      <c r="C9" s="5" t="s">
        <v>13</v>
      </c>
      <c r="D9" s="5" t="s">
        <v>17</v>
      </c>
      <c r="E9" s="9">
        <v>11.99</v>
      </c>
      <c r="F9" s="12" t="s">
        <v>73</v>
      </c>
      <c r="G9" s="12">
        <f>_xlfn.XLOOKUP(Table1012[[#This Row],[Size]],'Pizza Size Schema'!$B:$B,'Pizza Size Schema'!$D:$D,"",0,1)</f>
        <v>0</v>
      </c>
      <c r="H9" s="15">
        <f>Table1[[#This Row],[DefaultIngredientCount]]</f>
        <v>2</v>
      </c>
      <c r="I9" s="15">
        <f>Table1[[#This Row],[IngredientDifference]]</f>
        <v>0</v>
      </c>
      <c r="J9" s="13" t="str">
        <f>IF(Table1012[[#This Row],[IngredientDifference]]&gt;0,"Y", "N")</f>
        <v>N</v>
      </c>
      <c r="K9" s="13">
        <f>IF(Table1012[[#This Row],[IngredientDifference]]&gt;0,Table1012[[#This Row],[IngredientDifference]]*1.99, 0)</f>
        <v>0</v>
      </c>
      <c r="L9" s="18">
        <f>Table1012[[#This Row],[Price]]+Table1012[[#This Row],[AdditionalPrice]]+Table1012[[#This Row],[SizePrice]]</f>
        <v>11.99</v>
      </c>
    </row>
    <row r="10" spans="1:12" x14ac:dyDescent="0.25">
      <c r="A10" s="5">
        <v>10874</v>
      </c>
      <c r="B10" s="5">
        <v>9</v>
      </c>
      <c r="C10" s="6" t="s">
        <v>14</v>
      </c>
      <c r="D10" s="6" t="s">
        <v>18</v>
      </c>
      <c r="E10" s="10">
        <v>14.99</v>
      </c>
      <c r="F10" s="12" t="s">
        <v>97</v>
      </c>
      <c r="G10" s="12">
        <f>_xlfn.XLOOKUP(Table1012[[#This Row],[Size]],'Pizza Size Schema'!$B:$B,'Pizza Size Schema'!$D:$D,"",0,1)</f>
        <v>10</v>
      </c>
      <c r="H10" s="15">
        <f>Table1[[#This Row],[DefaultIngredientCount]]</f>
        <v>5</v>
      </c>
      <c r="I10" s="15">
        <f>Table1[[#This Row],[IngredientDifference]]</f>
        <v>0</v>
      </c>
      <c r="J10" s="13" t="str">
        <f>IF(Table1012[[#This Row],[IngredientDifference]]&gt;0,"Y", "N")</f>
        <v>N</v>
      </c>
      <c r="K10" s="13">
        <f>IF(Table1012[[#This Row],[IngredientDifference]]&gt;0,Table1012[[#This Row],[IngredientDifference]]*1.99, 0)</f>
        <v>0</v>
      </c>
      <c r="L10" s="18">
        <f>Table1012[[#This Row],[Price]]+Table1012[[#This Row],[AdditionalPrice]]+Table1012[[#This Row],[SizePrice]]</f>
        <v>24.990000000000002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BEFB-123C-4FD6-B4DB-A07B3E875B71}">
  <dimension ref="A1:M10"/>
  <sheetViews>
    <sheetView workbookViewId="0">
      <selection activeCell="J55" sqref="J55"/>
    </sheetView>
  </sheetViews>
  <sheetFormatPr defaultRowHeight="15" x14ac:dyDescent="0.25"/>
  <cols>
    <col min="1" max="1" width="12.7109375" style="3" bestFit="1" customWidth="1"/>
    <col min="2" max="2" width="17" style="3" bestFit="1" customWidth="1"/>
    <col min="3" max="3" width="12.7109375" style="3" bestFit="1" customWidth="1"/>
    <col min="4" max="4" width="15" style="3" bestFit="1" customWidth="1"/>
    <col min="5" max="5" width="18.85546875" style="3" bestFit="1" customWidth="1"/>
    <col min="6" max="6" width="18.42578125" style="3" bestFit="1" customWidth="1"/>
    <col min="7" max="7" width="8.5703125" bestFit="1" customWidth="1"/>
    <col min="8" max="8" width="17.42578125" style="3" bestFit="1" customWidth="1"/>
    <col min="9" max="9" width="14.28515625" style="3" bestFit="1" customWidth="1"/>
    <col min="10" max="10" width="15.42578125" style="3" bestFit="1" customWidth="1"/>
    <col min="11" max="11" width="17.85546875" style="3" bestFit="1" customWidth="1"/>
    <col min="12" max="12" width="19.42578125" style="3" bestFit="1" customWidth="1"/>
    <col min="13" max="13" width="16.85546875" style="3" customWidth="1"/>
  </cols>
  <sheetData>
    <row r="1" spans="1:13" x14ac:dyDescent="0.25">
      <c r="A1" s="19" t="s">
        <v>88</v>
      </c>
      <c r="B1" s="20" t="s">
        <v>84</v>
      </c>
      <c r="C1" s="19" t="s">
        <v>0</v>
      </c>
      <c r="D1" s="19" t="s">
        <v>1</v>
      </c>
      <c r="E1" s="36" t="s">
        <v>99</v>
      </c>
      <c r="F1" s="36" t="s">
        <v>101</v>
      </c>
      <c r="G1" s="22" t="s">
        <v>86</v>
      </c>
      <c r="H1" s="21" t="s">
        <v>100</v>
      </c>
      <c r="I1" s="23" t="s">
        <v>89</v>
      </c>
      <c r="J1" s="23" t="s">
        <v>90</v>
      </c>
      <c r="K1" s="23" t="s">
        <v>91</v>
      </c>
      <c r="L1" s="23" t="s">
        <v>92</v>
      </c>
      <c r="M1"/>
    </row>
    <row r="2" spans="1:13" x14ac:dyDescent="0.25">
      <c r="A2" s="24">
        <v>1</v>
      </c>
      <c r="B2" s="25">
        <v>1</v>
      </c>
      <c r="C2" s="24" t="s">
        <v>6</v>
      </c>
      <c r="D2" s="24" t="s">
        <v>2</v>
      </c>
      <c r="E2" s="37">
        <v>8.99</v>
      </c>
      <c r="F2" s="37">
        <f>SUM(Table12[TotalItemPrice])</f>
        <v>148.91</v>
      </c>
      <c r="G2" s="27">
        <v>0.08</v>
      </c>
      <c r="H2" s="26">
        <f>SUM(Table12[TotalItemPrice]) *Table12[[#This Row],[Tax]]</f>
        <v>11.912800000000001</v>
      </c>
      <c r="I2" s="28">
        <f>Table12[[#This Row],[OrderSubtotal]]+Table12[[#This Row],[Tax Amount]]</f>
        <v>160.8228</v>
      </c>
      <c r="J2" s="3">
        <v>145</v>
      </c>
      <c r="K2" s="3" t="s">
        <v>93</v>
      </c>
      <c r="L2" s="29">
        <v>45749</v>
      </c>
      <c r="M2"/>
    </row>
    <row r="3" spans="1:13" x14ac:dyDescent="0.25">
      <c r="A3" s="30">
        <v>1</v>
      </c>
      <c r="B3" s="31">
        <v>2</v>
      </c>
      <c r="C3" s="30" t="s">
        <v>7</v>
      </c>
      <c r="D3" s="30" t="s">
        <v>3</v>
      </c>
      <c r="E3" s="37">
        <v>13.99</v>
      </c>
      <c r="F3" s="37">
        <f>SUM(Table12[TotalItemPrice])</f>
        <v>148.91</v>
      </c>
      <c r="G3" s="32">
        <v>0.08</v>
      </c>
      <c r="H3" s="26">
        <f>SUM(Table12[TotalItemPrice]) *Table12[[#This Row],[Tax]]</f>
        <v>11.912800000000001</v>
      </c>
      <c r="I3" s="28">
        <f>Table12[[#This Row],[OrderSubtotal]]+Table12[[#This Row],[Tax Amount]]</f>
        <v>160.8228</v>
      </c>
      <c r="J3" s="3">
        <v>145</v>
      </c>
      <c r="K3" s="3" t="s">
        <v>93</v>
      </c>
      <c r="L3" s="29">
        <v>45749</v>
      </c>
      <c r="M3"/>
    </row>
    <row r="4" spans="1:13" x14ac:dyDescent="0.25">
      <c r="A4" s="30">
        <v>1</v>
      </c>
      <c r="B4" s="25">
        <v>3</v>
      </c>
      <c r="C4" s="24" t="s">
        <v>8</v>
      </c>
      <c r="D4" s="24" t="s">
        <v>4</v>
      </c>
      <c r="E4" s="37">
        <v>20.990000000000002</v>
      </c>
      <c r="F4" s="37">
        <f>SUM(Table12[TotalItemPrice])</f>
        <v>148.91</v>
      </c>
      <c r="G4" s="27">
        <v>0.08</v>
      </c>
      <c r="H4" s="26">
        <f>SUM(Table12[TotalItemPrice]) *Table12[[#This Row],[Tax]]</f>
        <v>11.912800000000001</v>
      </c>
      <c r="I4" s="28">
        <f>Table12[[#This Row],[OrderSubtotal]]+Table12[[#This Row],[Tax Amount]]</f>
        <v>160.8228</v>
      </c>
      <c r="J4" s="3">
        <v>145</v>
      </c>
      <c r="K4" s="3" t="s">
        <v>93</v>
      </c>
      <c r="L4" s="29">
        <v>45749</v>
      </c>
      <c r="M4"/>
    </row>
    <row r="5" spans="1:13" x14ac:dyDescent="0.25">
      <c r="A5" s="30">
        <v>1</v>
      </c>
      <c r="B5" s="31">
        <v>4</v>
      </c>
      <c r="C5" s="30" t="s">
        <v>9</v>
      </c>
      <c r="D5" s="30" t="s">
        <v>5</v>
      </c>
      <c r="E5" s="37">
        <v>18.990000000000002</v>
      </c>
      <c r="F5" s="37">
        <f>SUM(Table12[TotalItemPrice])</f>
        <v>148.91</v>
      </c>
      <c r="G5" s="32">
        <v>0.08</v>
      </c>
      <c r="H5" s="26">
        <f>SUM(Table12[TotalItemPrice]) *Table12[[#This Row],[Tax]]</f>
        <v>11.912800000000001</v>
      </c>
      <c r="I5" s="28">
        <f>Table12[[#This Row],[OrderSubtotal]]+Table12[[#This Row],[Tax Amount]]</f>
        <v>160.8228</v>
      </c>
      <c r="J5" s="3">
        <v>145</v>
      </c>
      <c r="K5" s="3" t="s">
        <v>93</v>
      </c>
      <c r="L5" s="29">
        <v>45749</v>
      </c>
      <c r="M5"/>
    </row>
    <row r="6" spans="1:13" x14ac:dyDescent="0.25">
      <c r="A6" s="30">
        <v>1</v>
      </c>
      <c r="B6" s="25">
        <v>5</v>
      </c>
      <c r="C6" s="24" t="s">
        <v>10</v>
      </c>
      <c r="D6" s="24" t="s">
        <v>15</v>
      </c>
      <c r="E6" s="37">
        <v>16.990000000000002</v>
      </c>
      <c r="F6" s="37">
        <f>SUM(Table12[TotalItemPrice])</f>
        <v>148.91</v>
      </c>
      <c r="G6" s="27">
        <v>0.08</v>
      </c>
      <c r="H6" s="26">
        <f>SUM(Table12[TotalItemPrice]) *Table12[[#This Row],[Tax]]</f>
        <v>11.912800000000001</v>
      </c>
      <c r="I6" s="28">
        <f>Table12[[#This Row],[OrderSubtotal]]+Table12[[#This Row],[Tax Amount]]</f>
        <v>160.8228</v>
      </c>
      <c r="J6" s="3">
        <v>145</v>
      </c>
      <c r="K6" s="3" t="s">
        <v>93</v>
      </c>
      <c r="L6" s="29">
        <v>45749</v>
      </c>
      <c r="M6"/>
    </row>
    <row r="7" spans="1:13" x14ac:dyDescent="0.25">
      <c r="A7" s="30">
        <v>1</v>
      </c>
      <c r="B7" s="31">
        <v>6</v>
      </c>
      <c r="C7" s="30" t="s">
        <v>11</v>
      </c>
      <c r="D7" s="30" t="s">
        <v>19</v>
      </c>
      <c r="E7" s="37">
        <v>17.990000000000002</v>
      </c>
      <c r="F7" s="37">
        <f>SUM(Table12[TotalItemPrice])</f>
        <v>148.91</v>
      </c>
      <c r="G7" s="32">
        <v>0.08</v>
      </c>
      <c r="H7" s="26">
        <f>SUM(Table12[TotalItemPrice]) *Table12[[#This Row],[Tax]]</f>
        <v>11.912800000000001</v>
      </c>
      <c r="I7" s="28">
        <f>Table12[[#This Row],[OrderSubtotal]]+Table12[[#This Row],[Tax Amount]]</f>
        <v>160.8228</v>
      </c>
      <c r="J7" s="3">
        <v>145</v>
      </c>
      <c r="K7" s="3" t="s">
        <v>93</v>
      </c>
      <c r="L7" s="29">
        <v>45749</v>
      </c>
      <c r="M7"/>
    </row>
    <row r="8" spans="1:13" x14ac:dyDescent="0.25">
      <c r="A8" s="30">
        <v>1</v>
      </c>
      <c r="B8" s="25">
        <v>7</v>
      </c>
      <c r="C8" s="24" t="s">
        <v>12</v>
      </c>
      <c r="D8" s="24" t="s">
        <v>16</v>
      </c>
      <c r="E8" s="37">
        <v>13.99</v>
      </c>
      <c r="F8" s="37">
        <f>SUM(Table12[TotalItemPrice])</f>
        <v>148.91</v>
      </c>
      <c r="G8" s="27">
        <v>0.08</v>
      </c>
      <c r="H8" s="26">
        <f>SUM(Table12[TotalItemPrice]) *Table12[[#This Row],[Tax]]</f>
        <v>11.912800000000001</v>
      </c>
      <c r="I8" s="28">
        <f>Table12[[#This Row],[OrderSubtotal]]+Table12[[#This Row],[Tax Amount]]</f>
        <v>160.8228</v>
      </c>
      <c r="J8" s="3">
        <v>145</v>
      </c>
      <c r="K8" s="3" t="s">
        <v>93</v>
      </c>
      <c r="L8" s="29">
        <v>45749</v>
      </c>
      <c r="M8"/>
    </row>
    <row r="9" spans="1:13" x14ac:dyDescent="0.25">
      <c r="A9" s="30">
        <v>1</v>
      </c>
      <c r="B9" s="31">
        <v>8</v>
      </c>
      <c r="C9" s="30" t="s">
        <v>13</v>
      </c>
      <c r="D9" s="30" t="s">
        <v>17</v>
      </c>
      <c r="E9" s="37">
        <v>11.99</v>
      </c>
      <c r="F9" s="37">
        <f>SUM(Table12[TotalItemPrice])</f>
        <v>148.91</v>
      </c>
      <c r="G9" s="32">
        <v>0.08</v>
      </c>
      <c r="H9" s="26">
        <f>SUM(Table12[TotalItemPrice]) *Table12[[#This Row],[Tax]]</f>
        <v>11.912800000000001</v>
      </c>
      <c r="I9" s="28">
        <f>Table12[[#This Row],[OrderSubtotal]]+Table12[[#This Row],[Tax Amount]]</f>
        <v>160.8228</v>
      </c>
      <c r="J9" s="3">
        <v>145</v>
      </c>
      <c r="K9" s="3" t="s">
        <v>93</v>
      </c>
      <c r="L9" s="29">
        <v>45749</v>
      </c>
      <c r="M9"/>
    </row>
    <row r="10" spans="1:13" x14ac:dyDescent="0.25">
      <c r="A10" s="30">
        <v>1</v>
      </c>
      <c r="B10" s="34">
        <v>9</v>
      </c>
      <c r="C10" s="33" t="s">
        <v>14</v>
      </c>
      <c r="D10" s="33" t="s">
        <v>18</v>
      </c>
      <c r="E10" s="37">
        <v>24.990000000000002</v>
      </c>
      <c r="F10" s="37">
        <f>SUM(Table12[TotalItemPrice])</f>
        <v>148.91</v>
      </c>
      <c r="G10" s="35">
        <v>0.08</v>
      </c>
      <c r="H10" s="26">
        <f>SUM(Table12[TotalItemPrice]) *Table12[[#This Row],[Tax]]</f>
        <v>11.912800000000001</v>
      </c>
      <c r="I10" s="28">
        <f>Table12[[#This Row],[OrderSubtotal]]+Table12[[#This Row],[Tax Amount]]</f>
        <v>160.8228</v>
      </c>
      <c r="J10" s="3">
        <v>145</v>
      </c>
      <c r="K10" s="3" t="s">
        <v>93</v>
      </c>
      <c r="L10" s="29">
        <v>45749</v>
      </c>
      <c r="M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Menu Schema</vt:lpstr>
      <vt:lpstr>Promotions Schema</vt:lpstr>
      <vt:lpstr>Ingredients Schema</vt:lpstr>
      <vt:lpstr>Portion Schema</vt:lpstr>
      <vt:lpstr>Pizza Size Schema</vt:lpstr>
      <vt:lpstr>MenuToIngredientsSchema</vt:lpstr>
      <vt:lpstr>Menu to Price Schema</vt:lpstr>
      <vt:lpstr>Order Review Schema</vt:lpstr>
      <vt:lpstr>Order Details Schema</vt:lpstr>
      <vt:lpstr>Payment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Galloway</dc:creator>
  <cp:lastModifiedBy>DJ Galloway</cp:lastModifiedBy>
  <dcterms:created xsi:type="dcterms:W3CDTF">2025-04-01T22:36:27Z</dcterms:created>
  <dcterms:modified xsi:type="dcterms:W3CDTF">2025-04-05T20:08:04Z</dcterms:modified>
</cp:coreProperties>
</file>